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CD17E0FA-390F-466C-8EBF-6545899A0720}" xr6:coauthVersionLast="47" xr6:coauthVersionMax="47" xr10:uidLastSave="{00000000-0000-0000-0000-000000000000}"/>
  <bookViews>
    <workbookView xWindow="57480" yWindow="-120" windowWidth="29040" windowHeight="15840" tabRatio="81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UAL" sheetId="75" state="hidden" r:id="rId6"/>
    <sheet name="Tax Reval Rate" sheetId="72" state="hidden" r:id="rId7"/>
    <sheet name="Performance Indicator FBA%" sheetId="93" r:id="rId8"/>
    <sheet name="RSS" sheetId="99" r:id="rId9"/>
    <sheet name="Electric trans" sheetId="89" r:id="rId10"/>
    <sheet name="PY1 Data(H)" sheetId="82" state="hidden" r:id="rId11"/>
    <sheet name="PY2 Data(H)" sheetId="84" state="hidden" r:id="rId12"/>
    <sheet name="Unit Names(H)" sheetId="29" state="hidden" r:id="rId13"/>
  </sheets>
  <externalReferences>
    <externalReference r:id="rId14"/>
  </externalReferences>
  <definedNames>
    <definedName name="_xlnm._FilterDatabase" localSheetId="6" hidden="1">'Tax Reval Rate'!$A$7:$E$107</definedName>
    <definedName name="Audit_Dtl">[1]Database!$AC$3:$AP$413</definedName>
    <definedName name="errorCount">#REF!</definedName>
    <definedName name="ppp">#REF!</definedName>
    <definedName name="_xlnm.Print_Area" localSheetId="0">Instructions!$B$1:$B$53</definedName>
    <definedName name="_xlnm.Print_Area" localSheetId="4">'Performance  Indicators Print'!$A$1:$H$46</definedName>
    <definedName name="_xlnm.Print_Area" localSheetId="2">'TD Info Completed by Auditor'!$A$1:$D$44</definedName>
    <definedName name="_xlnm.Print_Area" localSheetId="1">'Unit Data from Audit Worksheet'!$A$9:$F$267</definedName>
    <definedName name="Print_Selection_Auditor">#REF!</definedName>
    <definedName name="Print_Selection_Internal" localSheetId="9">#REF!</definedName>
    <definedName name="Print_Selection_Internal" localSheetId="4">#REF!</definedName>
    <definedName name="Print_Selection_Internal" localSheetId="7">#REF!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9">#REF!</definedName>
    <definedName name="TD_IMPORT_RANGE" localSheetId="0">#REF!</definedName>
    <definedName name="TD_IMPORT_RANGE" localSheetId="4">#REF!</definedName>
    <definedName name="TD_IMPORT_RANGE" localSheetId="7">#REF!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7" i="1" l="1"/>
  <c r="G13" i="88"/>
  <c r="D28" i="91"/>
  <c r="D29" i="91"/>
  <c r="D27" i="91"/>
  <c r="I155" i="1"/>
  <c r="I138" i="1"/>
  <c r="I78" i="1"/>
  <c r="I40" i="1"/>
  <c r="C259" i="28"/>
  <c r="A259" i="28"/>
  <c r="E259" i="28"/>
  <c r="L259" i="28" s="1"/>
  <c r="E30" i="88" s="1"/>
  <c r="M30" i="88"/>
  <c r="N30" i="88" s="1"/>
  <c r="G30" i="88" s="1"/>
  <c r="L30" i="88"/>
  <c r="D18" i="91"/>
  <c r="D13" i="91"/>
  <c r="E219" i="28"/>
  <c r="E218" i="28"/>
  <c r="E231" i="28"/>
  <c r="D276" i="82"/>
  <c r="E276" i="82"/>
  <c r="F276" i="82"/>
  <c r="G276" i="82"/>
  <c r="H276" i="82"/>
  <c r="I276" i="82"/>
  <c r="J276" i="82"/>
  <c r="K276" i="82"/>
  <c r="L276" i="82"/>
  <c r="M276" i="82"/>
  <c r="N276" i="82"/>
  <c r="O276" i="82"/>
  <c r="P276" i="82"/>
  <c r="Q276" i="82"/>
  <c r="R276" i="82"/>
  <c r="S276" i="82"/>
  <c r="T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BS276" i="82"/>
  <c r="BT276" i="82"/>
  <c r="BU276" i="82"/>
  <c r="BV276" i="82"/>
  <c r="BW276" i="82"/>
  <c r="BX276" i="82"/>
  <c r="BY276" i="82"/>
  <c r="BZ276" i="82"/>
  <c r="D277" i="82"/>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BS277" i="82"/>
  <c r="BT277" i="82"/>
  <c r="BU277" i="82"/>
  <c r="BV277" i="82"/>
  <c r="BW277" i="82"/>
  <c r="BX277" i="82"/>
  <c r="BY277" i="82"/>
  <c r="BZ277" i="82"/>
  <c r="D280" i="82"/>
  <c r="E280"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BS280" i="82"/>
  <c r="BT280" i="82"/>
  <c r="BU280" i="82"/>
  <c r="BV280" i="82"/>
  <c r="BW280" i="82"/>
  <c r="BX280" i="82"/>
  <c r="BY280" i="82"/>
  <c r="BZ280" i="82"/>
  <c r="L281" i="82"/>
  <c r="D285" i="82"/>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AZ285" i="82"/>
  <c r="BA285" i="82"/>
  <c r="BB285" i="82"/>
  <c r="BC285" i="82"/>
  <c r="BD285" i="82"/>
  <c r="BE285" i="82"/>
  <c r="BF285" i="82"/>
  <c r="BG285" i="82"/>
  <c r="BH285" i="82"/>
  <c r="BI285" i="82"/>
  <c r="BJ285" i="82"/>
  <c r="BK285" i="82"/>
  <c r="BL285" i="82"/>
  <c r="BM285" i="82"/>
  <c r="BN285" i="82"/>
  <c r="BO285" i="82"/>
  <c r="BP285" i="82"/>
  <c r="BQ285" i="82"/>
  <c r="BR285" i="82"/>
  <c r="BS285" i="82"/>
  <c r="BT285" i="82"/>
  <c r="BU285" i="82"/>
  <c r="BV285" i="82"/>
  <c r="BW285" i="82"/>
  <c r="BX285" i="82"/>
  <c r="BY285" i="82"/>
  <c r="BZ285" i="82"/>
  <c r="D286"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D287"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D288"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D289"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AZ289" i="82"/>
  <c r="BA289" i="82"/>
  <c r="BB289" i="82"/>
  <c r="BC289" i="82"/>
  <c r="BD289" i="82"/>
  <c r="BE289" i="82"/>
  <c r="BF289" i="82"/>
  <c r="BG289" i="82"/>
  <c r="BH289" i="82"/>
  <c r="BI289" i="82"/>
  <c r="BJ289" i="82"/>
  <c r="BK289" i="82"/>
  <c r="BL289" i="82"/>
  <c r="BM289" i="82"/>
  <c r="BN289" i="82"/>
  <c r="BO289" i="82"/>
  <c r="BP289" i="82"/>
  <c r="BQ289" i="82"/>
  <c r="BR289" i="82"/>
  <c r="BS289" i="82"/>
  <c r="BT289" i="82"/>
  <c r="BU289" i="82"/>
  <c r="BV289" i="82"/>
  <c r="BW289" i="82"/>
  <c r="BX289" i="82"/>
  <c r="BY289" i="82"/>
  <c r="BZ289" i="82"/>
  <c r="D290"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AZ290" i="82"/>
  <c r="BA290" i="82"/>
  <c r="BB290" i="82"/>
  <c r="BC290" i="82"/>
  <c r="BD290" i="82"/>
  <c r="BE290" i="82"/>
  <c r="BF290" i="82"/>
  <c r="BG290" i="82"/>
  <c r="BH290" i="82"/>
  <c r="BI290" i="82"/>
  <c r="BJ290" i="82"/>
  <c r="BK290" i="82"/>
  <c r="BL290" i="82"/>
  <c r="BM290" i="82"/>
  <c r="BN290" i="82"/>
  <c r="BO290" i="82"/>
  <c r="BP290" i="82"/>
  <c r="BQ290" i="82"/>
  <c r="BR290" i="82"/>
  <c r="BS290" i="82"/>
  <c r="BT290" i="82"/>
  <c r="BU290" i="82"/>
  <c r="BV290" i="82"/>
  <c r="BW290" i="82"/>
  <c r="BX290" i="82"/>
  <c r="BY290" i="82"/>
  <c r="BZ290" i="82"/>
  <c r="D291"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AZ291" i="82"/>
  <c r="BA291" i="82"/>
  <c r="BB291" i="82"/>
  <c r="BC291" i="82"/>
  <c r="BD291" i="82"/>
  <c r="BE291" i="82"/>
  <c r="BF291" i="82"/>
  <c r="BG291" i="82"/>
  <c r="BH291" i="82"/>
  <c r="BI291" i="82"/>
  <c r="BJ291" i="82"/>
  <c r="BK291" i="82"/>
  <c r="BL291" i="82"/>
  <c r="BM291" i="82"/>
  <c r="BN291" i="82"/>
  <c r="BO291" i="82"/>
  <c r="BP291" i="82"/>
  <c r="BQ291" i="82"/>
  <c r="BR291" i="82"/>
  <c r="BS291" i="82"/>
  <c r="BT291" i="82"/>
  <c r="BU291" i="82"/>
  <c r="BV291" i="82"/>
  <c r="BW291" i="82"/>
  <c r="BX291" i="82"/>
  <c r="BY291" i="82"/>
  <c r="BZ291" i="82"/>
  <c r="D292"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AZ292" i="82"/>
  <c r="BA292" i="82"/>
  <c r="BB292" i="82"/>
  <c r="BC292" i="82"/>
  <c r="BD292" i="82"/>
  <c r="BE292" i="82"/>
  <c r="BF292" i="82"/>
  <c r="BG292" i="82"/>
  <c r="BH292" i="82"/>
  <c r="BI292" i="82"/>
  <c r="BJ292" i="82"/>
  <c r="BK292" i="82"/>
  <c r="BL292" i="82"/>
  <c r="BM292" i="82"/>
  <c r="BN292" i="82"/>
  <c r="BO292" i="82"/>
  <c r="BP292" i="82"/>
  <c r="BQ292" i="82"/>
  <c r="BR292" i="82"/>
  <c r="BS292" i="82"/>
  <c r="BT292" i="82"/>
  <c r="BU292" i="82"/>
  <c r="BV292" i="82"/>
  <c r="BW292" i="82"/>
  <c r="BX292" i="82"/>
  <c r="BY292" i="82"/>
  <c r="BZ292" i="82"/>
  <c r="D293"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AZ293" i="82"/>
  <c r="BA293" i="82"/>
  <c r="BB293" i="82"/>
  <c r="BC293" i="82"/>
  <c r="BD293" i="82"/>
  <c r="BE293" i="82"/>
  <c r="BF293" i="82"/>
  <c r="BG293" i="82"/>
  <c r="BH293" i="82"/>
  <c r="BI293" i="82"/>
  <c r="BJ293" i="82"/>
  <c r="BK293" i="82"/>
  <c r="BL293" i="82"/>
  <c r="BM293" i="82"/>
  <c r="BN293" i="82"/>
  <c r="BO293" i="82"/>
  <c r="BP293" i="82"/>
  <c r="BQ293" i="82"/>
  <c r="BR293" i="82"/>
  <c r="BS293" i="82"/>
  <c r="BT293" i="82"/>
  <c r="BU293" i="82"/>
  <c r="BV293" i="82"/>
  <c r="BW293" i="82"/>
  <c r="BX293" i="82"/>
  <c r="BY293" i="82"/>
  <c r="BZ293" i="82"/>
  <c r="D294"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AZ294" i="82"/>
  <c r="BA294" i="82"/>
  <c r="BB294" i="82"/>
  <c r="BC294" i="82"/>
  <c r="BD294" i="82"/>
  <c r="BE294" i="82"/>
  <c r="BF294" i="82"/>
  <c r="BG294" i="82"/>
  <c r="BH294" i="82"/>
  <c r="BI294" i="82"/>
  <c r="BJ294" i="82"/>
  <c r="BK294" i="82"/>
  <c r="BL294" i="82"/>
  <c r="BM294" i="82"/>
  <c r="BN294" i="82"/>
  <c r="BO294" i="82"/>
  <c r="BP294" i="82"/>
  <c r="BQ294" i="82"/>
  <c r="BR294" i="82"/>
  <c r="BS294" i="82"/>
  <c r="BT294" i="82"/>
  <c r="BU294" i="82"/>
  <c r="BV294" i="82"/>
  <c r="BW294" i="82"/>
  <c r="BX294" i="82"/>
  <c r="BY294" i="82"/>
  <c r="BZ294" i="82"/>
  <c r="D295"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AZ295" i="82"/>
  <c r="BA295" i="82"/>
  <c r="BB295" i="82"/>
  <c r="BC295" i="82"/>
  <c r="BD295" i="82"/>
  <c r="BE295" i="82"/>
  <c r="BF295" i="82"/>
  <c r="BG295" i="82"/>
  <c r="BH295" i="82"/>
  <c r="BI295" i="82"/>
  <c r="BJ295" i="82"/>
  <c r="BK295" i="82"/>
  <c r="BL295" i="82"/>
  <c r="BM295" i="82"/>
  <c r="BN295" i="82"/>
  <c r="BO295" i="82"/>
  <c r="BP295" i="82"/>
  <c r="BQ295" i="82"/>
  <c r="BR295" i="82"/>
  <c r="BS295" i="82"/>
  <c r="BT295" i="82"/>
  <c r="BU295" i="82"/>
  <c r="BV295" i="82"/>
  <c r="BW295" i="82"/>
  <c r="BX295" i="82"/>
  <c r="BY295" i="82"/>
  <c r="BZ295" i="82"/>
  <c r="D296"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AZ296" i="82"/>
  <c r="BA296" i="82"/>
  <c r="BB296" i="82"/>
  <c r="BC296" i="82"/>
  <c r="BD296" i="82"/>
  <c r="BE296" i="82"/>
  <c r="BF296" i="82"/>
  <c r="BG296" i="82"/>
  <c r="BH296" i="82"/>
  <c r="BI296" i="82"/>
  <c r="BJ296" i="82"/>
  <c r="BK296" i="82"/>
  <c r="BL296" i="82"/>
  <c r="BM296" i="82"/>
  <c r="BN296" i="82"/>
  <c r="BO296" i="82"/>
  <c r="BP296" i="82"/>
  <c r="BQ296" i="82"/>
  <c r="BR296" i="82"/>
  <c r="BS296" i="82"/>
  <c r="BT296" i="82"/>
  <c r="BU296" i="82"/>
  <c r="BV296" i="82"/>
  <c r="BW296" i="82"/>
  <c r="BX296" i="82"/>
  <c r="BY296" i="82"/>
  <c r="BZ296" i="82"/>
  <c r="D297"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AZ297" i="82"/>
  <c r="BA297" i="82"/>
  <c r="BB297" i="82"/>
  <c r="BC297" i="82"/>
  <c r="BD297" i="82"/>
  <c r="BE297" i="82"/>
  <c r="BF297" i="82"/>
  <c r="BG297" i="82"/>
  <c r="BH297" i="82"/>
  <c r="BI297" i="82"/>
  <c r="BJ297" i="82"/>
  <c r="BK297" i="82"/>
  <c r="BL297" i="82"/>
  <c r="BM297" i="82"/>
  <c r="BN297" i="82"/>
  <c r="BO297" i="82"/>
  <c r="BP297" i="82"/>
  <c r="BQ297" i="82"/>
  <c r="BR297" i="82"/>
  <c r="BS297" i="82"/>
  <c r="BT297" i="82"/>
  <c r="BU297" i="82"/>
  <c r="BV297" i="82"/>
  <c r="BW297" i="82"/>
  <c r="BX297" i="82"/>
  <c r="BY297" i="82"/>
  <c r="BZ297" i="82"/>
  <c r="D298"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AZ298" i="82"/>
  <c r="BA298" i="82"/>
  <c r="BB298" i="82"/>
  <c r="BC298" i="82"/>
  <c r="BD298" i="82"/>
  <c r="BE298" i="82"/>
  <c r="BF298" i="82"/>
  <c r="BG298" i="82"/>
  <c r="BH298" i="82"/>
  <c r="BI298" i="82"/>
  <c r="BJ298" i="82"/>
  <c r="BK298" i="82"/>
  <c r="BL298" i="82"/>
  <c r="BM298" i="82"/>
  <c r="BN298" i="82"/>
  <c r="BO298" i="82"/>
  <c r="BP298" i="82"/>
  <c r="BQ298" i="82"/>
  <c r="BR298" i="82"/>
  <c r="BS298" i="82"/>
  <c r="BT298" i="82"/>
  <c r="BU298" i="82"/>
  <c r="BV298" i="82"/>
  <c r="BW298" i="82"/>
  <c r="BX298" i="82"/>
  <c r="BY298" i="82"/>
  <c r="BZ298" i="82"/>
  <c r="D299"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AZ299" i="82"/>
  <c r="BA299" i="82"/>
  <c r="BB299" i="82"/>
  <c r="BC299" i="82"/>
  <c r="BD299" i="82"/>
  <c r="BE299" i="82"/>
  <c r="BF299" i="82"/>
  <c r="BG299" i="82"/>
  <c r="BH299" i="82"/>
  <c r="BI299" i="82"/>
  <c r="BJ299" i="82"/>
  <c r="BK299" i="82"/>
  <c r="BL299" i="82"/>
  <c r="BM299" i="82"/>
  <c r="BN299" i="82"/>
  <c r="BO299" i="82"/>
  <c r="BP299" i="82"/>
  <c r="BQ299" i="82"/>
  <c r="BR299" i="82"/>
  <c r="BS299" i="82"/>
  <c r="BT299" i="82"/>
  <c r="BU299" i="82"/>
  <c r="BV299" i="82"/>
  <c r="BW299" i="82"/>
  <c r="BX299" i="82"/>
  <c r="BY299" i="82"/>
  <c r="BZ299" i="82"/>
  <c r="D300"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D301"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AZ301" i="82"/>
  <c r="BA301" i="82"/>
  <c r="BB301" i="82"/>
  <c r="BC301" i="82"/>
  <c r="BD301" i="82"/>
  <c r="BE301" i="82"/>
  <c r="BF301" i="82"/>
  <c r="BG301" i="82"/>
  <c r="BH301" i="82"/>
  <c r="BI301" i="82"/>
  <c r="BJ301" i="82"/>
  <c r="BK301" i="82"/>
  <c r="BL301" i="82"/>
  <c r="BM301" i="82"/>
  <c r="BN301" i="82"/>
  <c r="BO301" i="82"/>
  <c r="BP301" i="82"/>
  <c r="BQ301" i="82"/>
  <c r="BR301" i="82"/>
  <c r="BS301" i="82"/>
  <c r="BT301" i="82"/>
  <c r="BU301" i="82"/>
  <c r="BV301" i="82"/>
  <c r="BW301" i="82"/>
  <c r="BX301" i="82"/>
  <c r="BY301" i="82"/>
  <c r="BZ301" i="82"/>
  <c r="D302"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AZ302" i="82"/>
  <c r="BA302" i="82"/>
  <c r="BB302" i="82"/>
  <c r="BC302" i="82"/>
  <c r="BD302" i="82"/>
  <c r="BE302" i="82"/>
  <c r="BF302" i="82"/>
  <c r="BG302" i="82"/>
  <c r="BH302" i="82"/>
  <c r="BI302" i="82"/>
  <c r="BJ302" i="82"/>
  <c r="BK302" i="82"/>
  <c r="BL302" i="82"/>
  <c r="BM302" i="82"/>
  <c r="BN302" i="82"/>
  <c r="BO302" i="82"/>
  <c r="BP302" i="82"/>
  <c r="BQ302" i="82"/>
  <c r="BR302" i="82"/>
  <c r="BS302" i="82"/>
  <c r="BT302" i="82"/>
  <c r="BU302" i="82"/>
  <c r="BV302" i="82"/>
  <c r="BW302" i="82"/>
  <c r="BX302" i="82"/>
  <c r="BY302" i="82"/>
  <c r="BZ302" i="82"/>
  <c r="D303"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AZ303" i="82"/>
  <c r="BA303" i="82"/>
  <c r="BB303" i="82"/>
  <c r="BC303" i="82"/>
  <c r="BD303" i="82"/>
  <c r="BE303" i="82"/>
  <c r="BF303" i="82"/>
  <c r="BG303" i="82"/>
  <c r="BH303" i="82"/>
  <c r="BI303" i="82"/>
  <c r="BJ303" i="82"/>
  <c r="BK303" i="82"/>
  <c r="BL303" i="82"/>
  <c r="BM303" i="82"/>
  <c r="BN303" i="82"/>
  <c r="BO303" i="82"/>
  <c r="BP303" i="82"/>
  <c r="BQ303" i="82"/>
  <c r="BR303" i="82"/>
  <c r="BS303" i="82"/>
  <c r="BT303" i="82"/>
  <c r="BU303" i="82"/>
  <c r="BV303" i="82"/>
  <c r="BW303" i="82"/>
  <c r="BX303" i="82"/>
  <c r="BY303" i="82"/>
  <c r="BZ303" i="82"/>
  <c r="D304" i="82"/>
  <c r="E304" i="82"/>
  <c r="F304" i="82"/>
  <c r="G304" i="82"/>
  <c r="H304" i="82"/>
  <c r="I304" i="82"/>
  <c r="J304" i="82"/>
  <c r="K304" i="82"/>
  <c r="L304" i="82"/>
  <c r="M304" i="82"/>
  <c r="N304" i="82"/>
  <c r="O304" i="82"/>
  <c r="P304" i="82"/>
  <c r="Q304" i="82"/>
  <c r="R304" i="82"/>
  <c r="S304" i="82"/>
  <c r="T304" i="82"/>
  <c r="U304" i="82"/>
  <c r="V304" i="82"/>
  <c r="W304" i="82"/>
  <c r="X304" i="82"/>
  <c r="Y304" i="82"/>
  <c r="Z304" i="82"/>
  <c r="AA304" i="82"/>
  <c r="AB304" i="82"/>
  <c r="AC304" i="82"/>
  <c r="AD304" i="82"/>
  <c r="AE304" i="82"/>
  <c r="AF304" i="82"/>
  <c r="AG304" i="82"/>
  <c r="AH304" i="82"/>
  <c r="AI304" i="82"/>
  <c r="AJ304" i="82"/>
  <c r="AK304" i="82"/>
  <c r="AL304" i="82"/>
  <c r="AM304" i="82"/>
  <c r="AN304" i="82"/>
  <c r="AO304" i="82"/>
  <c r="AP304" i="82"/>
  <c r="AQ304" i="82"/>
  <c r="AR304" i="82"/>
  <c r="AS304" i="82"/>
  <c r="AT304" i="82"/>
  <c r="AU304" i="82"/>
  <c r="AV304" i="82"/>
  <c r="AW304" i="82"/>
  <c r="AX304" i="82"/>
  <c r="AY304" i="82"/>
  <c r="AZ304" i="82"/>
  <c r="BA304" i="82"/>
  <c r="BB304" i="82"/>
  <c r="BC304" i="82"/>
  <c r="BD304" i="82"/>
  <c r="BE304" i="82"/>
  <c r="BF304" i="82"/>
  <c r="BG304" i="82"/>
  <c r="BH304" i="82"/>
  <c r="BI304" i="82"/>
  <c r="BJ304" i="82"/>
  <c r="BK304" i="82"/>
  <c r="BL304" i="82"/>
  <c r="BM304" i="82"/>
  <c r="BN304" i="82"/>
  <c r="BO304" i="82"/>
  <c r="BP304" i="82"/>
  <c r="BQ304" i="82"/>
  <c r="BR304" i="82"/>
  <c r="BS304" i="82"/>
  <c r="BT304" i="82"/>
  <c r="BU304" i="82"/>
  <c r="BV304" i="82"/>
  <c r="BW304" i="82"/>
  <c r="BX304" i="82"/>
  <c r="BY304" i="82"/>
  <c r="BZ304" i="82"/>
  <c r="D305"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AZ305" i="82"/>
  <c r="BA305" i="82"/>
  <c r="BB305" i="82"/>
  <c r="BC305" i="82"/>
  <c r="BD305" i="82"/>
  <c r="BE305" i="82"/>
  <c r="BF305" i="82"/>
  <c r="BG305" i="82"/>
  <c r="BH305" i="82"/>
  <c r="BI305" i="82"/>
  <c r="BJ305" i="82"/>
  <c r="BK305" i="82"/>
  <c r="BL305" i="82"/>
  <c r="BM305" i="82"/>
  <c r="BN305" i="82"/>
  <c r="BO305" i="82"/>
  <c r="BP305" i="82"/>
  <c r="BQ305" i="82"/>
  <c r="BR305" i="82"/>
  <c r="BS305" i="82"/>
  <c r="BT305" i="82"/>
  <c r="BU305" i="82"/>
  <c r="BV305" i="82"/>
  <c r="BW305" i="82"/>
  <c r="BX305" i="82"/>
  <c r="BY305" i="82"/>
  <c r="BZ305" i="82"/>
  <c r="D306" i="82"/>
  <c r="E306" i="82"/>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AZ306" i="82"/>
  <c r="BA306" i="82"/>
  <c r="BB306" i="82"/>
  <c r="BC306" i="82"/>
  <c r="BD306" i="82"/>
  <c r="BE306" i="82"/>
  <c r="BF306" i="82"/>
  <c r="BG306" i="82"/>
  <c r="BH306" i="82"/>
  <c r="BI306" i="82"/>
  <c r="BJ306" i="82"/>
  <c r="BK306" i="82"/>
  <c r="BL306" i="82"/>
  <c r="BM306" i="82"/>
  <c r="BN306" i="82"/>
  <c r="BO306" i="82"/>
  <c r="BP306" i="82"/>
  <c r="BQ306" i="82"/>
  <c r="BR306" i="82"/>
  <c r="BS306" i="82"/>
  <c r="BT306" i="82"/>
  <c r="BU306" i="82"/>
  <c r="BV306" i="82"/>
  <c r="BW306" i="82"/>
  <c r="BX306" i="82"/>
  <c r="BY306" i="82"/>
  <c r="BZ306" i="82"/>
  <c r="D307"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AZ307" i="82"/>
  <c r="BA307" i="82"/>
  <c r="BB307" i="82"/>
  <c r="BC307" i="82"/>
  <c r="BD307" i="82"/>
  <c r="BE307" i="82"/>
  <c r="BF307" i="82"/>
  <c r="BG307" i="82"/>
  <c r="BH307" i="82"/>
  <c r="BI307" i="82"/>
  <c r="BJ307" i="82"/>
  <c r="BK307" i="82"/>
  <c r="BL307" i="82"/>
  <c r="BM307" i="82"/>
  <c r="BN307" i="82"/>
  <c r="BO307" i="82"/>
  <c r="BP307" i="82"/>
  <c r="BQ307" i="82"/>
  <c r="BR307" i="82"/>
  <c r="BS307" i="82"/>
  <c r="BT307" i="82"/>
  <c r="BU307" i="82"/>
  <c r="BV307" i="82"/>
  <c r="BW307" i="82"/>
  <c r="BX307" i="82"/>
  <c r="BY307" i="82"/>
  <c r="BZ307" i="82"/>
  <c r="D308"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AZ308" i="82"/>
  <c r="BA308" i="82"/>
  <c r="BB308" i="82"/>
  <c r="BC308" i="82"/>
  <c r="BD308" i="82"/>
  <c r="BE308" i="82"/>
  <c r="BF308" i="82"/>
  <c r="BG308" i="82"/>
  <c r="BH308" i="82"/>
  <c r="BI308" i="82"/>
  <c r="BJ308" i="82"/>
  <c r="BK308" i="82"/>
  <c r="BL308" i="82"/>
  <c r="BM308" i="82"/>
  <c r="BN308" i="82"/>
  <c r="BO308" i="82"/>
  <c r="BP308" i="82"/>
  <c r="BQ308" i="82"/>
  <c r="BR308" i="82"/>
  <c r="BS308" i="82"/>
  <c r="BT308" i="82"/>
  <c r="BU308" i="82"/>
  <c r="BV308" i="82"/>
  <c r="BW308" i="82"/>
  <c r="BX308" i="82"/>
  <c r="BY308" i="82"/>
  <c r="BZ308" i="82"/>
  <c r="D31" i="91" l="1"/>
  <c r="CA280" i="82"/>
  <c r="CA276" i="82" l="1"/>
  <c r="CA277" i="82"/>
  <c r="CA285" i="82"/>
  <c r="CB285" i="82"/>
  <c r="CC285" i="82"/>
  <c r="CD285" i="82"/>
  <c r="CE285" i="82"/>
  <c r="CF285" i="82"/>
  <c r="CG285" i="82"/>
  <c r="CH285" i="82"/>
  <c r="CI285" i="82"/>
  <c r="CJ285" i="82"/>
  <c r="CK285" i="82"/>
  <c r="CA286" i="82"/>
  <c r="CB286" i="82"/>
  <c r="CC286" i="82"/>
  <c r="CD286" i="82"/>
  <c r="CE286" i="82"/>
  <c r="CF286" i="82"/>
  <c r="CG286" i="82"/>
  <c r="CH286" i="82"/>
  <c r="CI286" i="82"/>
  <c r="CJ286" i="82"/>
  <c r="CK286" i="82"/>
  <c r="CA287" i="82"/>
  <c r="CB287" i="82"/>
  <c r="CC287" i="82"/>
  <c r="CD287" i="82"/>
  <c r="CE287" i="82"/>
  <c r="CF287" i="82"/>
  <c r="CG287" i="82"/>
  <c r="CH287" i="82"/>
  <c r="CI287" i="82"/>
  <c r="CJ287" i="82"/>
  <c r="CK287" i="82"/>
  <c r="CA288" i="82"/>
  <c r="CB288" i="82"/>
  <c r="CC288" i="82"/>
  <c r="CD288" i="82"/>
  <c r="CE288" i="82"/>
  <c r="CF288" i="82"/>
  <c r="CG288" i="82"/>
  <c r="CH288" i="82"/>
  <c r="CI288" i="82"/>
  <c r="CJ288" i="82"/>
  <c r="CK288" i="82"/>
  <c r="CA289" i="82"/>
  <c r="CB289" i="82"/>
  <c r="CC289" i="82"/>
  <c r="CD289" i="82"/>
  <c r="CE289" i="82"/>
  <c r="CF289" i="82"/>
  <c r="CG289" i="82"/>
  <c r="CH289" i="82"/>
  <c r="CI289" i="82"/>
  <c r="CJ289" i="82"/>
  <c r="CK289" i="82"/>
  <c r="CA290" i="82"/>
  <c r="CB290" i="82"/>
  <c r="CC290" i="82"/>
  <c r="CD290" i="82"/>
  <c r="CE290" i="82"/>
  <c r="CF290" i="82"/>
  <c r="CG290" i="82"/>
  <c r="CH290" i="82"/>
  <c r="CI290" i="82"/>
  <c r="CJ290" i="82"/>
  <c r="CK290" i="82"/>
  <c r="CA291" i="82"/>
  <c r="CB291" i="82"/>
  <c r="CC291" i="82"/>
  <c r="CD291" i="82"/>
  <c r="CE291" i="82"/>
  <c r="CF291" i="82"/>
  <c r="CG291" i="82"/>
  <c r="CH291" i="82"/>
  <c r="CI291" i="82"/>
  <c r="CJ291" i="82"/>
  <c r="CK291" i="82"/>
  <c r="CA292" i="82"/>
  <c r="CB292" i="82"/>
  <c r="CC292" i="82"/>
  <c r="CD292" i="82"/>
  <c r="CE292" i="82"/>
  <c r="CF292" i="82"/>
  <c r="CG292" i="82"/>
  <c r="CH292" i="82"/>
  <c r="CI292" i="82"/>
  <c r="CJ292" i="82"/>
  <c r="CK292" i="82"/>
  <c r="CA293" i="82"/>
  <c r="CB293" i="82"/>
  <c r="CC293" i="82"/>
  <c r="CD293" i="82"/>
  <c r="CE293" i="82"/>
  <c r="CF293" i="82"/>
  <c r="CG293" i="82"/>
  <c r="CH293" i="82"/>
  <c r="CI293" i="82"/>
  <c r="CJ293" i="82"/>
  <c r="CK293" i="82"/>
  <c r="CA294" i="82"/>
  <c r="CB294" i="82"/>
  <c r="CC294" i="82"/>
  <c r="CD294" i="82"/>
  <c r="CE294" i="82"/>
  <c r="CF294" i="82"/>
  <c r="CG294" i="82"/>
  <c r="CH294" i="82"/>
  <c r="CI294" i="82"/>
  <c r="CJ294" i="82"/>
  <c r="CK294" i="82"/>
  <c r="CA295" i="82"/>
  <c r="CB295" i="82"/>
  <c r="CC295" i="82"/>
  <c r="CD295" i="82"/>
  <c r="CE295" i="82"/>
  <c r="CF295" i="82"/>
  <c r="CG295" i="82"/>
  <c r="CH295" i="82"/>
  <c r="CI295" i="82"/>
  <c r="CJ295" i="82"/>
  <c r="CK295" i="82"/>
  <c r="CA296" i="82"/>
  <c r="CB296" i="82"/>
  <c r="CC296" i="82"/>
  <c r="CD296" i="82"/>
  <c r="CE296" i="82"/>
  <c r="CF296" i="82"/>
  <c r="CG296" i="82"/>
  <c r="CH296" i="82"/>
  <c r="CI296" i="82"/>
  <c r="CJ296" i="82"/>
  <c r="CK296" i="82"/>
  <c r="CA297" i="82"/>
  <c r="CB297" i="82"/>
  <c r="CC297" i="82"/>
  <c r="CD297" i="82"/>
  <c r="CE297" i="82"/>
  <c r="CF297" i="82"/>
  <c r="CG297" i="82"/>
  <c r="CH297" i="82"/>
  <c r="CI297" i="82"/>
  <c r="CJ297" i="82"/>
  <c r="CK297" i="82"/>
  <c r="CA298" i="82"/>
  <c r="CB298" i="82"/>
  <c r="CC298" i="82"/>
  <c r="CD298" i="82"/>
  <c r="CE298" i="82"/>
  <c r="CF298" i="82"/>
  <c r="CG298" i="82"/>
  <c r="CH298" i="82"/>
  <c r="CI298" i="82"/>
  <c r="CJ298" i="82"/>
  <c r="CK298" i="82"/>
  <c r="CA299" i="82"/>
  <c r="CB299" i="82"/>
  <c r="CC299" i="82"/>
  <c r="CD299" i="82"/>
  <c r="CE299" i="82"/>
  <c r="CF299" i="82"/>
  <c r="CG299" i="82"/>
  <c r="CH299" i="82"/>
  <c r="CI299" i="82"/>
  <c r="CJ299" i="82"/>
  <c r="CK299" i="82"/>
  <c r="CA300" i="82"/>
  <c r="CB300" i="82"/>
  <c r="CC300" i="82"/>
  <c r="CD300" i="82"/>
  <c r="CE300" i="82"/>
  <c r="CF300" i="82"/>
  <c r="CG300" i="82"/>
  <c r="CH300" i="82"/>
  <c r="CI300" i="82"/>
  <c r="CJ300" i="82"/>
  <c r="CK300" i="82"/>
  <c r="CA301" i="82"/>
  <c r="CB301" i="82"/>
  <c r="CC301" i="82"/>
  <c r="CD301" i="82"/>
  <c r="CE301" i="82"/>
  <c r="CF301" i="82"/>
  <c r="CG301" i="82"/>
  <c r="CH301" i="82"/>
  <c r="CI301" i="82"/>
  <c r="CJ301" i="82"/>
  <c r="CK301" i="82"/>
  <c r="CA302" i="82"/>
  <c r="CB302" i="82"/>
  <c r="CC302" i="82"/>
  <c r="CD302" i="82"/>
  <c r="CE302" i="82"/>
  <c r="CF302" i="82"/>
  <c r="CG302" i="82"/>
  <c r="CH302" i="82"/>
  <c r="CI302" i="82"/>
  <c r="CJ302" i="82"/>
  <c r="CK302" i="82"/>
  <c r="CA303" i="82"/>
  <c r="CB303" i="82"/>
  <c r="CC303" i="82"/>
  <c r="CD303" i="82"/>
  <c r="CE303" i="82"/>
  <c r="CF303" i="82"/>
  <c r="CG303" i="82"/>
  <c r="CH303" i="82"/>
  <c r="CI303" i="82"/>
  <c r="CJ303" i="82"/>
  <c r="CK303" i="82"/>
  <c r="CA304" i="82"/>
  <c r="CB304" i="82"/>
  <c r="CC304" i="82"/>
  <c r="CD304" i="82"/>
  <c r="CE304" i="82"/>
  <c r="CF304" i="82"/>
  <c r="CG304" i="82"/>
  <c r="CH304" i="82"/>
  <c r="CI304" i="82"/>
  <c r="CJ304" i="82"/>
  <c r="CK304" i="82"/>
  <c r="CA305" i="82"/>
  <c r="CB305" i="82"/>
  <c r="CC305" i="82"/>
  <c r="CD305" i="82"/>
  <c r="CE305" i="82"/>
  <c r="CF305" i="82"/>
  <c r="CG305" i="82"/>
  <c r="CH305" i="82"/>
  <c r="CI305" i="82"/>
  <c r="CJ305" i="82"/>
  <c r="CK305" i="82"/>
  <c r="CA306" i="82"/>
  <c r="CB306" i="82"/>
  <c r="CC306" i="82"/>
  <c r="CD306" i="82"/>
  <c r="CE306" i="82"/>
  <c r="CF306" i="82"/>
  <c r="CG306" i="82"/>
  <c r="CH306" i="82"/>
  <c r="CI306" i="82"/>
  <c r="CJ306" i="82"/>
  <c r="CK306" i="82"/>
  <c r="CA307" i="82"/>
  <c r="CB307" i="82"/>
  <c r="CC307" i="82"/>
  <c r="CD307" i="82"/>
  <c r="CE307" i="82"/>
  <c r="CF307" i="82"/>
  <c r="CG307" i="82"/>
  <c r="CH307" i="82"/>
  <c r="CI307" i="82"/>
  <c r="CJ307" i="82"/>
  <c r="CK307" i="82"/>
  <c r="CA308" i="82"/>
  <c r="CB308" i="82"/>
  <c r="CC308" i="82"/>
  <c r="CD308" i="82"/>
  <c r="CE308" i="82"/>
  <c r="CF308" i="82"/>
  <c r="CG308" i="82"/>
  <c r="CH308" i="82"/>
  <c r="CI308" i="82"/>
  <c r="CJ308" i="82"/>
  <c r="CK308" i="82"/>
  <c r="BS309" i="84"/>
  <c r="BS313" i="84" s="1"/>
  <c r="BT309" i="84"/>
  <c r="BT313" i="84" s="1"/>
  <c r="BU309" i="84"/>
  <c r="BU313" i="84" s="1"/>
  <c r="BV309" i="84"/>
  <c r="BV313" i="84" s="1"/>
  <c r="BW309" i="84"/>
  <c r="BW313" i="84" s="1"/>
  <c r="BX309" i="84"/>
  <c r="BX313" i="84" s="1"/>
  <c r="BY309" i="84"/>
  <c r="BY313" i="84" s="1"/>
  <c r="BZ309" i="84"/>
  <c r="BZ313" i="84" s="1"/>
  <c r="BS310" i="84"/>
  <c r="BT310" i="84"/>
  <c r="BU310" i="84"/>
  <c r="BV310" i="84"/>
  <c r="BW310" i="84"/>
  <c r="BX310" i="84"/>
  <c r="BY310" i="84"/>
  <c r="BZ310" i="84"/>
  <c r="L219" i="28" l="1"/>
  <c r="C219" i="28"/>
  <c r="D17" i="91"/>
  <c r="E310" i="84" l="1"/>
  <c r="F310" i="84"/>
  <c r="G310" i="84"/>
  <c r="H310" i="84"/>
  <c r="I310" i="84"/>
  <c r="J310" i="84"/>
  <c r="K310" i="84"/>
  <c r="L310" i="84"/>
  <c r="M310" i="84"/>
  <c r="N310" i="84"/>
  <c r="O310" i="84"/>
  <c r="P310" i="84"/>
  <c r="Q310" i="84"/>
  <c r="R310" i="84"/>
  <c r="S310" i="84"/>
  <c r="T310" i="84"/>
  <c r="U310" i="84"/>
  <c r="V310" i="84"/>
  <c r="W310" i="84"/>
  <c r="X310" i="84"/>
  <c r="Y310" i="84"/>
  <c r="Z310" i="84"/>
  <c r="AA310" i="84"/>
  <c r="AB310" i="84"/>
  <c r="AC310" i="84"/>
  <c r="AD310" i="84"/>
  <c r="AE310" i="84"/>
  <c r="AF310" i="84"/>
  <c r="AG310" i="84"/>
  <c r="AH310" i="84"/>
  <c r="AI310" i="84"/>
  <c r="AJ310" i="84"/>
  <c r="AK310" i="84"/>
  <c r="AL310" i="84"/>
  <c r="AM310" i="84"/>
  <c r="AN310" i="84"/>
  <c r="AO310" i="84"/>
  <c r="AP310" i="84"/>
  <c r="AQ310" i="84"/>
  <c r="AR310" i="84"/>
  <c r="AS310" i="84"/>
  <c r="AT310" i="84"/>
  <c r="AU310" i="84"/>
  <c r="AV310" i="84"/>
  <c r="AW310" i="84"/>
  <c r="AX310" i="84"/>
  <c r="AY310" i="84"/>
  <c r="AZ310" i="84"/>
  <c r="BA310" i="84"/>
  <c r="BB310" i="84"/>
  <c r="BC310" i="84"/>
  <c r="BD310" i="84"/>
  <c r="BE310" i="84"/>
  <c r="BF310" i="84"/>
  <c r="BG310" i="84"/>
  <c r="BH310" i="84"/>
  <c r="BI310" i="84"/>
  <c r="BJ310" i="84"/>
  <c r="BK310" i="84"/>
  <c r="BL310" i="84"/>
  <c r="BM310" i="84"/>
  <c r="BN310" i="84"/>
  <c r="BO310" i="84"/>
  <c r="BP310" i="84"/>
  <c r="BQ310" i="84"/>
  <c r="BR310" i="84"/>
  <c r="D310" i="84"/>
  <c r="E309" i="84" l="1"/>
  <c r="E313" i="84" s="1"/>
  <c r="F309" i="84"/>
  <c r="F313" i="84" s="1"/>
  <c r="G309" i="84"/>
  <c r="G313" i="84" s="1"/>
  <c r="H309" i="84"/>
  <c r="H313" i="84" s="1"/>
  <c r="I309" i="84"/>
  <c r="I313" i="84" s="1"/>
  <c r="J309" i="84"/>
  <c r="J313" i="84" s="1"/>
  <c r="K309" i="84"/>
  <c r="K313" i="84" s="1"/>
  <c r="L309" i="84"/>
  <c r="L313" i="84" s="1"/>
  <c r="M309" i="84"/>
  <c r="M313" i="84" s="1"/>
  <c r="N309" i="84"/>
  <c r="N313" i="84" s="1"/>
  <c r="O309" i="84"/>
  <c r="O313" i="84" s="1"/>
  <c r="P309" i="84"/>
  <c r="P313" i="84" s="1"/>
  <c r="Q309" i="84"/>
  <c r="Q313" i="84" s="1"/>
  <c r="R309" i="84"/>
  <c r="R313" i="84" s="1"/>
  <c r="S309" i="84"/>
  <c r="S313" i="84" s="1"/>
  <c r="T309" i="84"/>
  <c r="T313" i="84" s="1"/>
  <c r="U309" i="84"/>
  <c r="U313" i="84" s="1"/>
  <c r="V309" i="84"/>
  <c r="V314" i="84" s="1"/>
  <c r="W309" i="84"/>
  <c r="W313" i="84" s="1"/>
  <c r="X309" i="84"/>
  <c r="X313" i="84" s="1"/>
  <c r="Y309" i="84"/>
  <c r="Y313" i="84" s="1"/>
  <c r="Z309" i="84"/>
  <c r="Z314" i="84" s="1"/>
  <c r="AA309" i="84"/>
  <c r="AA313" i="84" s="1"/>
  <c r="AB309" i="84"/>
  <c r="AB313" i="84" s="1"/>
  <c r="AC309" i="84"/>
  <c r="AC313" i="84" s="1"/>
  <c r="AD309" i="84"/>
  <c r="AD313" i="84" s="1"/>
  <c r="AE309" i="84"/>
  <c r="AE313" i="84" s="1"/>
  <c r="AF309" i="84"/>
  <c r="AF313" i="84" s="1"/>
  <c r="AG309" i="84"/>
  <c r="AG313" i="84" s="1"/>
  <c r="AH309" i="84"/>
  <c r="AH313" i="84" s="1"/>
  <c r="AI309" i="84"/>
  <c r="AI313" i="84" s="1"/>
  <c r="AJ309" i="84"/>
  <c r="AJ313" i="84" s="1"/>
  <c r="AK309" i="84"/>
  <c r="AK313" i="84" s="1"/>
  <c r="AL309" i="84"/>
  <c r="AL313" i="84" s="1"/>
  <c r="AM309" i="84"/>
  <c r="AM313" i="84" s="1"/>
  <c r="AN309" i="84"/>
  <c r="AN313" i="84" s="1"/>
  <c r="AO309" i="84"/>
  <c r="AO313" i="84" s="1"/>
  <c r="AP309" i="84"/>
  <c r="AP313" i="84" s="1"/>
  <c r="AQ309" i="84"/>
  <c r="AQ313" i="84" s="1"/>
  <c r="AR309" i="84"/>
  <c r="AR313" i="84" s="1"/>
  <c r="AS309" i="84"/>
  <c r="AS313" i="84" s="1"/>
  <c r="AT309" i="84"/>
  <c r="AT313" i="84" s="1"/>
  <c r="AU309" i="84"/>
  <c r="AU314" i="84" s="1"/>
  <c r="AV309" i="84"/>
  <c r="AV313" i="84" s="1"/>
  <c r="AW309" i="84"/>
  <c r="AW313" i="84" s="1"/>
  <c r="AX309" i="84"/>
  <c r="AX313" i="84" s="1"/>
  <c r="AY309" i="84"/>
  <c r="AY313" i="84" s="1"/>
  <c r="AZ309" i="84"/>
  <c r="AZ313" i="84" s="1"/>
  <c r="BA309" i="84"/>
  <c r="BA313" i="84" s="1"/>
  <c r="BB309" i="84"/>
  <c r="BB313" i="84" s="1"/>
  <c r="BC309" i="84"/>
  <c r="BC313" i="84" s="1"/>
  <c r="BD309" i="84"/>
  <c r="BD313" i="84" s="1"/>
  <c r="BE309" i="84"/>
  <c r="BE313" i="84" s="1"/>
  <c r="BF309" i="84"/>
  <c r="BF313" i="84" s="1"/>
  <c r="BG309" i="84"/>
  <c r="BG313" i="84" s="1"/>
  <c r="BH309" i="84"/>
  <c r="BH313" i="84" s="1"/>
  <c r="BI309" i="84"/>
  <c r="BI313" i="84" s="1"/>
  <c r="BJ309" i="84"/>
  <c r="BJ313" i="84" s="1"/>
  <c r="BK309" i="84"/>
  <c r="BK313" i="84" s="1"/>
  <c r="BL309" i="84"/>
  <c r="BL313" i="84" s="1"/>
  <c r="BM309" i="84"/>
  <c r="BM313" i="84" s="1"/>
  <c r="BN309" i="84"/>
  <c r="BN313" i="84" s="1"/>
  <c r="BO309" i="84"/>
  <c r="BO313" i="84" s="1"/>
  <c r="BP309" i="84"/>
  <c r="BP313" i="84" s="1"/>
  <c r="BQ309" i="84"/>
  <c r="BQ313" i="84" s="1"/>
  <c r="BR309" i="84"/>
  <c r="BR313" i="84" s="1"/>
  <c r="D309" i="84"/>
  <c r="D313" i="84" s="1"/>
  <c r="D26" i="91"/>
  <c r="D25" i="91"/>
  <c r="D22" i="91"/>
  <c r="D19" i="91"/>
  <c r="D15" i="91" l="1"/>
  <c r="D16" i="91"/>
  <c r="D14" i="91"/>
  <c r="E146" i="28" l="1"/>
  <c r="E147" i="28"/>
  <c r="M13" i="88"/>
  <c r="D33" i="91" l="1"/>
  <c r="D24" i="91"/>
  <c r="D23" i="91"/>
  <c r="D35" i="91" l="1"/>
  <c r="L239" i="28" l="1"/>
  <c r="L240" i="28"/>
  <c r="C220" i="28" l="1"/>
  <c r="E230" i="28"/>
  <c r="E229" i="28"/>
  <c r="G86" i="1" l="1"/>
  <c r="C109" i="72" l="1"/>
  <c r="E331" i="82" l="1"/>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D333" i="82"/>
  <c r="D332" i="82"/>
  <c r="D331"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D318"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CZ314" i="82"/>
  <c r="D314" i="82"/>
  <c r="CL305" i="82"/>
  <c r="CM305" i="82"/>
  <c r="CN305" i="82"/>
  <c r="CO305" i="82"/>
  <c r="CP305" i="82"/>
  <c r="CQ305" i="82"/>
  <c r="CR305" i="82"/>
  <c r="CS305" i="82"/>
  <c r="CT305" i="82"/>
  <c r="CU305" i="82"/>
  <c r="CV305" i="82"/>
  <c r="CW305" i="82"/>
  <c r="CX305" i="82"/>
  <c r="CY305" i="82"/>
  <c r="CZ305" i="82"/>
  <c r="CL306" i="82"/>
  <c r="CM306" i="82"/>
  <c r="CN306" i="82"/>
  <c r="CO306" i="82"/>
  <c r="CP306" i="82"/>
  <c r="CQ306" i="82"/>
  <c r="CR306" i="82"/>
  <c r="CS306" i="82"/>
  <c r="CT306" i="82"/>
  <c r="CU306" i="82"/>
  <c r="CV306" i="82"/>
  <c r="CW306" i="82"/>
  <c r="CX306" i="82"/>
  <c r="CY306" i="82"/>
  <c r="CZ306" i="82"/>
  <c r="E21" i="1"/>
  <c r="E14" i="1"/>
  <c r="E11" i="1"/>
  <c r="D322" i="82" l="1"/>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D321"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D323" i="82"/>
  <c r="D324" i="82"/>
  <c r="D325" i="82"/>
  <c r="D326"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D320"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AZ310" i="82"/>
  <c r="BA310" i="82"/>
  <c r="BB310" i="82"/>
  <c r="BC310" i="82"/>
  <c r="BD310" i="82"/>
  <c r="BE310" i="82"/>
  <c r="BF310" i="82"/>
  <c r="BG310" i="82"/>
  <c r="BH310" i="82"/>
  <c r="BI310" i="82"/>
  <c r="BJ310" i="82"/>
  <c r="BK310" i="82"/>
  <c r="BL310" i="82"/>
  <c r="BM310" i="82"/>
  <c r="BN310" i="82"/>
  <c r="BO310" i="82"/>
  <c r="BP310" i="82"/>
  <c r="BQ310" i="82"/>
  <c r="BR310" i="82"/>
  <c r="BS310" i="82"/>
  <c r="BT310" i="82"/>
  <c r="BU310" i="82"/>
  <c r="BV310" i="82"/>
  <c r="BW310" i="82"/>
  <c r="BX310" i="82"/>
  <c r="BY310" i="82"/>
  <c r="BZ310" i="82"/>
  <c r="CA310" i="82"/>
  <c r="CB310" i="82"/>
  <c r="CC310" i="82"/>
  <c r="CD310" i="82"/>
  <c r="CE310" i="82"/>
  <c r="CF310" i="82"/>
  <c r="CG310" i="82"/>
  <c r="CH310" i="82"/>
  <c r="CI310" i="82"/>
  <c r="CJ310" i="82"/>
  <c r="CK310" i="82"/>
  <c r="CL310" i="82"/>
  <c r="CM310" i="82"/>
  <c r="CN310" i="82"/>
  <c r="CO310" i="82"/>
  <c r="CP310" i="82"/>
  <c r="CQ310" i="82"/>
  <c r="CR310" i="82"/>
  <c r="CS310" i="82"/>
  <c r="CT310" i="82"/>
  <c r="CU310" i="82"/>
  <c r="CV310" i="82"/>
  <c r="CW310" i="82"/>
  <c r="CX310" i="82"/>
  <c r="CY310" i="82"/>
  <c r="CZ310"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2" i="82"/>
  <c r="F312" i="82"/>
  <c r="G312" i="82"/>
  <c r="H312" i="82"/>
  <c r="I312" i="82"/>
  <c r="J312" i="82"/>
  <c r="K312" i="82"/>
  <c r="L312" i="82"/>
  <c r="M312" i="82"/>
  <c r="N312" i="82"/>
  <c r="O312" i="82"/>
  <c r="P312" i="82"/>
  <c r="Q312" i="82"/>
  <c r="R312" i="82"/>
  <c r="S312" i="82"/>
  <c r="T312" i="82"/>
  <c r="U312" i="82"/>
  <c r="V312" i="82"/>
  <c r="W312" i="82"/>
  <c r="X312" i="82"/>
  <c r="Y312" i="82"/>
  <c r="Z312" i="82"/>
  <c r="AA312" i="82"/>
  <c r="AB312" i="82"/>
  <c r="AC312" i="82"/>
  <c r="AD312" i="82"/>
  <c r="AE312" i="82"/>
  <c r="AF312" i="82"/>
  <c r="AG312" i="82"/>
  <c r="AH312" i="82"/>
  <c r="AI312" i="82"/>
  <c r="AJ312" i="82"/>
  <c r="AK312" i="82"/>
  <c r="AL312" i="82"/>
  <c r="AM312" i="82"/>
  <c r="AN312" i="82"/>
  <c r="AO312" i="82"/>
  <c r="AP312" i="82"/>
  <c r="AQ312" i="82"/>
  <c r="AR312" i="82"/>
  <c r="AS312" i="82"/>
  <c r="AT312" i="82"/>
  <c r="AU312" i="82"/>
  <c r="AV312" i="82"/>
  <c r="AW312" i="82"/>
  <c r="AX312" i="82"/>
  <c r="AY312" i="82"/>
  <c r="AZ312" i="82"/>
  <c r="BA312" i="82"/>
  <c r="BB312" i="82"/>
  <c r="BC312" i="82"/>
  <c r="BD312" i="82"/>
  <c r="BE312" i="82"/>
  <c r="BF312" i="82"/>
  <c r="BG312" i="82"/>
  <c r="BH312" i="82"/>
  <c r="BI312" i="82"/>
  <c r="BJ312" i="82"/>
  <c r="BK312" i="82"/>
  <c r="BL312" i="82"/>
  <c r="BM312" i="82"/>
  <c r="BN312" i="82"/>
  <c r="BO312" i="82"/>
  <c r="BP312" i="82"/>
  <c r="BQ312" i="82"/>
  <c r="BR312" i="82"/>
  <c r="BS312" i="82"/>
  <c r="BT312" i="82"/>
  <c r="BU312" i="82"/>
  <c r="BV312" i="82"/>
  <c r="BW312" i="82"/>
  <c r="BX312" i="82"/>
  <c r="BY312" i="82"/>
  <c r="BZ312" i="82"/>
  <c r="CA312" i="82"/>
  <c r="CB312" i="82"/>
  <c r="CC312" i="82"/>
  <c r="CD312" i="82"/>
  <c r="CE312" i="82"/>
  <c r="CF312" i="82"/>
  <c r="CG312" i="82"/>
  <c r="CH312" i="82"/>
  <c r="CI312" i="82"/>
  <c r="CJ312" i="82"/>
  <c r="CK312" i="82"/>
  <c r="CL312" i="82"/>
  <c r="CM312" i="82"/>
  <c r="CN312" i="82"/>
  <c r="CO312" i="82"/>
  <c r="CP312" i="82"/>
  <c r="CQ312" i="82"/>
  <c r="CR312" i="82"/>
  <c r="CS312" i="82"/>
  <c r="CT312" i="82"/>
  <c r="CU312" i="82"/>
  <c r="CV312" i="82"/>
  <c r="CW312" i="82"/>
  <c r="CX312" i="82"/>
  <c r="CY312" i="82"/>
  <c r="CZ312"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D311" i="82"/>
  <c r="D312" i="82"/>
  <c r="D313" i="82"/>
  <c r="D310" i="82"/>
  <c r="E264" i="1"/>
  <c r="E261" i="1"/>
  <c r="E260" i="1"/>
  <c r="E255" i="1"/>
  <c r="E256" i="1"/>
  <c r="E257" i="1"/>
  <c r="E258" i="1"/>
  <c r="E259" i="1"/>
  <c r="E254" i="1"/>
  <c r="E251" i="1"/>
  <c r="E249" i="1"/>
  <c r="E247" i="1"/>
  <c r="E245" i="1"/>
  <c r="E243" i="1"/>
  <c r="E244" i="1"/>
  <c r="E242" i="1"/>
  <c r="E238" i="1"/>
  <c r="E235" i="1"/>
  <c r="E233" i="1"/>
  <c r="E234" i="1"/>
  <c r="E232" i="1"/>
  <c r="E231" i="1"/>
  <c r="E229" i="1"/>
  <c r="E227" i="1"/>
  <c r="E228" i="1"/>
  <c r="E226" i="1"/>
  <c r="E223" i="1"/>
  <c r="E221" i="1"/>
  <c r="E219" i="1"/>
  <c r="E220" i="1"/>
  <c r="E218" i="1"/>
  <c r="E215" i="1"/>
  <c r="E216" i="1"/>
  <c r="E214" i="1"/>
  <c r="E209" i="1"/>
  <c r="E207" i="1"/>
  <c r="E208" i="1"/>
  <c r="E206" i="1"/>
  <c r="E203" i="1"/>
  <c r="E201" i="1"/>
  <c r="E202" i="1"/>
  <c r="E200" i="1"/>
  <c r="E197" i="1"/>
  <c r="E195" i="1"/>
  <c r="E196" i="1"/>
  <c r="E194" i="1"/>
  <c r="E190" i="1"/>
  <c r="E189" i="1"/>
  <c r="E181" i="1"/>
  <c r="E182" i="1"/>
  <c r="E183" i="1"/>
  <c r="E184" i="1"/>
  <c r="E185" i="1"/>
  <c r="E173" i="1"/>
  <c r="E175" i="1"/>
  <c r="E177" i="1"/>
  <c r="E168" i="1"/>
  <c r="E169" i="1"/>
  <c r="E170" i="1"/>
  <c r="E171" i="1"/>
  <c r="E165" i="1"/>
  <c r="E166" i="1"/>
  <c r="E162" i="1"/>
  <c r="E164" i="1"/>
  <c r="E160" i="1"/>
  <c r="E161" i="1"/>
  <c r="E155" i="1"/>
  <c r="E151" i="1"/>
  <c r="E152" i="1"/>
  <c r="E153" i="1"/>
  <c r="E154" i="1"/>
  <c r="E147" i="1"/>
  <c r="E148" i="1"/>
  <c r="E149" i="1"/>
  <c r="E150" i="1"/>
  <c r="E143" i="1"/>
  <c r="E144" i="1"/>
  <c r="E145" i="1"/>
  <c r="E146" i="1"/>
  <c r="E139" i="1"/>
  <c r="E140" i="1"/>
  <c r="E142" i="1"/>
  <c r="E136" i="1"/>
  <c r="E137" i="1"/>
  <c r="E138" i="1"/>
  <c r="E132" i="1"/>
  <c r="E133" i="1"/>
  <c r="E134" i="1"/>
  <c r="E135" i="1"/>
  <c r="E128" i="1"/>
  <c r="E129" i="1"/>
  <c r="E130" i="1"/>
  <c r="E131" i="1"/>
  <c r="E125" i="1"/>
  <c r="E126" i="1"/>
  <c r="E127" i="1"/>
  <c r="E120" i="1"/>
  <c r="E121" i="1"/>
  <c r="E122" i="1"/>
  <c r="H155" i="1" s="1"/>
  <c r="E117" i="1"/>
  <c r="E118" i="1"/>
  <c r="E119" i="1"/>
  <c r="E114" i="1"/>
  <c r="E115" i="1"/>
  <c r="E116" i="1"/>
  <c r="E109" i="1"/>
  <c r="E110" i="1"/>
  <c r="E111" i="1"/>
  <c r="E112" i="1"/>
  <c r="E113" i="1"/>
  <c r="E105" i="1"/>
  <c r="E106" i="1"/>
  <c r="E107" i="1"/>
  <c r="E108" i="1"/>
  <c r="E100" i="1"/>
  <c r="E101" i="1"/>
  <c r="E102" i="1"/>
  <c r="E103" i="1"/>
  <c r="E97" i="1"/>
  <c r="E98" i="1"/>
  <c r="E99" i="1"/>
  <c r="E94" i="1"/>
  <c r="E95" i="1"/>
  <c r="E96" i="1"/>
  <c r="E91" i="1"/>
  <c r="E92" i="1"/>
  <c r="E93" i="1"/>
  <c r="E86" i="1"/>
  <c r="E87" i="1"/>
  <c r="E88" i="1"/>
  <c r="E89" i="1"/>
  <c r="E90" i="1"/>
  <c r="E81" i="1"/>
  <c r="E85" i="1"/>
  <c r="E79" i="1"/>
  <c r="E78" i="1"/>
  <c r="E75" i="1"/>
  <c r="E76" i="1"/>
  <c r="E69" i="1"/>
  <c r="E70" i="1"/>
  <c r="E71" i="1"/>
  <c r="E72" i="1"/>
  <c r="E73" i="1"/>
  <c r="E74" i="1"/>
  <c r="E64" i="1"/>
  <c r="E65" i="1"/>
  <c r="E66" i="1"/>
  <c r="E67" i="1"/>
  <c r="E68" i="1"/>
  <c r="E59" i="1"/>
  <c r="E60" i="1"/>
  <c r="E61" i="1"/>
  <c r="E63" i="1"/>
  <c r="E54" i="1"/>
  <c r="E55" i="1"/>
  <c r="E56" i="1"/>
  <c r="E57" i="1"/>
  <c r="E58" i="1"/>
  <c r="E51" i="1"/>
  <c r="E52" i="1"/>
  <c r="E53" i="1"/>
  <c r="E46" i="1"/>
  <c r="E47" i="1"/>
  <c r="E48" i="1"/>
  <c r="E49" i="1"/>
  <c r="E50" i="1"/>
  <c r="E43" i="1"/>
  <c r="E44" i="1"/>
  <c r="E39" i="1"/>
  <c r="E40" i="1"/>
  <c r="E41" i="1"/>
  <c r="E32" i="1"/>
  <c r="E33" i="1"/>
  <c r="E34" i="1"/>
  <c r="E35" i="1"/>
  <c r="E36" i="1"/>
  <c r="E37" i="1"/>
  <c r="E38" i="1"/>
  <c r="E31" i="1"/>
  <c r="E30" i="1"/>
  <c r="E27" i="1"/>
  <c r="E28" i="1"/>
  <c r="E10" i="1"/>
  <c r="E12" i="1"/>
  <c r="E13" i="1"/>
  <c r="E15" i="1"/>
  <c r="E16" i="1"/>
  <c r="E17" i="1"/>
  <c r="E18" i="1"/>
  <c r="E19" i="1"/>
  <c r="E20" i="1"/>
  <c r="E22" i="1"/>
  <c r="E23" i="1"/>
  <c r="E24" i="1"/>
  <c r="E25" i="1"/>
  <c r="E9" i="1"/>
  <c r="CL285" i="82"/>
  <c r="CM285" i="82"/>
  <c r="CN285" i="82"/>
  <c r="CO285" i="82"/>
  <c r="CP285" i="82"/>
  <c r="CQ285" i="82"/>
  <c r="CR285" i="82"/>
  <c r="CS285" i="82"/>
  <c r="CT285" i="82"/>
  <c r="CU285" i="82"/>
  <c r="CV285" i="82"/>
  <c r="CW285" i="82"/>
  <c r="CX285" i="82"/>
  <c r="CY285" i="82"/>
  <c r="CZ285" i="82"/>
  <c r="CL286" i="82"/>
  <c r="CM286" i="82"/>
  <c r="CN286" i="82"/>
  <c r="CO286" i="82"/>
  <c r="CP286" i="82"/>
  <c r="CQ286" i="82"/>
  <c r="CR286" i="82"/>
  <c r="CS286" i="82"/>
  <c r="CT286" i="82"/>
  <c r="CU286" i="82"/>
  <c r="CV286" i="82"/>
  <c r="CW286" i="82"/>
  <c r="CX286" i="82"/>
  <c r="CY286" i="82"/>
  <c r="CZ286" i="82"/>
  <c r="CL287" i="82"/>
  <c r="CM287" i="82"/>
  <c r="CN287" i="82"/>
  <c r="CO287" i="82"/>
  <c r="CP287" i="82"/>
  <c r="CQ287" i="82"/>
  <c r="CR287" i="82"/>
  <c r="CS287" i="82"/>
  <c r="CT287" i="82"/>
  <c r="CU287" i="82"/>
  <c r="CV287" i="82"/>
  <c r="CW287" i="82"/>
  <c r="CX287" i="82"/>
  <c r="CY287" i="82"/>
  <c r="CZ287" i="82"/>
  <c r="CL288" i="82"/>
  <c r="CM288" i="82"/>
  <c r="CN288" i="82"/>
  <c r="CO288" i="82"/>
  <c r="CP288" i="82"/>
  <c r="CQ288" i="82"/>
  <c r="CR288" i="82"/>
  <c r="CS288" i="82"/>
  <c r="CT288" i="82"/>
  <c r="CU288" i="82"/>
  <c r="CV288" i="82"/>
  <c r="CW288" i="82"/>
  <c r="CX288" i="82"/>
  <c r="CY288" i="82"/>
  <c r="CZ288" i="82"/>
  <c r="CL289" i="82"/>
  <c r="CM289" i="82"/>
  <c r="CN289" i="82"/>
  <c r="CO289" i="82"/>
  <c r="CP289" i="82"/>
  <c r="CQ289" i="82"/>
  <c r="CR289" i="82"/>
  <c r="CS289" i="82"/>
  <c r="CT289" i="82"/>
  <c r="CU289" i="82"/>
  <c r="CV289" i="82"/>
  <c r="CW289" i="82"/>
  <c r="CX289" i="82"/>
  <c r="CY289" i="82"/>
  <c r="CZ289" i="82"/>
  <c r="CL290" i="82"/>
  <c r="CM290" i="82"/>
  <c r="CN290" i="82"/>
  <c r="CO290" i="82"/>
  <c r="CP290" i="82"/>
  <c r="CQ290" i="82"/>
  <c r="CR290" i="82"/>
  <c r="CS290" i="82"/>
  <c r="CT290" i="82"/>
  <c r="CU290" i="82"/>
  <c r="CV290" i="82"/>
  <c r="CW290" i="82"/>
  <c r="CX290" i="82"/>
  <c r="CY290" i="82"/>
  <c r="CZ290" i="82"/>
  <c r="CL291" i="82"/>
  <c r="CM291" i="82"/>
  <c r="CN291" i="82"/>
  <c r="CO291" i="82"/>
  <c r="CP291" i="82"/>
  <c r="CQ291" i="82"/>
  <c r="CR291" i="82"/>
  <c r="CS291" i="82"/>
  <c r="CT291" i="82"/>
  <c r="CU291" i="82"/>
  <c r="CV291" i="82"/>
  <c r="CW291" i="82"/>
  <c r="CX291" i="82"/>
  <c r="CY291" i="82"/>
  <c r="CZ291" i="82"/>
  <c r="CL292" i="82"/>
  <c r="CM292" i="82"/>
  <c r="CN292" i="82"/>
  <c r="CO292" i="82"/>
  <c r="CP292" i="82"/>
  <c r="CQ292" i="82"/>
  <c r="CR292" i="82"/>
  <c r="CS292" i="82"/>
  <c r="CT292" i="82"/>
  <c r="CU292" i="82"/>
  <c r="CV292" i="82"/>
  <c r="CW292" i="82"/>
  <c r="CX292" i="82"/>
  <c r="CY292" i="82"/>
  <c r="CZ292" i="82"/>
  <c r="CL293" i="82"/>
  <c r="CM293" i="82"/>
  <c r="CN293" i="82"/>
  <c r="CO293" i="82"/>
  <c r="CP293" i="82"/>
  <c r="CQ293" i="82"/>
  <c r="CR293" i="82"/>
  <c r="CS293" i="82"/>
  <c r="CT293" i="82"/>
  <c r="CU293" i="82"/>
  <c r="CV293" i="82"/>
  <c r="CW293" i="82"/>
  <c r="CX293" i="82"/>
  <c r="CY293" i="82"/>
  <c r="CZ293" i="82"/>
  <c r="CL294" i="82"/>
  <c r="CM294" i="82"/>
  <c r="CN294" i="82"/>
  <c r="CO294" i="82"/>
  <c r="CP294" i="82"/>
  <c r="CQ294" i="82"/>
  <c r="CR294" i="82"/>
  <c r="CS294" i="82"/>
  <c r="CT294" i="82"/>
  <c r="CU294" i="82"/>
  <c r="CV294" i="82"/>
  <c r="CW294" i="82"/>
  <c r="CX294" i="82"/>
  <c r="CY294" i="82"/>
  <c r="CZ294" i="82"/>
  <c r="CL295" i="82"/>
  <c r="CM295" i="82"/>
  <c r="CN295" i="82"/>
  <c r="CO295" i="82"/>
  <c r="CP295" i="82"/>
  <c r="CQ295" i="82"/>
  <c r="CR295" i="82"/>
  <c r="CS295" i="82"/>
  <c r="CT295" i="82"/>
  <c r="CU295" i="82"/>
  <c r="CV295" i="82"/>
  <c r="CW295" i="82"/>
  <c r="CX295" i="82"/>
  <c r="CY295" i="82"/>
  <c r="CZ295" i="82"/>
  <c r="CL296" i="82"/>
  <c r="CM296" i="82"/>
  <c r="CN296" i="82"/>
  <c r="CO296" i="82"/>
  <c r="CP296" i="82"/>
  <c r="CQ296" i="82"/>
  <c r="CR296" i="82"/>
  <c r="CS296" i="82"/>
  <c r="CT296" i="82"/>
  <c r="CU296" i="82"/>
  <c r="CV296" i="82"/>
  <c r="CW296" i="82"/>
  <c r="CX296" i="82"/>
  <c r="CY296" i="82"/>
  <c r="CZ296" i="82"/>
  <c r="CL297" i="82"/>
  <c r="CM297" i="82"/>
  <c r="CN297" i="82"/>
  <c r="CO297" i="82"/>
  <c r="CP297" i="82"/>
  <c r="CQ297" i="82"/>
  <c r="CR297" i="82"/>
  <c r="CS297" i="82"/>
  <c r="CT297" i="82"/>
  <c r="CU297" i="82"/>
  <c r="CV297" i="82"/>
  <c r="CW297" i="82"/>
  <c r="CX297" i="82"/>
  <c r="CY297" i="82"/>
  <c r="CZ297" i="82"/>
  <c r="CL298" i="82"/>
  <c r="CM298" i="82"/>
  <c r="CN298" i="82"/>
  <c r="CO298" i="82"/>
  <c r="CP298" i="82"/>
  <c r="CQ298" i="82"/>
  <c r="CR298" i="82"/>
  <c r="CS298" i="82"/>
  <c r="CT298" i="82"/>
  <c r="CU298" i="82"/>
  <c r="CV298" i="82"/>
  <c r="CW298" i="82"/>
  <c r="CX298" i="82"/>
  <c r="CY298" i="82"/>
  <c r="CZ298" i="82"/>
  <c r="CL299" i="82"/>
  <c r="CM299" i="82"/>
  <c r="CN299" i="82"/>
  <c r="CO299" i="82"/>
  <c r="CP299" i="82"/>
  <c r="CQ299" i="82"/>
  <c r="CR299" i="82"/>
  <c r="CS299" i="82"/>
  <c r="CT299" i="82"/>
  <c r="CU299" i="82"/>
  <c r="CV299" i="82"/>
  <c r="CW299" i="82"/>
  <c r="CX299" i="82"/>
  <c r="CY299" i="82"/>
  <c r="CZ299" i="82"/>
  <c r="CL300" i="82"/>
  <c r="CM300" i="82"/>
  <c r="CN300" i="82"/>
  <c r="CO300" i="82"/>
  <c r="CP300" i="82"/>
  <c r="CQ300" i="82"/>
  <c r="CR300" i="82"/>
  <c r="CS300" i="82"/>
  <c r="CT300" i="82"/>
  <c r="CU300" i="82"/>
  <c r="CV300" i="82"/>
  <c r="CW300" i="82"/>
  <c r="CX300" i="82"/>
  <c r="CY300" i="82"/>
  <c r="CZ300" i="82"/>
  <c r="CL301" i="82"/>
  <c r="CM301" i="82"/>
  <c r="CN301" i="82"/>
  <c r="CO301" i="82"/>
  <c r="CP301" i="82"/>
  <c r="CQ301" i="82"/>
  <c r="CR301" i="82"/>
  <c r="CS301" i="82"/>
  <c r="CT301" i="82"/>
  <c r="CU301" i="82"/>
  <c r="CV301" i="82"/>
  <c r="CW301" i="82"/>
  <c r="CX301" i="82"/>
  <c r="CY301" i="82"/>
  <c r="CZ301" i="82"/>
  <c r="CL302" i="82"/>
  <c r="CM302" i="82"/>
  <c r="CN302" i="82"/>
  <c r="CO302" i="82"/>
  <c r="CP302" i="82"/>
  <c r="CQ302" i="82"/>
  <c r="CR302" i="82"/>
  <c r="CS302" i="82"/>
  <c r="CT302" i="82"/>
  <c r="CU302" i="82"/>
  <c r="CV302" i="82"/>
  <c r="CW302" i="82"/>
  <c r="CX302" i="82"/>
  <c r="CY302" i="82"/>
  <c r="CZ302" i="82"/>
  <c r="CL303" i="82"/>
  <c r="CM303" i="82"/>
  <c r="CN303" i="82"/>
  <c r="CO303" i="82"/>
  <c r="CP303" i="82"/>
  <c r="CQ303" i="82"/>
  <c r="CR303" i="82"/>
  <c r="CS303" i="82"/>
  <c r="CT303" i="82"/>
  <c r="CU303" i="82"/>
  <c r="CV303" i="82"/>
  <c r="CW303" i="82"/>
  <c r="CX303" i="82"/>
  <c r="CY303" i="82"/>
  <c r="CZ303" i="82"/>
  <c r="CL304" i="82"/>
  <c r="CM304" i="82"/>
  <c r="CN304" i="82"/>
  <c r="CO304" i="82"/>
  <c r="CP304" i="82"/>
  <c r="CQ304" i="82"/>
  <c r="CR304" i="82"/>
  <c r="CS304" i="82"/>
  <c r="CT304" i="82"/>
  <c r="CU304" i="82"/>
  <c r="CV304" i="82"/>
  <c r="CW304" i="82"/>
  <c r="CX304" i="82"/>
  <c r="CY304" i="82"/>
  <c r="CZ304" i="82"/>
  <c r="CL307" i="82"/>
  <c r="CM307" i="82"/>
  <c r="CN307" i="82"/>
  <c r="CO307" i="82"/>
  <c r="CP307" i="82"/>
  <c r="CQ307" i="82"/>
  <c r="CR307" i="82"/>
  <c r="CS307" i="82"/>
  <c r="CT307" i="82"/>
  <c r="CU307" i="82"/>
  <c r="CV307" i="82"/>
  <c r="CW307" i="82"/>
  <c r="CX307" i="82"/>
  <c r="CY307" i="82"/>
  <c r="CZ307" i="82"/>
  <c r="CL308" i="82"/>
  <c r="CM308" i="82"/>
  <c r="CN308" i="82"/>
  <c r="CO308" i="82"/>
  <c r="CP308" i="82"/>
  <c r="CQ308" i="82"/>
  <c r="CR308" i="82"/>
  <c r="CS308" i="82"/>
  <c r="CT308" i="82"/>
  <c r="CU308" i="82"/>
  <c r="CV308" i="82"/>
  <c r="CW308" i="82"/>
  <c r="CX308" i="82"/>
  <c r="CY308" i="82"/>
  <c r="CZ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AZ309" i="82"/>
  <c r="BA309" i="82"/>
  <c r="BB309" i="82"/>
  <c r="BC309" i="82"/>
  <c r="BD309" i="82"/>
  <c r="BE309" i="82"/>
  <c r="BF309" i="82"/>
  <c r="BG309" i="82"/>
  <c r="BH309" i="82"/>
  <c r="BI309" i="82"/>
  <c r="BJ309" i="82"/>
  <c r="BK309" i="82"/>
  <c r="BL309" i="82"/>
  <c r="BM309" i="82"/>
  <c r="BN309" i="82"/>
  <c r="BO309" i="82"/>
  <c r="BP309" i="82"/>
  <c r="BQ309" i="82"/>
  <c r="BR309" i="82"/>
  <c r="BS309" i="82"/>
  <c r="BT309" i="82"/>
  <c r="BU309" i="82"/>
  <c r="BV309" i="82"/>
  <c r="BW309" i="82"/>
  <c r="BX309" i="82"/>
  <c r="BY309" i="82"/>
  <c r="BZ309" i="82"/>
  <c r="CA309" i="82"/>
  <c r="CB309" i="82"/>
  <c r="CC309" i="82"/>
  <c r="CD309" i="82"/>
  <c r="CE309" i="82"/>
  <c r="CF309" i="82"/>
  <c r="CG309" i="82"/>
  <c r="CH309" i="82"/>
  <c r="CI309" i="82"/>
  <c r="CJ309" i="82"/>
  <c r="CK309" i="82"/>
  <c r="CL309" i="82"/>
  <c r="CM309" i="82"/>
  <c r="CN309" i="82"/>
  <c r="CO309" i="82"/>
  <c r="CP309" i="82"/>
  <c r="CQ309" i="82"/>
  <c r="CR309" i="82"/>
  <c r="CS309" i="82"/>
  <c r="CT309" i="82"/>
  <c r="CU309" i="82"/>
  <c r="CV309" i="82"/>
  <c r="CW309" i="82"/>
  <c r="CX309" i="82"/>
  <c r="CY309" i="82"/>
  <c r="CZ309"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D309" i="82"/>
  <c r="D319" i="82"/>
  <c r="D317" i="82"/>
  <c r="D316" i="82"/>
  <c r="D315" i="82"/>
  <c r="L327" i="82" l="1"/>
  <c r="CZ327" i="82"/>
  <c r="CR327" i="82"/>
  <c r="CR329" i="82" s="1"/>
  <c r="CR335" i="82" s="1"/>
  <c r="CJ327" i="82"/>
  <c r="CB327" i="82"/>
  <c r="BT327" i="82"/>
  <c r="BT329" i="82" s="1"/>
  <c r="BT335" i="82" s="1"/>
  <c r="BL327" i="82"/>
  <c r="BL329" i="82" s="1"/>
  <c r="BL335" i="82" s="1"/>
  <c r="BD327" i="82"/>
  <c r="BD329" i="82" s="1"/>
  <c r="BD335" i="82" s="1"/>
  <c r="AV327" i="82"/>
  <c r="AV329" i="82" s="1"/>
  <c r="AV335" i="82" s="1"/>
  <c r="AN327" i="82"/>
  <c r="AF327" i="82"/>
  <c r="AF329" i="82" s="1"/>
  <c r="AF335" i="82" s="1"/>
  <c r="X327" i="82"/>
  <c r="P327" i="82"/>
  <c r="H327" i="82"/>
  <c r="H329" i="82" s="1"/>
  <c r="H335" i="82" s="1"/>
  <c r="AM327" i="82"/>
  <c r="AM329" i="82" s="1"/>
  <c r="AM335" i="82" s="1"/>
  <c r="G327" i="82"/>
  <c r="G329" i="82" s="1"/>
  <c r="G335" i="82" s="1"/>
  <c r="CX327" i="82"/>
  <c r="CX329" i="82" s="1"/>
  <c r="CX335" i="82" s="1"/>
  <c r="BZ327" i="82"/>
  <c r="BZ329" i="82" s="1"/>
  <c r="BZ335" i="82" s="1"/>
  <c r="N327" i="82"/>
  <c r="N329" i="82" s="1"/>
  <c r="N335" i="82" s="1"/>
  <c r="CW327" i="82"/>
  <c r="CO327" i="82"/>
  <c r="CO329" i="82" s="1"/>
  <c r="CO335" i="82" s="1"/>
  <c r="CG327" i="82"/>
  <c r="CG329" i="82" s="1"/>
  <c r="CG335" i="82" s="1"/>
  <c r="BY327" i="82"/>
  <c r="BY329" i="82" s="1"/>
  <c r="BY335" i="82" s="1"/>
  <c r="BQ327" i="82"/>
  <c r="BQ329" i="82" s="1"/>
  <c r="BQ335" i="82" s="1"/>
  <c r="BI327" i="82"/>
  <c r="BA327" i="82"/>
  <c r="AS327" i="82"/>
  <c r="AK327" i="82"/>
  <c r="AC327" i="82"/>
  <c r="AC329" i="82" s="1"/>
  <c r="AC335" i="82" s="1"/>
  <c r="U327" i="82"/>
  <c r="U329" i="82" s="1"/>
  <c r="U335" i="82" s="1"/>
  <c r="M327" i="82"/>
  <c r="M329" i="82" s="1"/>
  <c r="M335" i="82" s="1"/>
  <c r="CQ327" i="82"/>
  <c r="AU327" i="82"/>
  <c r="CH327" i="82"/>
  <c r="CH329" i="82" s="1"/>
  <c r="CH335" i="82" s="1"/>
  <c r="BJ327" i="82"/>
  <c r="BJ329" i="82" s="1"/>
  <c r="BJ335" i="82" s="1"/>
  <c r="AT327" i="82"/>
  <c r="AL327" i="82"/>
  <c r="AL329" i="82" s="1"/>
  <c r="AL335" i="82" s="1"/>
  <c r="AD327" i="82"/>
  <c r="AD329" i="82" s="1"/>
  <c r="AD335" i="82" s="1"/>
  <c r="F327" i="82"/>
  <c r="F329" i="82" s="1"/>
  <c r="F335" i="82" s="1"/>
  <c r="D327" i="82"/>
  <c r="BR327" i="82"/>
  <c r="BR329" i="82" s="1"/>
  <c r="BR335" i="82" s="1"/>
  <c r="CT327" i="82"/>
  <c r="CT329" i="82" s="1"/>
  <c r="CT335" i="82" s="1"/>
  <c r="CL327" i="82"/>
  <c r="CL329" i="82" s="1"/>
  <c r="CL335" i="82" s="1"/>
  <c r="BK327" i="82"/>
  <c r="CP327" i="82"/>
  <c r="CP329" i="82" s="1"/>
  <c r="BB327" i="82"/>
  <c r="BB329" i="82" s="1"/>
  <c r="BB335" i="82" s="1"/>
  <c r="V327" i="82"/>
  <c r="V329" i="82" s="1"/>
  <c r="V335" i="82" s="1"/>
  <c r="CS327" i="82"/>
  <c r="CK327" i="82"/>
  <c r="CK329" i="82" s="1"/>
  <c r="CK335" i="82" s="1"/>
  <c r="CC327" i="82"/>
  <c r="CC329" i="82" s="1"/>
  <c r="CC335" i="82" s="1"/>
  <c r="BU327" i="82"/>
  <c r="BU329" i="82" s="1"/>
  <c r="BU335" i="82" s="1"/>
  <c r="BM327" i="82"/>
  <c r="BE327" i="82"/>
  <c r="BE329" i="82" s="1"/>
  <c r="BE335" i="82" s="1"/>
  <c r="AW327" i="82"/>
  <c r="AW329" i="82" s="1"/>
  <c r="AW335" i="82" s="1"/>
  <c r="AO327" i="82"/>
  <c r="AO329" i="82" s="1"/>
  <c r="AO335" i="82" s="1"/>
  <c r="AG327" i="82"/>
  <c r="AG329" i="82" s="1"/>
  <c r="AG335" i="82" s="1"/>
  <c r="Y327" i="82"/>
  <c r="Y329" i="82" s="1"/>
  <c r="Y335" i="82" s="1"/>
  <c r="Q327" i="82"/>
  <c r="Q329" i="82" s="1"/>
  <c r="Q335" i="82" s="1"/>
  <c r="I327" i="82"/>
  <c r="I329" i="82" s="1"/>
  <c r="I335" i="82" s="1"/>
  <c r="CD327" i="82"/>
  <c r="CD329" i="82" s="1"/>
  <c r="CD335" i="82" s="1"/>
  <c r="BV327" i="82"/>
  <c r="BV329" i="82" s="1"/>
  <c r="BV335" i="82" s="1"/>
  <c r="BN327" i="82"/>
  <c r="BN329" i="82" s="1"/>
  <c r="BN335" i="82" s="1"/>
  <c r="BF327" i="82"/>
  <c r="BF329" i="82" s="1"/>
  <c r="BF335" i="82" s="1"/>
  <c r="AX327" i="82"/>
  <c r="AX329" i="82" s="1"/>
  <c r="AX335" i="82" s="1"/>
  <c r="AP327" i="82"/>
  <c r="AP329" i="82" s="1"/>
  <c r="AP335" i="82" s="1"/>
  <c r="AH327" i="82"/>
  <c r="AH329" i="82" s="1"/>
  <c r="AH335" i="82" s="1"/>
  <c r="Z327" i="82"/>
  <c r="Z329" i="82" s="1"/>
  <c r="Z335" i="82" s="1"/>
  <c r="R327" i="82"/>
  <c r="R329" i="82" s="1"/>
  <c r="R335" i="82" s="1"/>
  <c r="J327" i="82"/>
  <c r="J329" i="82" s="1"/>
  <c r="J335" i="82" s="1"/>
  <c r="K327" i="82"/>
  <c r="K329" i="82" s="1"/>
  <c r="K335" i="82" s="1"/>
  <c r="CV327" i="82"/>
  <c r="CV329" i="82" s="1"/>
  <c r="CV335" i="82" s="1"/>
  <c r="CN327" i="82"/>
  <c r="CN329" i="82" s="1"/>
  <c r="CN335" i="82" s="1"/>
  <c r="CF327" i="82"/>
  <c r="CF329" i="82" s="1"/>
  <c r="CF335" i="82" s="1"/>
  <c r="BX327" i="82"/>
  <c r="BX329" i="82" s="1"/>
  <c r="BX335" i="82" s="1"/>
  <c r="BP327" i="82"/>
  <c r="BP329" i="82" s="1"/>
  <c r="BP335" i="82" s="1"/>
  <c r="BH327" i="82"/>
  <c r="BH329" i="82" s="1"/>
  <c r="BH335" i="82" s="1"/>
  <c r="AZ327" i="82"/>
  <c r="AZ329" i="82" s="1"/>
  <c r="AZ335" i="82" s="1"/>
  <c r="AR327" i="82"/>
  <c r="AR329" i="82" s="1"/>
  <c r="AR335" i="82" s="1"/>
  <c r="AJ327" i="82"/>
  <c r="AJ329" i="82" s="1"/>
  <c r="AJ335" i="82" s="1"/>
  <c r="AB327" i="82"/>
  <c r="AB329" i="82" s="1"/>
  <c r="AB335" i="82" s="1"/>
  <c r="T327" i="82"/>
  <c r="T329" i="82" s="1"/>
  <c r="T335" i="82" s="1"/>
  <c r="CU327" i="82"/>
  <c r="CU329" i="82" s="1"/>
  <c r="CU335" i="82" s="1"/>
  <c r="CE327" i="82"/>
  <c r="CE329" i="82" s="1"/>
  <c r="CE335" i="82" s="1"/>
  <c r="BO327" i="82"/>
  <c r="BO329" i="82" s="1"/>
  <c r="BO335" i="82" s="1"/>
  <c r="AY327" i="82"/>
  <c r="AY329" i="82" s="1"/>
  <c r="AY335" i="82" s="1"/>
  <c r="AI327" i="82"/>
  <c r="AI329" i="82" s="1"/>
  <c r="AI335" i="82" s="1"/>
  <c r="AA327" i="82"/>
  <c r="AA329" i="82" s="1"/>
  <c r="AA335" i="82" s="1"/>
  <c r="S327" i="82"/>
  <c r="S329" i="82" s="1"/>
  <c r="S335" i="82" s="1"/>
  <c r="CP335" i="82"/>
  <c r="BK329" i="82"/>
  <c r="BK335" i="82" s="1"/>
  <c r="AT329" i="82"/>
  <c r="AT335" i="82" s="1"/>
  <c r="BW327" i="82"/>
  <c r="BW329" i="82" s="1"/>
  <c r="BW335" i="82" s="1"/>
  <c r="BI329" i="82"/>
  <c r="BI335" i="82" s="1"/>
  <c r="CY327" i="82"/>
  <c r="CY329" i="82" s="1"/>
  <c r="CY335" i="82" s="1"/>
  <c r="CI327" i="82"/>
  <c r="CI329" i="82" s="1"/>
  <c r="CI335" i="82" s="1"/>
  <c r="CA327" i="82"/>
  <c r="CA329" i="82" s="1"/>
  <c r="CA335" i="82" s="1"/>
  <c r="BS327" i="82"/>
  <c r="BS329" i="82" s="1"/>
  <c r="BS335" i="82" s="1"/>
  <c r="BC327" i="82"/>
  <c r="BC329" i="82" s="1"/>
  <c r="BC335" i="82" s="1"/>
  <c r="AE327" i="82"/>
  <c r="AE329" i="82" s="1"/>
  <c r="AE335" i="82" s="1"/>
  <c r="W327" i="82"/>
  <c r="W329" i="82" s="1"/>
  <c r="W335" i="82" s="1"/>
  <c r="O327" i="82"/>
  <c r="O329" i="82" s="1"/>
  <c r="O335" i="82" s="1"/>
  <c r="BM329" i="82"/>
  <c r="BM335" i="82" s="1"/>
  <c r="AU329" i="82"/>
  <c r="AU335" i="82" s="1"/>
  <c r="BG327" i="82"/>
  <c r="BG329" i="82" s="1"/>
  <c r="BG335" i="82" s="1"/>
  <c r="CQ329" i="82"/>
  <c r="CQ335" i="82" s="1"/>
  <c r="CM327" i="82"/>
  <c r="CM329" i="82" s="1"/>
  <c r="CM335" i="82" s="1"/>
  <c r="AQ327" i="82"/>
  <c r="AQ329" i="82" s="1"/>
  <c r="AQ335" i="82" s="1"/>
  <c r="BA329" i="82"/>
  <c r="BA335" i="82" s="1"/>
  <c r="CW329" i="82"/>
  <c r="CW335" i="82" s="1"/>
  <c r="AS329" i="82"/>
  <c r="AS335" i="82" s="1"/>
  <c r="AK329" i="82"/>
  <c r="AK335" i="82" s="1"/>
  <c r="CS329" i="82"/>
  <c r="CS335" i="82" s="1"/>
  <c r="E327" i="82"/>
  <c r="E329" i="82" s="1"/>
  <c r="E335" i="82" s="1"/>
  <c r="L329" i="82"/>
  <c r="L335" i="82" s="1"/>
  <c r="CB329" i="82"/>
  <c r="CB335" i="82" s="1"/>
  <c r="P329" i="82"/>
  <c r="P335" i="82" s="1"/>
  <c r="CZ329" i="82"/>
  <c r="CZ335" i="82" s="1"/>
  <c r="CJ329" i="82"/>
  <c r="CJ335" i="82" s="1"/>
  <c r="AN329" i="82"/>
  <c r="AN335" i="82" s="1"/>
  <c r="X329" i="82"/>
  <c r="X335" i="82" s="1"/>
  <c r="C191" i="28" l="1"/>
  <c r="E189" i="28"/>
  <c r="L189" i="28" s="1"/>
  <c r="E190" i="28"/>
  <c r="L190" i="28" s="1"/>
  <c r="E191" i="28"/>
  <c r="L191" i="28" s="1"/>
  <c r="C190" i="28"/>
  <c r="C189" i="28"/>
  <c r="A190" i="28"/>
  <c r="A191" i="28"/>
  <c r="A189" i="28"/>
  <c r="B190" i="28"/>
  <c r="B191" i="28"/>
  <c r="B189" i="28"/>
  <c r="E232" i="28"/>
  <c r="C232" i="28"/>
  <c r="C231" i="28"/>
  <c r="C230" i="28"/>
  <c r="C229" i="28"/>
  <c r="H40" i="1" l="1"/>
  <c r="L231" i="28"/>
  <c r="D36" i="91"/>
  <c r="D37" i="91"/>
  <c r="D38" i="91"/>
  <c r="L230" i="28"/>
  <c r="L232" i="28"/>
  <c r="L229" i="28"/>
  <c r="E228" i="28"/>
  <c r="G40" i="1" l="1"/>
  <c r="E220" i="28" l="1"/>
  <c r="L220" i="28" s="1"/>
  <c r="E40" i="88" l="1"/>
  <c r="G40" i="88" s="1"/>
  <c r="E225" i="28"/>
  <c r="E258" i="28"/>
  <c r="E4" i="99" l="1"/>
  <c r="C4" i="99"/>
  <c r="B4" i="99"/>
  <c r="B44" i="91" l="1"/>
  <c r="B42" i="91"/>
  <c r="B40" i="91"/>
  <c r="B3" i="93" l="1"/>
  <c r="G71" i="28" l="1"/>
  <c r="G245" i="1"/>
  <c r="G244" i="1"/>
  <c r="G126" i="1"/>
  <c r="G100" i="1"/>
  <c r="G69" i="1" l="1"/>
  <c r="E257" i="28" l="1"/>
  <c r="C257" i="28"/>
  <c r="C228" i="28"/>
  <c r="A228" i="28"/>
  <c r="E227" i="28"/>
  <c r="C227" i="28"/>
  <c r="A227" i="28"/>
  <c r="E226" i="28"/>
  <c r="C226" i="28"/>
  <c r="A226" i="28"/>
  <c r="C225" i="28"/>
  <c r="A225" i="28"/>
  <c r="E224" i="28"/>
  <c r="C224" i="28"/>
  <c r="A224" i="28"/>
  <c r="E223" i="28"/>
  <c r="C223" i="28"/>
  <c r="A223" i="28"/>
  <c r="E222" i="28"/>
  <c r="C222" i="28"/>
  <c r="A222" i="28"/>
  <c r="C218" i="28"/>
  <c r="A218" i="28"/>
  <c r="E217" i="28"/>
  <c r="C217" i="28"/>
  <c r="A217" i="28"/>
  <c r="E216" i="28"/>
  <c r="C216" i="28"/>
  <c r="A216" i="28"/>
  <c r="E215" i="28"/>
  <c r="C215" i="28"/>
  <c r="A215" i="28"/>
  <c r="E214" i="28"/>
  <c r="C214" i="28"/>
  <c r="A214" i="28"/>
  <c r="E221" i="28"/>
  <c r="C221" i="28"/>
  <c r="A221" i="28"/>
  <c r="E213" i="28"/>
  <c r="C213" i="28"/>
  <c r="A213" i="28"/>
  <c r="E212" i="28"/>
  <c r="C212" i="28"/>
  <c r="A212" i="28"/>
  <c r="L238" i="28" l="1"/>
  <c r="L13" i="88" l="1"/>
  <c r="L258" i="28" l="1"/>
  <c r="D32" i="91" l="1"/>
  <c r="D21" i="91"/>
  <c r="D20" i="91"/>
  <c r="D12" i="91"/>
  <c r="D11" i="91"/>
  <c r="E178" i="28" l="1"/>
  <c r="E145" i="28"/>
  <c r="L145" i="28" s="1"/>
  <c r="L146" i="28"/>
  <c r="L147" i="28"/>
  <c r="E144" i="28"/>
  <c r="L218" i="28"/>
  <c r="E39" i="88" s="1"/>
  <c r="L217" i="28"/>
  <c r="L216" i="28"/>
  <c r="E36" i="88" s="1"/>
  <c r="AA216" i="28"/>
  <c r="AA217" i="28"/>
  <c r="AA218" i="28"/>
  <c r="L227" i="28"/>
  <c r="E42" i="88" s="1"/>
  <c r="L215" i="28"/>
  <c r="L214" i="28"/>
  <c r="AA214" i="28"/>
  <c r="AA215"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5" i="28"/>
  <c r="L195" i="28" s="1"/>
  <c r="F8" i="89" s="1"/>
  <c r="C195" i="28"/>
  <c r="B195" i="28"/>
  <c r="A195" i="28"/>
  <c r="G39" i="88" l="1"/>
  <c r="B1" i="89"/>
  <c r="B11" i="89" l="1"/>
  <c r="B7" i="89"/>
  <c r="A3" i="89"/>
  <c r="B10" i="89"/>
  <c r="B6" i="89"/>
  <c r="B12" i="89" l="1"/>
  <c r="B8" i="89"/>
  <c r="B16" i="89"/>
  <c r="C4" i="88"/>
  <c r="G36" i="88"/>
  <c r="G42" i="88"/>
  <c r="F22" i="89" l="1"/>
  <c r="E254" i="28"/>
  <c r="E255" i="28"/>
  <c r="AA80" i="28"/>
  <c r="AA81" i="28"/>
  <c r="AA82" i="28"/>
  <c r="AA83" i="28"/>
  <c r="AA84" i="28"/>
  <c r="AA85" i="28"/>
  <c r="AA183" i="28"/>
  <c r="AA233" i="28"/>
  <c r="AA234" i="28"/>
  <c r="AA235" i="28"/>
  <c r="AA236" i="28"/>
  <c r="AA237" i="28"/>
  <c r="AA238" i="28"/>
  <c r="AA239" i="28"/>
  <c r="AA240" i="28"/>
  <c r="AA241" i="28"/>
  <c r="AB241" i="28"/>
  <c r="AA242" i="28"/>
  <c r="AB242" i="28"/>
  <c r="AA243" i="28"/>
  <c r="AB243" i="28"/>
  <c r="AA244" i="28"/>
  <c r="AB244" i="28"/>
  <c r="AA245" i="28"/>
  <c r="AB245" i="28"/>
  <c r="AA246" i="28"/>
  <c r="AB246" i="28"/>
  <c r="AA260" i="28"/>
  <c r="AB238" i="28"/>
  <c r="AB240" i="28" l="1"/>
  <c r="N15" i="88"/>
  <c r="AB239" i="28"/>
  <c r="N24" i="88"/>
  <c r="CT341" i="82"/>
  <c r="CU341" i="82"/>
  <c r="CV341" i="82"/>
  <c r="CW341" i="82"/>
  <c r="CX341" i="82"/>
  <c r="CY341" i="82"/>
  <c r="CZ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D341" i="82"/>
  <c r="D329" i="82" l="1"/>
  <c r="D335" i="82" s="1"/>
  <c r="E204" i="1"/>
  <c r="E295" i="1" s="1"/>
  <c r="E191" i="1"/>
  <c r="E198" i="1"/>
  <c r="E294" i="1" s="1"/>
  <c r="E210" i="1"/>
  <c r="Y269" i="28"/>
  <c r="X267" i="28"/>
  <c r="X266" i="28"/>
  <c r="X269" i="28" s="1"/>
  <c r="Z269" i="28" s="1"/>
  <c r="E296" i="1" l="1"/>
  <c r="E293" i="1"/>
  <c r="E292" i="1"/>
  <c r="E211" i="1"/>
  <c r="E297" i="1" s="1"/>
  <c r="E299" i="1" l="1"/>
  <c r="I337" i="82" s="1"/>
  <c r="I339" i="82" s="1"/>
  <c r="A290" i="1"/>
  <c r="T337" i="82" l="1"/>
  <c r="T339" i="82" s="1"/>
  <c r="BL337" i="82"/>
  <c r="BL339" i="82" s="1"/>
  <c r="BM337" i="82"/>
  <c r="BM339" i="82" s="1"/>
  <c r="BH337" i="82"/>
  <c r="BH339" i="82" s="1"/>
  <c r="CN337" i="82"/>
  <c r="CN339" i="82" s="1"/>
  <c r="CR337" i="82"/>
  <c r="CR339" i="82" s="1"/>
  <c r="BY337" i="82"/>
  <c r="BY339" i="82" s="1"/>
  <c r="CV337" i="82"/>
  <c r="CV339" i="82" s="1"/>
  <c r="BD337" i="82"/>
  <c r="BD339" i="82" s="1"/>
  <c r="CT337" i="82"/>
  <c r="CT339" i="82" s="1"/>
  <c r="AM337" i="82"/>
  <c r="AM339" i="82" s="1"/>
  <c r="AH337" i="82"/>
  <c r="AH339" i="82" s="1"/>
  <c r="V337" i="82"/>
  <c r="V339" i="82" s="1"/>
  <c r="M337" i="82"/>
  <c r="M339" i="82" s="1"/>
  <c r="BS337" i="82"/>
  <c r="BS339" i="82" s="1"/>
  <c r="BZ337" i="82"/>
  <c r="BZ339" i="82" s="1"/>
  <c r="AA337" i="82"/>
  <c r="AA339" i="82" s="1"/>
  <c r="CI337" i="82"/>
  <c r="CI339" i="82" s="1"/>
  <c r="CZ337" i="82"/>
  <c r="CZ339" i="82" s="1"/>
  <c r="BF337" i="82"/>
  <c r="BF339" i="82" s="1"/>
  <c r="CA337" i="82"/>
  <c r="CA339" i="82" s="1"/>
  <c r="CM337" i="82"/>
  <c r="CM339" i="82" s="1"/>
  <c r="CH337" i="82"/>
  <c r="CH339" i="82" s="1"/>
  <c r="AE337" i="82"/>
  <c r="AE339" i="82" s="1"/>
  <c r="BO337" i="82"/>
  <c r="BO339" i="82" s="1"/>
  <c r="BJ337" i="82"/>
  <c r="BJ339" i="82" s="1"/>
  <c r="BA337" i="82"/>
  <c r="BA339" i="82" s="1"/>
  <c r="D337" i="82"/>
  <c r="D339" i="82" s="1"/>
  <c r="N337" i="82"/>
  <c r="N339" i="82" s="1"/>
  <c r="CJ337" i="82"/>
  <c r="CJ339" i="82" s="1"/>
  <c r="BK337" i="82"/>
  <c r="BK339" i="82" s="1"/>
  <c r="BQ337" i="82"/>
  <c r="BQ339" i="82" s="1"/>
  <c r="E337" i="82"/>
  <c r="E339" i="82" s="1"/>
  <c r="AX337" i="82"/>
  <c r="AX339" i="82" s="1"/>
  <c r="CE337" i="82"/>
  <c r="CE339" i="82" s="1"/>
  <c r="S337" i="82"/>
  <c r="S339" i="82" s="1"/>
  <c r="BE337" i="82"/>
  <c r="BE339" i="82" s="1"/>
  <c r="BT337" i="82"/>
  <c r="BT339" i="82" s="1"/>
  <c r="BC337" i="82"/>
  <c r="BC339" i="82" s="1"/>
  <c r="BR337" i="82"/>
  <c r="BR339" i="82" s="1"/>
  <c r="F337" i="82"/>
  <c r="F339" i="82" s="1"/>
  <c r="CB337" i="82"/>
  <c r="CB339" i="82" s="1"/>
  <c r="AU337" i="82"/>
  <c r="AU339" i="82" s="1"/>
  <c r="BI337" i="82"/>
  <c r="BI339" i="82" s="1"/>
  <c r="AB337" i="82"/>
  <c r="AB339" i="82" s="1"/>
  <c r="AP337" i="82"/>
  <c r="AP339" i="82" s="1"/>
  <c r="BW337" i="82"/>
  <c r="BW339" i="82" s="1"/>
  <c r="K337" i="82"/>
  <c r="K339" i="82" s="1"/>
  <c r="AW337" i="82"/>
  <c r="AW339" i="82" s="1"/>
  <c r="AO337" i="82"/>
  <c r="AO339" i="82" s="1"/>
  <c r="AG337" i="82"/>
  <c r="AG339" i="82" s="1"/>
  <c r="CF337" i="82"/>
  <c r="CF339" i="82" s="1"/>
  <c r="AN337" i="82"/>
  <c r="AN339" i="82" s="1"/>
  <c r="W337" i="82"/>
  <c r="W339" i="82" s="1"/>
  <c r="BB337" i="82"/>
  <c r="BB339" i="82" s="1"/>
  <c r="BX337" i="82"/>
  <c r="BX339" i="82" s="1"/>
  <c r="AV337" i="82"/>
  <c r="AV339" i="82" s="1"/>
  <c r="O337" i="82"/>
  <c r="O339" i="82" s="1"/>
  <c r="AS337" i="82"/>
  <c r="AS339" i="82" s="1"/>
  <c r="CL337" i="82"/>
  <c r="CL339" i="82" s="1"/>
  <c r="Z337" i="82"/>
  <c r="Z339" i="82" s="1"/>
  <c r="BG337" i="82"/>
  <c r="BG339" i="82" s="1"/>
  <c r="CS337" i="82"/>
  <c r="CS339" i="82" s="1"/>
  <c r="BP337" i="82"/>
  <c r="BP339" i="82" s="1"/>
  <c r="X337" i="82"/>
  <c r="X339" i="82" s="1"/>
  <c r="G337" i="82"/>
  <c r="G339" i="82" s="1"/>
  <c r="AT337" i="82"/>
  <c r="AT339" i="82" s="1"/>
  <c r="AZ337" i="82"/>
  <c r="AZ339" i="82" s="1"/>
  <c r="AF337" i="82"/>
  <c r="AF339" i="82" s="1"/>
  <c r="CW337" i="82"/>
  <c r="CW339" i="82" s="1"/>
  <c r="AK337" i="82"/>
  <c r="AK339" i="82" s="1"/>
  <c r="CD337" i="82"/>
  <c r="CD339" i="82" s="1"/>
  <c r="R337" i="82"/>
  <c r="R339" i="82" s="1"/>
  <c r="AY337" i="82"/>
  <c r="AY339" i="82" s="1"/>
  <c r="CK337" i="82"/>
  <c r="CK339" i="82" s="1"/>
  <c r="Y337" i="82"/>
  <c r="Y339" i="82" s="1"/>
  <c r="AQ337" i="82"/>
  <c r="AQ339" i="82" s="1"/>
  <c r="H337" i="82"/>
  <c r="H339" i="82" s="1"/>
  <c r="CX337" i="82"/>
  <c r="CX339" i="82" s="1"/>
  <c r="AL337" i="82"/>
  <c r="AL339" i="82" s="1"/>
  <c r="AJ337" i="82"/>
  <c r="AJ339" i="82" s="1"/>
  <c r="P337" i="82"/>
  <c r="P339" i="82" s="1"/>
  <c r="CO337" i="82"/>
  <c r="CO339" i="82" s="1"/>
  <c r="AC337" i="82"/>
  <c r="AC339" i="82" s="1"/>
  <c r="BV337" i="82"/>
  <c r="BV339" i="82" s="1"/>
  <c r="J337" i="82"/>
  <c r="J339" i="82" s="1"/>
  <c r="CC337" i="82"/>
  <c r="CC339" i="82" s="1"/>
  <c r="Q337" i="82"/>
  <c r="Q339" i="82" s="1"/>
  <c r="AR337" i="82"/>
  <c r="AR339" i="82" s="1"/>
  <c r="CY337" i="82"/>
  <c r="CY339" i="82" s="1"/>
  <c r="CP337" i="82"/>
  <c r="CP339" i="82" s="1"/>
  <c r="AD337" i="82"/>
  <c r="AD339" i="82" s="1"/>
  <c r="L337" i="82"/>
  <c r="L339" i="82" s="1"/>
  <c r="CQ337" i="82"/>
  <c r="CQ339" i="82" s="1"/>
  <c r="CG337" i="82"/>
  <c r="CG339" i="82" s="1"/>
  <c r="U337" i="82"/>
  <c r="U339" i="82" s="1"/>
  <c r="BN337" i="82"/>
  <c r="BN339" i="82" s="1"/>
  <c r="CU337" i="82"/>
  <c r="CU339" i="82" s="1"/>
  <c r="AI337" i="82"/>
  <c r="AI339" i="82" s="1"/>
  <c r="BU337" i="82"/>
  <c r="BU339" i="82" s="1"/>
  <c r="G114" i="1"/>
  <c r="G94" i="1"/>
  <c r="F286" i="1"/>
  <c r="E286" i="1"/>
  <c r="F284" i="1"/>
  <c r="E284" i="1"/>
  <c r="F283" i="1"/>
  <c r="E283" i="1"/>
  <c r="F282" i="1"/>
  <c r="E282" i="1"/>
  <c r="F281" i="1"/>
  <c r="E281" i="1"/>
  <c r="G11" i="1"/>
  <c r="G78" i="1" l="1"/>
  <c r="C251" i="28" l="1"/>
  <c r="E210" i="28" l="1"/>
  <c r="L226" i="28"/>
  <c r="AA226" i="28"/>
  <c r="AB226" i="28" l="1"/>
  <c r="G234" i="1"/>
  <c r="E248" i="28" l="1"/>
  <c r="E251" i="28" l="1"/>
  <c r="L257" i="28" l="1"/>
  <c r="AA257" i="28"/>
  <c r="AB257" i="28" l="1"/>
  <c r="G155" i="1"/>
  <c r="G138" i="1"/>
  <c r="G135" i="1" l="1"/>
  <c r="E209" i="28" l="1"/>
  <c r="C209" i="28"/>
  <c r="A209" i="28"/>
  <c r="AA209" i="28" s="1"/>
  <c r="L209" i="28" l="1"/>
  <c r="B17" i="89" l="1"/>
  <c r="B18" i="89" s="1"/>
  <c r="G16" i="89" s="1"/>
  <c r="AB209" i="28"/>
  <c r="G183" i="1"/>
  <c r="L210" i="28" l="1"/>
  <c r="E34" i="88" s="1"/>
  <c r="H210" i="28"/>
  <c r="A210" i="28"/>
  <c r="AA210" i="28" s="1"/>
  <c r="C210" i="28"/>
  <c r="A194" i="28"/>
  <c r="AA194" i="28" s="1"/>
  <c r="B194" i="28"/>
  <c r="C194" i="28"/>
  <c r="E194"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3" i="28"/>
  <c r="L212" i="28"/>
  <c r="AA228" i="28"/>
  <c r="AA225" i="28"/>
  <c r="AA224" i="28"/>
  <c r="AA223" i="28"/>
  <c r="AA222" i="28"/>
  <c r="AA213" i="28"/>
  <c r="AA212" i="28"/>
  <c r="G34" i="88" l="1"/>
  <c r="AB212" i="28"/>
  <c r="AB210" i="28"/>
  <c r="AB213" i="28"/>
  <c r="L194" i="28"/>
  <c r="F16" i="89" s="1"/>
  <c r="L155" i="28"/>
  <c r="L154" i="28"/>
  <c r="AB154" i="28" s="1"/>
  <c r="L153" i="28"/>
  <c r="L118" i="28"/>
  <c r="AB118" i="28" s="1"/>
  <c r="L54" i="28"/>
  <c r="L55" i="28"/>
  <c r="AB55" i="28" s="1"/>
  <c r="L225" i="28"/>
  <c r="E46" i="88" s="1"/>
  <c r="G46" i="88" s="1"/>
  <c r="L228" i="28"/>
  <c r="L221" i="28"/>
  <c r="L222" i="28"/>
  <c r="L223" i="28"/>
  <c r="L224" i="28"/>
  <c r="E32" i="88" l="1"/>
  <c r="E38" i="88"/>
  <c r="G38" i="88" s="1"/>
  <c r="AB153" i="28"/>
  <c r="AB228" i="28"/>
  <c r="AB224" i="28"/>
  <c r="AB223" i="28"/>
  <c r="F27" i="89"/>
  <c r="F28" i="89" s="1"/>
  <c r="AB222" i="28"/>
  <c r="AB225" i="28"/>
  <c r="AB54" i="28"/>
  <c r="AB194" i="28"/>
  <c r="AB155" i="28"/>
  <c r="E253" i="28" l="1"/>
  <c r="L254" i="28"/>
  <c r="AB254" i="28" s="1"/>
  <c r="L255" i="28"/>
  <c r="AB255" i="28" s="1"/>
  <c r="E256" i="28"/>
  <c r="E252" i="28"/>
  <c r="A253" i="28"/>
  <c r="AA253" i="28" s="1"/>
  <c r="A254" i="28"/>
  <c r="AA254" i="28" s="1"/>
  <c r="A255" i="28"/>
  <c r="AA255" i="28" s="1"/>
  <c r="A256" i="28"/>
  <c r="AA256" i="28" s="1"/>
  <c r="A252" i="28"/>
  <c r="AA252" i="28" s="1"/>
  <c r="F251" i="28"/>
  <c r="G270" i="1"/>
  <c r="F248" i="28" s="1"/>
  <c r="G271" i="1"/>
  <c r="F249" i="28" s="1"/>
  <c r="G272" i="1"/>
  <c r="F250" i="28" s="1"/>
  <c r="G269" i="1"/>
  <c r="F247" i="28" s="1"/>
  <c r="L256" i="28" l="1"/>
  <c r="AB256" i="28" s="1"/>
  <c r="L253" i="28"/>
  <c r="AB253" i="28" s="1"/>
  <c r="L252" i="28"/>
  <c r="AB252" i="28" s="1"/>
  <c r="C253" i="28"/>
  <c r="C254" i="28"/>
  <c r="C256" i="28"/>
  <c r="C252" i="28"/>
  <c r="G224" i="1" l="1"/>
  <c r="G111" i="1"/>
  <c r="G21" i="1"/>
  <c r="F256" i="28"/>
  <c r="F255" i="28"/>
  <c r="F254" i="28"/>
  <c r="F253" i="28"/>
  <c r="F252" i="28"/>
  <c r="G101" i="1" l="1"/>
  <c r="G120" i="1" l="1"/>
  <c r="G119" i="1"/>
  <c r="G118" i="1"/>
  <c r="G117" i="1"/>
  <c r="G116" i="1"/>
  <c r="G115" i="1"/>
  <c r="G109" i="1"/>
  <c r="G99" i="1"/>
  <c r="G98" i="1"/>
  <c r="G97" i="1"/>
  <c r="G96" i="1"/>
  <c r="G95" i="1"/>
  <c r="D3" i="1" l="1"/>
  <c r="B2" i="89" l="1"/>
  <c r="C5" i="88"/>
  <c r="L4" i="28"/>
  <c r="L25" i="88" l="1"/>
  <c r="L18" i="88"/>
  <c r="L11" i="88"/>
  <c r="L15" i="88"/>
  <c r="M28" i="88"/>
  <c r="M24" i="88"/>
  <c r="Q16" i="88"/>
  <c r="L28" i="88"/>
  <c r="L24" i="88"/>
  <c r="P16" i="88"/>
  <c r="M27" i="88"/>
  <c r="M21" i="88"/>
  <c r="D21" i="88" s="1"/>
  <c r="M16" i="88"/>
  <c r="L27" i="88"/>
  <c r="L21" i="88"/>
  <c r="C21" i="88" s="1"/>
  <c r="L16" i="88"/>
  <c r="Q25" i="88"/>
  <c r="M19" i="88"/>
  <c r="M15" i="88"/>
  <c r="P25" i="88"/>
  <c r="M25" i="88"/>
  <c r="M18" i="88"/>
  <c r="M11" i="88"/>
  <c r="L19" i="88"/>
  <c r="D18" i="88" l="1"/>
  <c r="D28" i="88"/>
  <c r="D27" i="88"/>
  <c r="C28" i="88"/>
  <c r="C18" i="88"/>
  <c r="C19" i="88"/>
  <c r="C27" i="88"/>
  <c r="D19" i="88"/>
  <c r="N202" i="28"/>
  <c r="E198" i="28"/>
  <c r="L198" i="28" l="1"/>
  <c r="AB198" i="28" s="1"/>
  <c r="C258" i="28"/>
  <c r="B258" i="28"/>
  <c r="A258" i="28"/>
  <c r="A251" i="28"/>
  <c r="AA251" i="28" s="1"/>
  <c r="E250" i="28"/>
  <c r="C250" i="28"/>
  <c r="A250" i="28"/>
  <c r="AA250" i="28" s="1"/>
  <c r="E249" i="28"/>
  <c r="C249" i="28"/>
  <c r="A249" i="28"/>
  <c r="AA249" i="28" s="1"/>
  <c r="C248" i="28"/>
  <c r="A248" i="28"/>
  <c r="AA248" i="28" s="1"/>
  <c r="E247" i="28"/>
  <c r="C247" i="28"/>
  <c r="A247" i="28"/>
  <c r="AA247" i="28" s="1"/>
  <c r="H211" i="28"/>
  <c r="E211" i="28"/>
  <c r="C211" i="28"/>
  <c r="A211" i="28"/>
  <c r="AA211" i="28" s="1"/>
  <c r="E208" i="28"/>
  <c r="C208" i="28"/>
  <c r="A208" i="28"/>
  <c r="AA208" i="28" s="1"/>
  <c r="H207" i="28"/>
  <c r="E207" i="28"/>
  <c r="C207" i="28"/>
  <c r="B207" i="28"/>
  <c r="A207" i="28"/>
  <c r="AA207" i="28" s="1"/>
  <c r="H206" i="28"/>
  <c r="E206" i="28"/>
  <c r="C206" i="28"/>
  <c r="B206" i="28"/>
  <c r="A206" i="28"/>
  <c r="AA206" i="28" s="1"/>
  <c r="E205" i="28"/>
  <c r="C205" i="28"/>
  <c r="B205" i="28"/>
  <c r="A205" i="28"/>
  <c r="AA205" i="28" s="1"/>
  <c r="E204" i="28"/>
  <c r="C204" i="28"/>
  <c r="B204" i="28"/>
  <c r="A204" i="28"/>
  <c r="AA204" i="28" s="1"/>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C198" i="28"/>
  <c r="B198" i="28"/>
  <c r="A198" i="28"/>
  <c r="AA198" i="28" s="1"/>
  <c r="E197" i="28"/>
  <c r="C197" i="28"/>
  <c r="B197" i="28"/>
  <c r="A197" i="28"/>
  <c r="AA197" i="28" s="1"/>
  <c r="E196" i="28"/>
  <c r="C196" i="28"/>
  <c r="B196" i="28"/>
  <c r="A196" i="28"/>
  <c r="AA196" i="28" s="1"/>
  <c r="E193" i="28"/>
  <c r="C193" i="28"/>
  <c r="B193" i="28"/>
  <c r="A193" i="28"/>
  <c r="AA193" i="28" s="1"/>
  <c r="E192" i="28"/>
  <c r="C192" i="28"/>
  <c r="B192" i="28"/>
  <c r="A192" i="28"/>
  <c r="AA192"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7" i="1"/>
  <c r="G263" i="1"/>
  <c r="H260" i="1"/>
  <c r="G260" i="1" s="1"/>
  <c r="H259" i="1"/>
  <c r="G259" i="1" s="1"/>
  <c r="H258" i="1"/>
  <c r="G258" i="1" s="1"/>
  <c r="G257" i="1"/>
  <c r="G256" i="1"/>
  <c r="G255" i="1"/>
  <c r="G254" i="1"/>
  <c r="G247" i="1"/>
  <c r="G243" i="1"/>
  <c r="G242" i="1"/>
  <c r="G238" i="1"/>
  <c r="H235" i="1"/>
  <c r="G235" i="1" s="1"/>
  <c r="H234" i="1"/>
  <c r="H233" i="1"/>
  <c r="G232" i="1"/>
  <c r="H229" i="1"/>
  <c r="G229" i="1" s="1"/>
  <c r="H228" i="1"/>
  <c r="G228" i="1"/>
  <c r="H227" i="1"/>
  <c r="G227" i="1"/>
  <c r="G226" i="1"/>
  <c r="G221" i="1"/>
  <c r="G220" i="1"/>
  <c r="G219" i="1"/>
  <c r="G218" i="1"/>
  <c r="G216" i="1"/>
  <c r="F210" i="1"/>
  <c r="G209" i="1"/>
  <c r="G208" i="1"/>
  <c r="G207" i="1"/>
  <c r="G206" i="1"/>
  <c r="F204" i="1"/>
  <c r="G203" i="1"/>
  <c r="G202" i="1"/>
  <c r="G201" i="1"/>
  <c r="G200" i="1"/>
  <c r="F198" i="1"/>
  <c r="E157" i="28"/>
  <c r="E156" i="28"/>
  <c r="G182" i="1"/>
  <c r="G177" i="1"/>
  <c r="G173" i="1"/>
  <c r="G166" i="1"/>
  <c r="G165" i="1"/>
  <c r="G162" i="1"/>
  <c r="G161" i="1"/>
  <c r="H154" i="1"/>
  <c r="G154" i="1" s="1"/>
  <c r="G153" i="1"/>
  <c r="G152" i="1"/>
  <c r="G150" i="1"/>
  <c r="G149" i="1"/>
  <c r="G148" i="1"/>
  <c r="G147" i="1"/>
  <c r="G146" i="1"/>
  <c r="G145" i="1"/>
  <c r="G144" i="1"/>
  <c r="G143" i="1"/>
  <c r="H137" i="1"/>
  <c r="G137" i="1" s="1"/>
  <c r="G136" i="1"/>
  <c r="G134" i="1"/>
  <c r="G132" i="1"/>
  <c r="G131" i="1"/>
  <c r="G129" i="1"/>
  <c r="G128" i="1"/>
  <c r="G127" i="1"/>
  <c r="H122" i="1"/>
  <c r="G122" i="1" s="1"/>
  <c r="G108" i="1"/>
  <c r="G106" i="1"/>
  <c r="G105" i="1"/>
  <c r="H103" i="1"/>
  <c r="G103" i="1"/>
  <c r="H138" i="1"/>
  <c r="H121" i="28" s="1"/>
  <c r="E80" i="28"/>
  <c r="G92" i="1"/>
  <c r="G90" i="1"/>
  <c r="G72" i="28"/>
  <c r="G81" i="1"/>
  <c r="G79" i="1"/>
  <c r="H76" i="1"/>
  <c r="G76" i="1" s="1"/>
  <c r="G74" i="1"/>
  <c r="G71" i="1"/>
  <c r="G68" i="1"/>
  <c r="G67" i="1"/>
  <c r="H59" i="1"/>
  <c r="G59" i="1"/>
  <c r="H78" i="1"/>
  <c r="G58" i="1"/>
  <c r="G57" i="1"/>
  <c r="G56" i="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60" i="28"/>
  <c r="AB260" i="28" s="1"/>
  <c r="H68" i="28" l="1"/>
  <c r="L247" i="28"/>
  <c r="AB247" i="28" s="1"/>
  <c r="L211" i="28"/>
  <c r="AB211" i="28" s="1"/>
  <c r="L207" i="28"/>
  <c r="AB207" i="28" s="1"/>
  <c r="L208" i="28"/>
  <c r="AB208" i="28" s="1"/>
  <c r="L203" i="28"/>
  <c r="L205" i="28"/>
  <c r="L202" i="28"/>
  <c r="AB202" i="28" s="1"/>
  <c r="L204" i="28"/>
  <c r="AB204" i="28" s="1"/>
  <c r="L206" i="28"/>
  <c r="AB206" i="28" s="1"/>
  <c r="L199" i="28"/>
  <c r="AB199" i="28" s="1"/>
  <c r="L201" i="28"/>
  <c r="AB201" i="28" s="1"/>
  <c r="L200" i="28"/>
  <c r="AB200" i="28" s="1"/>
  <c r="L196" i="28"/>
  <c r="L192" i="28"/>
  <c r="AB192" i="28" s="1"/>
  <c r="L188" i="28"/>
  <c r="AB188" i="28" s="1"/>
  <c r="L193" i="28"/>
  <c r="AB193"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7" i="28"/>
  <c r="AB197" i="28" s="1"/>
  <c r="L7" i="28"/>
  <c r="AB7" i="28" s="1"/>
  <c r="L17" i="28"/>
  <c r="O107" i="28"/>
  <c r="L249" i="28"/>
  <c r="AB249" i="28" s="1"/>
  <c r="L250" i="28"/>
  <c r="AB250" i="28" s="1"/>
  <c r="L248" i="28"/>
  <c r="AB248" i="28" s="1"/>
  <c r="L251" i="28"/>
  <c r="AB251" i="28" s="1"/>
  <c r="E99" i="28"/>
  <c r="E10" i="28"/>
  <c r="L10" i="28" s="1"/>
  <c r="G14" i="1"/>
  <c r="G15" i="1"/>
  <c r="G16" i="1"/>
  <c r="G17" i="1"/>
  <c r="G18" i="1"/>
  <c r="G19" i="1"/>
  <c r="E70" i="28"/>
  <c r="O89" i="28"/>
  <c r="O51" i="28"/>
  <c r="O19" i="28"/>
  <c r="F9" i="28"/>
  <c r="H137" i="28"/>
  <c r="F191" i="1"/>
  <c r="F211" i="1" s="1"/>
  <c r="N21" i="88" l="1"/>
  <c r="E21" i="88" s="1"/>
  <c r="G21" i="88" s="1"/>
  <c r="AB166" i="28"/>
  <c r="N19" i="88"/>
  <c r="E19" i="88" s="1"/>
  <c r="G19" i="88" s="1"/>
  <c r="N28" i="88"/>
  <c r="E28" i="88" s="1"/>
  <c r="G28" i="88" s="1"/>
  <c r="C10" i="99"/>
  <c r="E10" i="99" s="1"/>
  <c r="E12" i="99" s="1"/>
  <c r="D12" i="93"/>
  <c r="L9" i="88"/>
  <c r="E29" i="99"/>
  <c r="C28" i="99"/>
  <c r="E28" i="99" s="1"/>
  <c r="E26" i="99"/>
  <c r="AB157" i="28"/>
  <c r="N11" i="88"/>
  <c r="D11" i="93"/>
  <c r="AB64" i="28"/>
  <c r="D24" i="93"/>
  <c r="AB46" i="28"/>
  <c r="D18" i="93"/>
  <c r="D13" i="93"/>
  <c r="D21" i="93"/>
  <c r="D6" i="93"/>
  <c r="AB39" i="28"/>
  <c r="D7" i="93"/>
  <c r="AB47" i="28"/>
  <c r="AB65" i="28"/>
  <c r="D22" i="93"/>
  <c r="G14" i="88"/>
  <c r="D23" i="93"/>
  <c r="AB72" i="28"/>
  <c r="AB82" i="28"/>
  <c r="AB109" i="28"/>
  <c r="N18" i="88"/>
  <c r="E18" i="88" s="1"/>
  <c r="G18" i="88" s="1"/>
  <c r="AB125" i="28"/>
  <c r="N27" i="88"/>
  <c r="E27" i="88" s="1"/>
  <c r="G27" i="88" s="1"/>
  <c r="AB76" i="28"/>
  <c r="N16" i="88"/>
  <c r="G16" i="88" s="1"/>
  <c r="AB5" i="28"/>
  <c r="AB90" i="28"/>
  <c r="AB114" i="28"/>
  <c r="M20" i="88"/>
  <c r="N20" i="88" s="1"/>
  <c r="E20" i="88" s="1"/>
  <c r="G20" i="88" s="1"/>
  <c r="AB62" i="28"/>
  <c r="AB196" i="28"/>
  <c r="AB63" i="28"/>
  <c r="AB44" i="28"/>
  <c r="AB48" i="28"/>
  <c r="AB17" i="28"/>
  <c r="AB178" i="28"/>
  <c r="F24" i="89"/>
  <c r="L236" i="28"/>
  <c r="AB236" i="28" s="1"/>
  <c r="L70" i="28"/>
  <c r="AB70" i="28" s="1"/>
  <c r="AB111" i="28"/>
  <c r="AB185" i="28"/>
  <c r="AB205" i="28"/>
  <c r="AB74" i="28"/>
  <c r="AB186" i="28"/>
  <c r="AB203" i="28"/>
  <c r="AB142" i="28"/>
  <c r="AB58" i="28"/>
  <c r="AB67" i="28"/>
  <c r="AB69" i="28"/>
  <c r="AB96" i="28"/>
  <c r="AB123" i="28"/>
  <c r="AB138" i="28"/>
  <c r="F199" i="28"/>
  <c r="AB135" i="28"/>
  <c r="AB94" i="28"/>
  <c r="L99" i="28"/>
  <c r="L235" i="28"/>
  <c r="AB80" i="28"/>
  <c r="L234" i="28"/>
  <c r="AB234" i="28" s="1"/>
  <c r="AB59" i="28"/>
  <c r="AB51" i="28"/>
  <c r="AB43" i="28"/>
  <c r="AB38" i="28"/>
  <c r="L233" i="28"/>
  <c r="AB233" i="28" s="1"/>
  <c r="AB10" i="28"/>
  <c r="F34" i="28"/>
  <c r="G136" i="28"/>
  <c r="F68" i="28"/>
  <c r="G109" i="28"/>
  <c r="F121" i="28"/>
  <c r="F87" i="28"/>
  <c r="G125" i="28"/>
  <c r="F119" i="28"/>
  <c r="F104" i="28"/>
  <c r="F176" i="28"/>
  <c r="F18" i="28"/>
  <c r="F98" i="28"/>
  <c r="F175" i="28"/>
  <c r="F64" i="28"/>
  <c r="F25" i="28"/>
  <c r="F193" i="28"/>
  <c r="F96" i="28"/>
  <c r="F94" i="28"/>
  <c r="F49" i="28"/>
  <c r="F93" i="28"/>
  <c r="F201" i="28"/>
  <c r="F126" i="28"/>
  <c r="F192"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5" i="28"/>
  <c r="G121" i="28"/>
  <c r="F127" i="28"/>
  <c r="F200" i="28"/>
  <c r="F107" i="28"/>
  <c r="H187" i="28"/>
  <c r="F44" i="28"/>
  <c r="F17" i="28"/>
  <c r="F5" i="28"/>
  <c r="F137" i="28"/>
  <c r="F41" i="28"/>
  <c r="G34" i="28"/>
  <c r="G51" i="28"/>
  <c r="F52" i="28"/>
  <c r="F51" i="28"/>
  <c r="F21" i="28"/>
  <c r="H204"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3" i="28"/>
  <c r="F196" i="28"/>
  <c r="F184" i="28"/>
  <c r="E44" i="88" l="1"/>
  <c r="D26" i="93"/>
  <c r="E32" i="99"/>
  <c r="E34" i="99" s="1"/>
  <c r="C32" i="99"/>
  <c r="C12" i="99"/>
  <c r="C15" i="99" s="1"/>
  <c r="C18" i="99" s="1"/>
  <c r="D14" i="93"/>
  <c r="AB235" i="28"/>
  <c r="L8" i="88"/>
  <c r="O11" i="88" s="1"/>
  <c r="F11" i="88"/>
  <c r="G11" i="88"/>
  <c r="N25" i="88"/>
  <c r="G25" i="88" s="1"/>
  <c r="G32" i="88"/>
  <c r="L237" i="28"/>
  <c r="AB237" i="28" s="1"/>
  <c r="AB99" i="28"/>
  <c r="G205" i="28"/>
  <c r="G203" i="28"/>
  <c r="F70" i="28"/>
  <c r="G204" i="28"/>
  <c r="F205" i="28"/>
  <c r="F187" i="28"/>
  <c r="F204" i="28"/>
  <c r="F182" i="28"/>
  <c r="F203" i="28"/>
  <c r="C34" i="99" l="1"/>
  <c r="D28" i="93"/>
  <c r="B21" i="99"/>
  <c r="B22" i="99"/>
  <c r="C21" i="99"/>
  <c r="L263" i="28"/>
  <c r="L265" i="28" s="1"/>
  <c r="G44" i="88" l="1"/>
  <c r="F25" i="89" l="1"/>
</calcChain>
</file>

<file path=xl/sharedStrings.xml><?xml version="1.0" encoding="utf-8"?>
<sst xmlns="http://schemas.openxmlformats.org/spreadsheetml/2006/main" count="6629" uniqueCount="2661">
  <si>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</si>
  <si>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</si>
  <si>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</si>
  <si>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</si>
  <si>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</si>
  <si>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</si>
  <si>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</si>
  <si>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</si>
  <si>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</si>
  <si>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</si>
  <si>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</si>
  <si>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</si>
  <si>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</si>
  <si>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</si>
  <si>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</si>
  <si>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</si>
  <si>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</si>
  <si>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</si>
  <si>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</si>
  <si>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</si>
  <si>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</si>
  <si>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</si>
  <si>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</si>
  <si>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</si>
  <si>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</si>
  <si>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</si>
  <si>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</si>
  <si>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</si>
  <si>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</si>
  <si>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</si>
  <si>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</si>
  <si>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</si>
  <si>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</si>
  <si>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</si>
  <si>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</si>
  <si>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</si>
  <si>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</si>
  <si>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</si>
  <si>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</si>
  <si>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</si>
  <si>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</si>
  <si>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</si>
  <si>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</si>
  <si>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</si>
  <si>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</si>
  <si>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</si>
  <si>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</si>
  <si>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</si>
  <si>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</si>
  <si>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</si>
  <si>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</si>
  <si>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</si>
  <si>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</si>
  <si>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</si>
  <si>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</si>
  <si>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</si>
  <si>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</si>
  <si>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</si>
  <si>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</si>
  <si>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</si>
  <si>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</si>
  <si>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</si>
  <si>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</si>
  <si>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</si>
  <si>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</si>
  <si>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</si>
  <si>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</si>
  <si>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</si>
  <si>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</si>
  <si>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</si>
  <si>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</si>
  <si>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</si>
  <si>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</si>
  <si>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</si>
  <si>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</si>
  <si>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</si>
  <si>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</si>
  <si>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</si>
  <si>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</si>
  <si>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</si>
  <si>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</si>
  <si>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</si>
  <si>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</si>
  <si>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</si>
  <si>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</si>
  <si>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</si>
  <si>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</si>
  <si>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</si>
  <si>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</si>
  <si>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</si>
  <si>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</si>
  <si>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</si>
  <si>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</si>
  <si>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</si>
  <si>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</si>
  <si>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</si>
  <si>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</si>
  <si>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</si>
  <si>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</si>
  <si>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</si>
  <si>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</si>
  <si>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</si>
  <si>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</si>
  <si>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</si>
  <si>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</si>
  <si>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</si>
  <si>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</si>
  <si>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</si>
  <si>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</si>
  <si>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</si>
  <si>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</si>
  <si>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</si>
  <si>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</si>
  <si>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</si>
  <si>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</si>
  <si>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</si>
  <si>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</si>
  <si>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</si>
  <si>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</si>
  <si>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</si>
  <si>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</si>
  <si>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</si>
  <si>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</si>
  <si>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</si>
  <si>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</si>
  <si>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</si>
  <si>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</si>
  <si>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</si>
  <si>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</si>
  <si>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</si>
  <si>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</si>
  <si>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</si>
  <si>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</si>
  <si>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</si>
  <si>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</si>
  <si>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</si>
  <si>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</si>
  <si>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</si>
  <si>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</si>
  <si>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</si>
  <si>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</si>
  <si>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</si>
  <si>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</si>
  <si>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</si>
  <si>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</si>
  <si>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</si>
  <si>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</si>
  <si>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</si>
  <si>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</si>
  <si>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</si>
  <si>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</si>
  <si>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</si>
  <si>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</si>
  <si>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</si>
  <si>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</si>
  <si>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</si>
  <si>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</si>
  <si>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</si>
  <si>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</si>
  <si>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</si>
  <si>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</si>
  <si>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</si>
  <si>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</si>
  <si>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</si>
  <si>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</si>
  <si>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</si>
  <si>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</si>
  <si>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</si>
  <si>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</si>
  <si>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</si>
  <si>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</si>
  <si>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</si>
  <si>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</si>
  <si>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</si>
  <si>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</si>
  <si>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</si>
  <si>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</si>
  <si>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</si>
  <si>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</si>
  <si>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</si>
  <si>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</si>
  <si>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</si>
  <si>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</si>
  <si>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</si>
  <si>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</si>
  <si>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</si>
  <si>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</si>
  <si>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</si>
  <si>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</si>
  <si>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</si>
  <si>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</si>
  <si>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</si>
  <si>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</si>
  <si>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</si>
  <si>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</si>
  <si>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</si>
  <si>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</si>
  <si>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</si>
  <si>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</si>
  <si>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</si>
  <si>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</si>
  <si>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</si>
  <si>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</si>
  <si>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</si>
  <si>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</si>
  <si>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</si>
  <si>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</si>
  <si>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</si>
  <si>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</si>
  <si>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</si>
  <si>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</si>
  <si>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</si>
  <si>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</si>
  <si>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</si>
  <si>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</si>
  <si>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</si>
  <si>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</si>
  <si>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</si>
  <si>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</si>
  <si>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</si>
  <si>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</si>
  <si>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</si>
  <si>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</si>
  <si>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</si>
  <si>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</si>
  <si>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</si>
  <si>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</si>
  <si>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</si>
  <si>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</si>
  <si>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</si>
  <si>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</si>
  <si>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</si>
  <si>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</si>
  <si>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</si>
  <si>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</si>
  <si>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</si>
  <si>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</si>
  <si>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</si>
  <si>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</si>
  <si>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</si>
  <si>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</si>
  <si>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</si>
  <si>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</si>
  <si>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</si>
  <si>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</si>
  <si>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</si>
  <si>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</si>
  <si>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</si>
  <si>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</si>
  <si>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</si>
  <si>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</si>
  <si>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</si>
  <si>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</si>
  <si>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</si>
  <si>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</si>
  <si>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</si>
  <si>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</si>
  <si>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</si>
  <si>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</si>
  <si>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</si>
  <si>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</si>
  <si>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</si>
  <si>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</si>
  <si>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</si>
  <si>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</si>
  <si>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</si>
  <si>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</si>
  <si>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</si>
  <si>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</si>
  <si>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</si>
  <si>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</si>
  <si>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</si>
  <si>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</si>
  <si>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</si>
  <si>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</si>
  <si>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</si>
  <si>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</si>
  <si>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</si>
  <si>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</si>
  <si>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</si>
  <si>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</si>
  <si>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</si>
  <si>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</si>
  <si>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</si>
  <si>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</si>
  <si>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</si>
  <si>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</si>
  <si>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</si>
  <si>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</si>
  <si>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</si>
  <si>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</si>
  <si>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</si>
  <si>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</si>
  <si>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</si>
  <si>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</si>
  <si>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</si>
  <si>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</si>
  <si>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</si>
  <si>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</si>
  <si>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</si>
  <si>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</si>
  <si>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</si>
  <si>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</si>
  <si>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</si>
  <si>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</si>
  <si>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</si>
  <si>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</si>
  <si>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</si>
  <si>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</si>
  <si>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</si>
  <si>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</si>
  <si>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</si>
  <si>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</si>
  <si>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</si>
  <si>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</si>
  <si>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</si>
  <si>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</si>
  <si>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</si>
  <si>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</si>
  <si>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</si>
  <si>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</si>
  <si>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</si>
  <si>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</si>
  <si>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</si>
  <si>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</si>
  <si>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</si>
  <si>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</si>
  <si>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</si>
  <si>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</si>
  <si>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</si>
  <si>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</si>
  <si>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</si>
  <si>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</si>
  <si>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</si>
  <si>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</si>
  <si>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</si>
  <si>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</si>
  <si>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</si>
  <si>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</si>
  <si>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</si>
  <si>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</si>
  <si>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</si>
  <si>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</si>
  <si>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</si>
  <si>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</si>
  <si>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</si>
  <si>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</si>
  <si>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</si>
  <si>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</si>
  <si>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</si>
  <si>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</si>
  <si>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</si>
  <si>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</si>
  <si>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</si>
  <si>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</si>
  <si>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</si>
  <si>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</si>
  <si>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</si>
  <si>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</si>
  <si>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</si>
  <si>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</si>
  <si>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</si>
  <si>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</si>
  <si>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</si>
  <si>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</si>
  <si>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</si>
  <si>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</si>
  <si>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</si>
  <si>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</si>
  <si>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</si>
  <si>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</si>
  <si>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</si>
  <si>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</si>
  <si>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</si>
  <si>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</si>
  <si>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</si>
  <si>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</si>
  <si>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</si>
  <si>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</si>
  <si>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</si>
  <si>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</si>
  <si>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</si>
  <si>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</si>
  <si>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</si>
  <si>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</si>
  <si>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</si>
  <si>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</si>
  <si>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</si>
  <si>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</si>
  <si>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</si>
  <si>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</si>
  <si>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</si>
  <si>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</si>
  <si>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</si>
  <si>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</si>
  <si>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</si>
  <si>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</si>
  <si>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</si>
  <si>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</si>
  <si>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</si>
  <si>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</si>
  <si>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</si>
  <si>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</si>
  <si>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</si>
  <si>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</si>
  <si>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</si>
  <si>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</si>
  <si>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</si>
  <si>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</si>
  <si>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</si>
  <si>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</si>
  <si>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</si>
  <si>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</si>
  <si>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</si>
  <si>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</si>
  <si>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</si>
  <si>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</si>
  <si>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</si>
  <si>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</si>
  <si>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</si>
  <si>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</si>
  <si>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</si>
  <si>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</si>
  <si>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</si>
  <si>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</si>
  <si>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</si>
  <si>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</si>
  <si>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</si>
  <si>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</si>
  <si>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</si>
  <si>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</si>
  <si>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</si>
  <si>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</si>
  <si>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</si>
  <si>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</si>
  <si>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</si>
  <si>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</si>
  <si>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</si>
  <si>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</si>
  <si>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</si>
  <si>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</si>
  <si>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</si>
  <si>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</si>
  <si>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</si>
  <si>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</si>
  <si>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</si>
  <si>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</si>
  <si>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</si>
  <si>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</si>
  <si>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</si>
  <si>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</si>
  <si>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</si>
  <si>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</si>
  <si>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</si>
  <si>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</si>
  <si>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</si>
  <si>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</si>
  <si>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</si>
  <si>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</si>
  <si>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</si>
  <si>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</si>
  <si>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</si>
  <si>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</si>
  <si>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</si>
  <si>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</si>
  <si>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</si>
  <si>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</si>
  <si>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</si>
  <si>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</si>
  <si>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</si>
  <si>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</si>
  <si>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</si>
  <si>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</si>
  <si>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</si>
  <si>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</si>
  <si>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</si>
  <si>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</si>
  <si>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</si>
  <si>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</si>
  <si>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</si>
  <si>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</si>
  <si>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</si>
  <si>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</si>
  <si>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</si>
  <si>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</si>
  <si>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</si>
  <si>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</si>
  <si>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</si>
  <si>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</si>
  <si>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</si>
  <si>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</si>
  <si>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</si>
  <si>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</si>
  <si>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</si>
  <si>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</si>
  <si>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</si>
  <si>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</si>
  <si>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</si>
  <si>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</si>
  <si>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</si>
  <si>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</si>
  <si>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</si>
  <si>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</si>
  <si>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</si>
  <si>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</si>
  <si>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</si>
  <si>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</si>
  <si>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</si>
  <si>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</si>
  <si>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</si>
  <si>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</si>
  <si>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</si>
  <si>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</si>
  <si>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</si>
  <si>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</si>
  <si>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</si>
  <si>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</si>
  <si>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</si>
  <si>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</si>
  <si>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</si>
  <si>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</si>
  <si>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</si>
  <si>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</si>
  <si>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</si>
  <si>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</si>
  <si>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</si>
  <si>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</si>
  <si>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</si>
  <si>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</si>
  <si>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</si>
  <si>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</si>
  <si>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</si>
  <si>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</si>
  <si>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</si>
  <si>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</si>
  <si>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</si>
  <si>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</si>
  <si>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</si>
  <si>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</si>
  <si>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</si>
  <si>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</si>
  <si>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</si>
  <si>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</si>
  <si>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</si>
  <si>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</si>
  <si>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</si>
  <si>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</si>
  <si>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</si>
  <si>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</si>
  <si>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</si>
  <si>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</si>
  <si>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</si>
  <si>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</si>
  <si>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</si>
  <si>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</si>
  <si>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</si>
  <si>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</si>
  <si>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</si>
  <si>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</si>
  <si>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</si>
  <si>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</si>
  <si>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</si>
  <si>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</si>
  <si>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</si>
  <si>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</si>
  <si>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</si>
  <si>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</si>
  <si>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</si>
  <si>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</si>
  <si>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</si>
  <si>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</si>
  <si>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</si>
  <si>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</si>
  <si>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</si>
  <si>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</si>
  <si>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</si>
  <si>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</si>
  <si>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</si>
  <si>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</si>
  <si>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</si>
  <si>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</si>
  <si>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</si>
  <si>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</si>
  <si>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Amount of transfer out to the General Fund that is for Payment in Lieu of Taxes (PILOT)</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</si>
  <si>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</si>
  <si>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</si>
  <si>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</si>
  <si>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</si>
  <si>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</si>
  <si>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</si>
  <si>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</si>
  <si>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</si>
  <si>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</si>
  <si>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</si>
  <si>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</si>
  <si>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</si>
  <si>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</si>
  <si>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</si>
  <si>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</si>
  <si>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</si>
  <si>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</si>
  <si>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</si>
  <si>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</si>
  <si>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</si>
  <si>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</si>
  <si>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</si>
  <si>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</si>
  <si>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</si>
  <si>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</si>
  <si>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</si>
  <si>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</si>
  <si>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</si>
  <si>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</si>
  <si>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</si>
  <si>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</si>
  <si>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</si>
  <si>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</si>
  <si>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</si>
  <si>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</si>
  <si>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</si>
  <si>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</si>
  <si>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</si>
  <si>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</si>
  <si>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</si>
  <si>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</si>
  <si>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</si>
  <si>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</si>
  <si>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</si>
  <si>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</si>
  <si>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</si>
  <si>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</si>
  <si>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</si>
  <si>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</si>
  <si>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</si>
  <si>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</si>
  <si>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</si>
  <si>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</si>
  <si>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</si>
  <si>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</si>
  <si>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</si>
  <si>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</si>
  <si>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</si>
  <si>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</si>
  <si>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</si>
  <si>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</si>
  <si>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</si>
  <si>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</si>
  <si>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</si>
  <si>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</si>
  <si>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</si>
  <si>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</si>
  <si>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</si>
  <si>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</si>
  <si>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</si>
  <si>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</si>
  <si>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</si>
  <si>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</si>
  <si>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</si>
  <si>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</si>
  <si>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</si>
  <si>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</si>
  <si>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</si>
  <si>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</si>
  <si>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</si>
  <si>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</si>
  <si>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</si>
  <si>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</si>
  <si>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</si>
  <si>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</si>
  <si>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</si>
  <si>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</si>
  <si>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</si>
  <si>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</si>
  <si>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</si>
  <si>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</si>
  <si>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</si>
  <si>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</si>
  <si>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</si>
  <si>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</si>
  <si>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</si>
  <si>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</si>
  <si>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</si>
  <si>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</si>
  <si>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</si>
  <si>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</si>
  <si>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</si>
  <si>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</si>
  <si>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</si>
  <si>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</si>
  <si>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</si>
  <si>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</si>
  <si>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</si>
  <si>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</si>
  <si>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</si>
  <si>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</si>
  <si>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</si>
  <si>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</si>
  <si>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</si>
  <si>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</si>
  <si>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</si>
  <si>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</si>
  <si>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</si>
  <si>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</si>
  <si>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</si>
  <si>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</si>
  <si>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</si>
  <si>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</si>
  <si>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</si>
  <si>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</si>
  <si>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</si>
  <si>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</si>
  <si>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</si>
  <si>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</si>
  <si>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</si>
  <si>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</si>
  <si>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</si>
  <si>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</si>
  <si>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</si>
  <si>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</si>
  <si>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</si>
  <si>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</si>
  <si>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</si>
  <si>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</si>
  <si>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</si>
  <si>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</si>
  <si>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</si>
  <si>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</si>
  <si>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</si>
  <si>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</si>
  <si>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</si>
  <si>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</si>
  <si>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</si>
  <si>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</si>
  <si>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</si>
  <si>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</si>
  <si>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</si>
  <si>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</si>
  <si>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</si>
  <si>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</si>
  <si>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</si>
  <si>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</si>
  <si>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</si>
  <si>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</si>
  <si>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</si>
  <si>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</si>
  <si>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</si>
  <si>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</si>
  <si>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</si>
  <si>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</si>
  <si>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</si>
  <si>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</si>
  <si>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</si>
  <si>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</si>
  <si>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</si>
  <si>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</si>
  <si>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</si>
  <si>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</si>
  <si>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</si>
  <si>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</si>
  <si>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</si>
  <si>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</si>
  <si>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</si>
  <si>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</si>
  <si>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</si>
  <si>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</si>
  <si>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</si>
  <si>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</si>
  <si>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</si>
  <si>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</si>
  <si>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</si>
  <si>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</si>
  <si>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</si>
  <si>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</si>
  <si>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</si>
  <si>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</si>
  <si>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</si>
  <si>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</si>
  <si>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</si>
  <si>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</si>
  <si>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</si>
  <si>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</si>
  <si>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</si>
  <si>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</si>
  <si>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</si>
  <si>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</si>
  <si>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</si>
  <si>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</si>
  <si>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</si>
  <si>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</si>
  <si>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</si>
  <si>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</si>
  <si>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</si>
  <si>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</si>
  <si>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</si>
  <si>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</si>
  <si>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</si>
  <si>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</si>
  <si>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</si>
  <si>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</si>
  <si>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</si>
  <si>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</si>
  <si>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</si>
  <si>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</si>
  <si>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</si>
  <si>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</si>
  <si>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</si>
  <si>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</si>
  <si>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</si>
  <si>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</si>
  <si>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</si>
  <si>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</si>
  <si>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</si>
  <si>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</si>
  <si>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</si>
  <si>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</si>
  <si>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</si>
  <si>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</si>
  <si>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</si>
  <si>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</si>
  <si>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</si>
  <si>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</si>
  <si>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</si>
  <si>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</si>
  <si>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</si>
  <si>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</si>
  <si>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</si>
  <si>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</si>
  <si>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</si>
  <si>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</si>
  <si>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</si>
  <si>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</si>
  <si>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</si>
  <si>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</si>
  <si>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</si>
  <si>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</si>
  <si>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</si>
  <si>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</si>
  <si>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</si>
  <si>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</si>
  <si>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</si>
  <si>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</si>
  <si>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</si>
  <si>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</si>
  <si>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</si>
  <si>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</si>
  <si>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</si>
  <si>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</si>
  <si>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</si>
  <si>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</si>
  <si>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</si>
  <si>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</si>
  <si>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</si>
  <si>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</si>
  <si>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</si>
  <si>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</si>
  <si>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</si>
  <si>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</si>
  <si>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</si>
  <si>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</si>
  <si>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</si>
  <si>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</si>
  <si>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</si>
  <si>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</si>
  <si>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</si>
  <si>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</si>
  <si>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</si>
  <si>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</si>
  <si>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</si>
  <si>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</si>
  <si>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</si>
  <si>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</si>
  <si>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</si>
  <si>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</si>
  <si>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</si>
  <si>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</si>
  <si>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</si>
  <si>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</si>
  <si>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</si>
  <si>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</si>
  <si>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</si>
  <si>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</si>
  <si>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</si>
  <si>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</si>
  <si>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</si>
  <si>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</si>
  <si>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</si>
  <si>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</si>
  <si>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</si>
  <si>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</si>
  <si>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</si>
  <si>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</si>
  <si>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</si>
  <si>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</si>
  <si>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</si>
  <si>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</si>
  <si>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</si>
  <si>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</si>
  <si>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</si>
  <si>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</si>
  <si>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</si>
  <si>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</si>
  <si>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</si>
  <si>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</si>
  <si>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</si>
  <si>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</si>
  <si>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</si>
  <si>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</si>
  <si>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</si>
  <si>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</si>
  <si>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</si>
  <si>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</si>
  <si>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</si>
  <si>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</si>
  <si>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</si>
  <si>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</si>
  <si>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</si>
  <si>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</si>
  <si>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</si>
  <si>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</si>
  <si>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</si>
  <si>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</si>
  <si>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</si>
  <si>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</si>
  <si>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</si>
  <si>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</si>
  <si>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</si>
  <si>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</si>
  <si>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</si>
  <si>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</si>
  <si>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</si>
  <si>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</si>
  <si>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</si>
  <si>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</si>
  <si>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</si>
  <si>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</si>
  <si>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</si>
  <si>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</si>
  <si>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</si>
  <si>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</si>
  <si>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</si>
  <si>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</si>
  <si>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</si>
  <si>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</si>
  <si>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</si>
  <si>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</si>
  <si>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</si>
  <si>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</si>
  <si>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</si>
  <si>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</si>
  <si>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</si>
  <si>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</si>
  <si>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</si>
  <si>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</si>
  <si>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</si>
  <si>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</si>
  <si>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</si>
  <si>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</si>
  <si>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</si>
  <si>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</si>
  <si>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</si>
  <si>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</si>
  <si>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</si>
  <si>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</si>
  <si>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</si>
  <si>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</si>
  <si>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</si>
  <si>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</si>
  <si>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</si>
  <si>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</si>
  <si>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</si>
  <si>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</si>
  <si>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</si>
  <si>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</si>
  <si>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</si>
  <si>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</si>
  <si>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</si>
  <si>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</si>
  <si>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</si>
  <si>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</si>
  <si>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</si>
  <si>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</si>
  <si>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</si>
  <si>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</si>
  <si>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</si>
  <si>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</si>
  <si>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</si>
  <si>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</si>
  <si>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</si>
  <si>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</si>
  <si>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</si>
  <si>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</si>
  <si>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</si>
  <si>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</si>
  <si>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</si>
  <si>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</si>
  <si>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</si>
  <si>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</si>
  <si>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</si>
  <si>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</si>
  <si>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Date the FO signed the Data Input worksheet</t>
  </si>
  <si>
    <t>11/15/2021</t>
  </si>
  <si>
    <t>12/1/2021</t>
  </si>
  <si>
    <t>10/29/2021</t>
  </si>
  <si>
    <t>11/16/2021</t>
  </si>
  <si>
    <t>11/22/2021</t>
  </si>
  <si>
    <t>11/19/2021</t>
  </si>
  <si>
    <t>11/30/2021</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</si>
  <si>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</si>
  <si>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</si>
  <si>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</si>
  <si>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</si>
  <si>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</si>
  <si>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</si>
  <si>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</si>
  <si>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</si>
  <si>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12/6/2021</t>
  </si>
  <si>
    <t>12/14/2021</t>
  </si>
  <si>
    <t>12/21/2021</t>
  </si>
  <si>
    <t>1/11/2022</t>
  </si>
  <si>
    <t>12/13/2021</t>
  </si>
  <si>
    <t>12/7/2021</t>
  </si>
  <si>
    <t>1/4/2022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</si>
  <si>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</si>
  <si>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</si>
  <si>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</si>
  <si>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</si>
  <si>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</si>
  <si>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</si>
  <si>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</si>
  <si>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</si>
  <si>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</si>
  <si>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</si>
  <si>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</si>
  <si>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</si>
  <si>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</si>
  <si>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</si>
  <si>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</si>
  <si>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</si>
  <si>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</si>
  <si>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</si>
  <si>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</si>
  <si>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</si>
  <si>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</si>
  <si>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</si>
  <si>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</si>
  <si>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</si>
  <si>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</si>
  <si>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</si>
  <si>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</si>
  <si>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</si>
  <si>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</si>
  <si>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</si>
  <si>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</si>
  <si>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</si>
  <si>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</si>
  <si>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</si>
  <si>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</si>
  <si>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</si>
  <si>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</si>
  <si>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</si>
  <si>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</si>
  <si>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</si>
  <si>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</si>
  <si>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</si>
  <si>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</si>
  <si>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</si>
  <si>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</si>
  <si>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</si>
  <si>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</si>
  <si>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</si>
  <si>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</si>
  <si>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</si>
  <si>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</si>
  <si>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</si>
  <si>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</si>
  <si>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</si>
  <si>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</si>
  <si>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</si>
  <si>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</si>
  <si>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</si>
  <si>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</si>
  <si>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</si>
  <si>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</si>
  <si>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</si>
  <si>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</si>
  <si>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</si>
  <si>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</si>
  <si>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</si>
  <si>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</si>
  <si>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</si>
  <si>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</si>
  <si>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</si>
  <si>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</si>
  <si>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</si>
  <si>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</si>
  <si>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</si>
  <si>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</si>
  <si>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</si>
  <si>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</si>
  <si>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</si>
  <si>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</si>
  <si>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</si>
  <si>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</si>
  <si>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</si>
  <si>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</si>
  <si>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</si>
  <si>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</si>
  <si>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</si>
  <si>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</si>
  <si>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</si>
  <si>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</si>
  <si>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</si>
  <si>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</si>
  <si>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</si>
  <si>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</si>
  <si>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</si>
  <si>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</si>
  <si>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</si>
  <si>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</si>
  <si>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</si>
  <si>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</si>
  <si>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</si>
  <si>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</si>
  <si>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</si>
  <si>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</si>
  <si>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</si>
  <si>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</si>
  <si>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</si>
  <si>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</si>
  <si>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</si>
  <si>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</si>
  <si>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</si>
  <si>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Graham</t>
  </si>
  <si>
    <t>Hudson</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</si>
  <si>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</si>
  <si>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</si>
  <si>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</si>
  <si>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</si>
  <si>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</si>
  <si>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</si>
  <si>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</si>
  <si>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</si>
  <si>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</si>
  <si>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</si>
  <si>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</si>
  <si>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</si>
  <si>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</si>
  <si>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</si>
  <si>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</si>
  <si>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</si>
  <si>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7.</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</si>
  <si>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</si>
  <si>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</si>
  <si>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</si>
  <si>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</si>
  <si>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</si>
  <si>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</si>
  <si>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</si>
  <si>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</si>
  <si>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</si>
  <si>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</si>
  <si>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</si>
  <si>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</si>
  <si>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</si>
  <si>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</si>
  <si>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</si>
  <si>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</si>
  <si>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</si>
  <si>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</si>
  <si>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</si>
  <si>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</si>
  <si>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</si>
  <si>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</si>
  <si>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</si>
  <si>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</si>
  <si>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</si>
  <si>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</si>
  <si>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</si>
  <si>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</si>
  <si>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</si>
  <si>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</si>
  <si>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</si>
  <si>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</si>
  <si>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</si>
  <si>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</si>
  <si>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</si>
  <si>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</si>
  <si>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</si>
  <si>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</si>
  <si>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</si>
  <si>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</si>
  <si>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</si>
  <si>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</si>
  <si>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</si>
  <si>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</si>
  <si>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</si>
  <si>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</si>
  <si>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</si>
  <si>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</si>
  <si>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</si>
  <si>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</si>
  <si>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</si>
  <si>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</si>
  <si>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</si>
  <si>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</si>
  <si>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</si>
  <si>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</si>
  <si>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</si>
  <si>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</si>
  <si>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</si>
  <si>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</si>
  <si>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</si>
  <si>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</si>
  <si>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</si>
  <si>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</si>
  <si>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</si>
  <si>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</si>
  <si>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</si>
  <si>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</si>
  <si>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</si>
  <si>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</si>
  <si>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</si>
  <si>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</si>
  <si>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</si>
  <si>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</si>
  <si>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</si>
  <si>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</si>
  <si>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</si>
  <si>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</si>
  <si>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</si>
  <si>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</si>
  <si>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</si>
  <si>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</si>
  <si>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</si>
  <si>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</si>
  <si>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</si>
  <si>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</si>
  <si>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</si>
  <si>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</si>
  <si>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</si>
  <si>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</si>
  <si>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</si>
  <si>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</si>
  <si>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</si>
  <si>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</si>
  <si>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</si>
  <si>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</si>
  <si>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</si>
  <si>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</si>
  <si>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</si>
  <si>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</si>
  <si>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</si>
  <si>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</si>
  <si>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</si>
  <si>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</si>
  <si>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</si>
  <si>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</si>
  <si>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</si>
  <si>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</si>
  <si>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</si>
  <si>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</si>
  <si>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</si>
  <si>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</si>
  <si>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</si>
  <si>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</si>
  <si>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</si>
  <si>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</si>
  <si>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</si>
  <si>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</si>
  <si>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</si>
  <si>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</si>
  <si>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</si>
  <si>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</si>
  <si>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</si>
  <si>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</si>
  <si>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</si>
  <si>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</si>
  <si>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</si>
  <si>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</si>
  <si>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</si>
  <si>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</si>
  <si>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</si>
  <si>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</si>
  <si>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</si>
  <si>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</si>
  <si>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</si>
  <si>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</si>
  <si>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</si>
  <si>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</si>
  <si>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</si>
  <si>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</si>
  <si>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</si>
  <si>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</si>
  <si>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</si>
  <si>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</si>
  <si>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</si>
  <si>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</si>
  <si>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</si>
  <si>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</si>
  <si>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</si>
  <si>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</si>
  <si>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</si>
  <si>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</si>
  <si>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</si>
  <si>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</si>
  <si>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</si>
  <si>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</si>
  <si>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</si>
  <si>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</si>
  <si>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</si>
  <si>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</si>
  <si>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</si>
  <si>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</si>
  <si>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</si>
  <si>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</si>
  <si>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</si>
  <si>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</si>
  <si>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</si>
  <si>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</si>
  <si>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</si>
  <si>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</si>
  <si>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</si>
  <si>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</si>
  <si>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</si>
  <si>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</si>
  <si>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</si>
  <si>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</si>
  <si>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</si>
  <si>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</si>
  <si>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</si>
  <si>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</si>
  <si>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</si>
  <si>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</si>
  <si>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</si>
  <si>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</si>
  <si>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</si>
  <si>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</si>
  <si>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</si>
  <si>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</si>
  <si>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</si>
  <si>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</si>
  <si>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</si>
  <si>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</si>
  <si>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</si>
  <si>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</si>
  <si>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</si>
  <si>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</si>
  <si>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</si>
  <si>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</si>
  <si>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</si>
  <si>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</si>
  <si>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</si>
  <si>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</si>
  <si>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</si>
  <si>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</si>
  <si>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</si>
  <si>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</si>
  <si>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</si>
  <si>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</si>
  <si>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</si>
  <si>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</si>
  <si>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</si>
  <si>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</si>
  <si>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</si>
  <si>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</si>
  <si>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</si>
  <si>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</si>
  <si>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</si>
  <si>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</si>
  <si>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</si>
  <si>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</si>
  <si>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</si>
  <si>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</si>
  <si>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</si>
  <si>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</si>
  <si>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</si>
  <si>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</si>
  <si>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</si>
  <si>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</si>
  <si>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</si>
  <si>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</si>
  <si>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</si>
  <si>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</si>
  <si>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</si>
  <si>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</si>
  <si>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</si>
  <si>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</si>
  <si>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</si>
  <si>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</si>
  <si>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</si>
  <si>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</si>
  <si>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</si>
  <si>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</si>
  <si>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</si>
  <si>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</si>
  <si>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</si>
  <si>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</si>
  <si>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</si>
  <si>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</si>
  <si>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</si>
  <si>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</si>
  <si>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</si>
  <si>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</si>
  <si>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</si>
  <si>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</si>
  <si>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</si>
  <si>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</si>
  <si>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</si>
  <si>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</si>
  <si>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</si>
  <si>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</si>
  <si>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</si>
  <si>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</si>
  <si>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</si>
  <si>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</si>
  <si>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</si>
  <si>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</si>
  <si>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</si>
  <si>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</si>
  <si>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</si>
  <si>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</si>
  <si>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</si>
  <si>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</si>
  <si>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</si>
  <si>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</si>
  <si>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</si>
  <si>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</si>
  <si>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</si>
  <si>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</si>
  <si>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</si>
  <si>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</si>
  <si>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</si>
  <si>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</si>
  <si>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</si>
  <si>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</si>
  <si>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</si>
  <si>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</si>
  <si>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</si>
  <si>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</si>
  <si>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</si>
  <si>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</si>
  <si>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</si>
  <si>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</si>
  <si>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</si>
  <si>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</si>
  <si>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</si>
  <si>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</si>
  <si>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</si>
  <si>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</si>
  <si>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</si>
  <si>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</si>
  <si>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</si>
  <si>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</si>
  <si>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</si>
  <si>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</si>
  <si>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</si>
  <si>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</si>
  <si>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</si>
  <si>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</si>
  <si>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</si>
  <si>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</si>
  <si>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</si>
  <si>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</si>
  <si>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</si>
  <si>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</si>
  <si>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</si>
  <si>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</si>
  <si>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</si>
  <si>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</si>
  <si>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</si>
  <si>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</si>
  <si>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</si>
  <si>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</si>
  <si>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</si>
  <si>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</si>
  <si>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</si>
  <si>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</si>
  <si>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</si>
  <si>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</si>
  <si>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</si>
  <si>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</si>
  <si>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</si>
  <si>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</si>
  <si>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</si>
  <si>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</si>
  <si>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</si>
  <si>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</si>
  <si>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</si>
  <si>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</si>
  <si>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</si>
  <si>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</si>
  <si>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</si>
  <si>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</si>
  <si>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</si>
  <si>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</si>
  <si>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</si>
  <si>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</si>
  <si>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</si>
  <si>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</si>
  <si>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</si>
  <si>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</si>
  <si>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</si>
  <si>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</si>
  <si>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</si>
  <si>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</si>
  <si>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</si>
  <si>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</si>
  <si>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</si>
  <si>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</si>
  <si>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</si>
  <si>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</si>
  <si>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</si>
  <si>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</si>
  <si>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</si>
  <si>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</si>
  <si>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</si>
  <si>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</si>
  <si>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</si>
  <si>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</si>
  <si>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</si>
  <si>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</si>
  <si>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Data Collection</t>
  </si>
  <si>
    <t>Unit Number</t>
  </si>
  <si>
    <t>Electric Fund  Transfer Policy</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</si>
  <si>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</si>
  <si>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</si>
  <si>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</si>
  <si>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</si>
  <si>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</si>
  <si>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</si>
  <si>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</si>
  <si>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</si>
  <si>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</si>
  <si>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</si>
  <si>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</si>
  <si>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</si>
  <si>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</si>
  <si>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</si>
  <si>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</si>
  <si>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</si>
  <si>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</si>
  <si>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</si>
  <si>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</si>
  <si>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</si>
  <si>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</si>
  <si>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</si>
  <si>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</si>
  <si>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</si>
  <si>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</si>
  <si>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</si>
  <si>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</si>
  <si>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</si>
  <si>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</si>
  <si>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</si>
  <si>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</si>
  <si>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</si>
  <si>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</si>
  <si>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TD Info Completed by Auditor : CCH acct # 973</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</si>
  <si>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</si>
  <si>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If unit is an employer participant in one of the State Cost Sharing Plans rows 185 - 187 should be blank.  Unless they have an additional single employer plan.</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</si>
  <si>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</si>
  <si>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</si>
  <si>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</si>
  <si>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</si>
  <si>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</si>
  <si>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</si>
  <si>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</si>
  <si>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</si>
  <si>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</si>
  <si>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</si>
  <si>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</si>
  <si>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</si>
  <si>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</si>
  <si>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</si>
  <si>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</si>
  <si>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</si>
  <si>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</si>
  <si>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</si>
  <si>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</si>
  <si>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</si>
  <si>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</si>
  <si>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</si>
  <si>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</si>
  <si>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</si>
  <si>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</si>
  <si>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</si>
  <si>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</si>
  <si>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</si>
  <si>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</si>
  <si>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</si>
  <si>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</si>
  <si>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</si>
  <si>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</si>
  <si>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</si>
  <si>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</si>
  <si>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</si>
  <si>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</si>
  <si>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</si>
  <si>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</si>
  <si>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</si>
  <si>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</si>
  <si>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</si>
  <si>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</si>
  <si>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</si>
  <si>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</si>
  <si>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</si>
  <si>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</si>
  <si>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GF FBA% of Exp w/o Powell Bill Formula: (506+536-4-5-6-11+647)/(532+20+509-533-508)</t>
  </si>
  <si>
    <t>Mark to Market unrealized losses in the General Fund</t>
  </si>
  <si>
    <t>Mark to Market unrealized losses in the Water and Sewer Fund</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</si>
  <si>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</si>
  <si>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</si>
  <si>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</si>
  <si>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</si>
  <si>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</si>
  <si>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</si>
  <si>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</si>
  <si>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</si>
  <si>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</si>
  <si>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</si>
  <si>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</si>
  <si>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</si>
  <si>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</si>
  <si>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Barbara</t>
  </si>
  <si>
    <t>Williams</t>
  </si>
  <si>
    <t>9/29/2021</t>
  </si>
  <si>
    <t>11/3/2021</t>
  </si>
  <si>
    <t>10/25/2021</t>
  </si>
  <si>
    <t>Pamela</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</si>
  <si>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</si>
  <si>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</si>
  <si>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Unit Data from Audit Worksheet tab : 84-85+49-331-89</t>
  </si>
  <si>
    <t>Unit Data from Audit worksheet tab : 93-94+52-100-98</t>
  </si>
  <si>
    <t>Unit Data from Audit worksheet tab : 90/(364+94-52+100)</t>
  </si>
  <si>
    <t>Unit Data from Audit worksheet tab : 80/(85+351-49+331)</t>
  </si>
  <si>
    <t>Capital Assets for Water and Sewer Activity (If unit maintains separate funds please combine all water, sewer and wastewater funds into one activity for purposes of this worksheet)
Exclude Stormwater funds</t>
  </si>
  <si>
    <t xml:space="preserve">The TD Info Completed by Auditor Worksheet is to be filled out using the completed audit report for the fiscal year 2023. </t>
  </si>
  <si>
    <t xml:space="preserve">- Excel file named “Unit Name 2023 Data Input Workbook" </t>
  </si>
  <si>
    <t xml:space="preserve">- PDF file of the Audit Report named “Unit Name 2023 Audit”             </t>
  </si>
  <si>
    <t>Please remember the original 2023 audit report submission cannot be processed unless we receive the following:</t>
  </si>
  <si>
    <t>Location of Documents for the 2023 Audit Submission Process</t>
  </si>
  <si>
    <t>Instructions for Audits with a Fiscal Year Ending Earlier than June 30, 2023</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</si>
  <si>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</si>
  <si>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</si>
  <si>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 xml:space="preserve"> Did the unit have a board-appointed finance officer or board-appointed interim finance officer for the entire fiscal year (Yes or No)</t>
  </si>
  <si>
    <t>Has the finance officer or interim finance officer been formally appointed by the local government, public authority, or designated official?  (Y/N)</t>
  </si>
  <si>
    <t>TD Info Completed by Auditor : CCH acct # 1067</t>
  </si>
  <si>
    <t>Section 2:</t>
  </si>
  <si>
    <t xml:space="preserve">Does the unit have a self-insurance fund? </t>
  </si>
  <si>
    <t>Does the unit have a self-insurance fund</t>
  </si>
  <si>
    <t>American Rescue Plan Act (ARPA)</t>
  </si>
  <si>
    <t>Unrestricted cash /total expenses excluding depreciation, including debt service principal</t>
  </si>
  <si>
    <t>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</si>
  <si>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 xml:space="preserve">Is there is a going concern noted in the audit report? </t>
  </si>
  <si>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</si>
  <si>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</si>
  <si>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</si>
  <si>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</si>
  <si>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</si>
  <si>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t>
    </r>
    <r>
      <rPr>
        <b/>
        <sz val="11"/>
        <color theme="1"/>
        <rFont val="Calibri"/>
        <family val="2"/>
        <scheme val="minor"/>
      </rPr>
      <t>material weakness</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</si>
  <si>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Transfers from General Fund to Water and Sewer Fund</t>
  </si>
  <si>
    <t>Transfers from Water and Sewer to General Fund</t>
  </si>
  <si>
    <t>Amount transferred from the Water and Sewer Fund to a Water and Sewer Capital Project Fund</t>
  </si>
  <si>
    <t>Not collected in prior years</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</si>
  <si>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</si>
  <si>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t>The indicator is to determine if any time during the f fiscal year, the unit was without a board-appointed finance officer.</t>
  </si>
  <si>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</si>
  <si>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Cabarrus, Carteret, Edgecome, Franklin, Granville, Halifax, Nash, Perquimans, Pitt, Richmond, Roberson, Rockingham, Vance, Wake, Wilson, Yancey</t>
  </si>
  <si>
    <t>This is a description question that is retained on the data input tab - This information is not uploaded to CCH or our data base</t>
  </si>
  <si>
    <t>Capital -</t>
  </si>
  <si>
    <t>Operations -</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</si>
  <si>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</si>
  <si>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</si>
  <si>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</si>
  <si>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</si>
  <si>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</si>
  <si>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</si>
  <si>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</si>
  <si>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</si>
  <si>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</si>
  <si>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David</t>
  </si>
  <si>
    <t>7/1/2022</t>
  </si>
  <si>
    <t>yes</t>
  </si>
  <si>
    <t>10/27/2022</t>
  </si>
  <si>
    <t>11/14/2022</t>
  </si>
  <si>
    <t>11/30/2022</t>
  </si>
  <si>
    <t>10/20/2022</t>
  </si>
  <si>
    <t>10/31/2022</t>
  </si>
  <si>
    <t>12/20/2022</t>
  </si>
  <si>
    <t>11/28/2022</t>
  </si>
  <si>
    <t>12/1/2022</t>
  </si>
  <si>
    <t>10/28/2022</t>
  </si>
  <si>
    <t>11/29/2022</t>
  </si>
  <si>
    <t>2/27/2023</t>
  </si>
  <si>
    <t>11/17/2022</t>
  </si>
  <si>
    <t>12/8/2022</t>
  </si>
  <si>
    <t>12/21/2022</t>
  </si>
  <si>
    <t>Number of other matters that auditor asked the unit to respond to.</t>
  </si>
  <si>
    <t>12/13/2022</t>
  </si>
  <si>
    <t>1/10/2023</t>
  </si>
  <si>
    <t>11/15/2022</t>
  </si>
  <si>
    <t>12/12/2022</t>
  </si>
  <si>
    <t>12/5/2022</t>
  </si>
  <si>
    <t>12/6/2022</t>
  </si>
  <si>
    <t>11/21/2022</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</si>
  <si>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</si>
  <si>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</si>
  <si>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</si>
  <si>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</si>
  <si>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</si>
  <si>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</si>
  <si>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</si>
  <si>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</si>
  <si>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</si>
  <si>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</si>
  <si>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</si>
  <si>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Single Audit Only - Coronavirus State and Local Recovery Funds expenditures (21.027)</t>
  </si>
  <si>
    <t>Single Audit Only - Opioid Settlement Funds</t>
  </si>
  <si>
    <t>Date Audit First Received</t>
  </si>
  <si>
    <t>2022-11-29</t>
  </si>
  <si>
    <t>2022-11-30</t>
  </si>
  <si>
    <t>2022-10-31</t>
  </si>
  <si>
    <t>2022-11-28</t>
  </si>
  <si>
    <t>2022-12-01</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</si>
  <si>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</si>
  <si>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</si>
  <si>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</si>
  <si>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</si>
  <si>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Audit Report 2022</t>
  </si>
  <si>
    <t>sum</t>
  </si>
  <si>
    <t>Net Total row 279 less row 326</t>
  </si>
  <si>
    <t>Batch Total 9000</t>
  </si>
  <si>
    <t>New Account 647 for FY 2020 added to formula and new account 1050 added FY 2022</t>
  </si>
  <si>
    <t>Audit Year  2021</t>
  </si>
  <si>
    <t>-</t>
  </si>
  <si>
    <t>Units with Electric Operations have 0.07, 0.08, 0.09</t>
  </si>
  <si>
    <t>PY 2</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</si>
  <si>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</si>
  <si>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Fund balance available for appropriation is an important reserve for local governments to provide cash flow during pe</t>
    </r>
    <r>
      <rPr>
        <sz val="12"/>
        <rFont val="Calibri"/>
        <family val="2"/>
        <scheme val="minor"/>
      </rPr>
      <t xml:space="preserve">riods of declining revenues and to be used for emergencies and unforeseen expenditures.  The information to the left indicates the amount of available cash on hand.  You will also see the average for units of your size. </t>
    </r>
    <r>
      <rPr>
        <b/>
        <sz val="12"/>
        <rFont val="Calibri"/>
        <family val="2"/>
        <scheme val="minor"/>
      </rPr>
      <t xml:space="preserve"> Note that 8.33% represents enough fund balance to cover only one month of expenditures.</t>
    </r>
    <r>
      <rPr>
        <sz val="12"/>
        <rFont val="Calibri"/>
        <family val="2"/>
        <scheme val="minor"/>
      </rPr>
      <t xml:space="preserve">  Normally, a unit has to either increase revenues or decrease expenditures to increase fund balance available. 
This calculation looks at fund balance available plus debt service fund balance (if applicable) </t>
    </r>
    <r>
      <rPr>
        <sz val="12"/>
        <color theme="1"/>
        <rFont val="Calibri"/>
        <family val="2"/>
        <scheme val="minor"/>
      </rPr>
      <t xml:space="preserve">less Powell Bill </t>
    </r>
    <r>
      <rPr>
        <sz val="12"/>
        <rFont val="Calibri"/>
        <family val="2"/>
        <scheme val="minor"/>
      </rPr>
      <t>restricted fund balance</t>
    </r>
    <r>
      <rPr>
        <sz val="12"/>
        <color rgb="FFFF0000"/>
        <rFont val="Calibri"/>
        <family val="2"/>
        <scheme val="minor"/>
      </rPr>
      <t>.</t>
    </r>
    <r>
      <rPr>
        <sz val="12"/>
        <color theme="1"/>
        <rFont val="Calibri"/>
        <family val="2"/>
        <scheme val="minor"/>
      </rPr>
      <t xml:space="preserve">  This number is them divided by the total of total expenditures plus transfers out less bond proceeds and less amount expended for Powell Bill Expenditures.
</t>
    </r>
  </si>
  <si>
    <t>2021-2022</t>
  </si>
  <si>
    <t xml:space="preserve">CABARRUS </t>
  </si>
  <si>
    <t>Cabarrus County</t>
  </si>
  <si>
    <t xml:space="preserve">CARTERET </t>
  </si>
  <si>
    <t>Carteret County</t>
  </si>
  <si>
    <t xml:space="preserve">EDGECOMBE </t>
  </si>
  <si>
    <t xml:space="preserve">FRANKLIN </t>
  </si>
  <si>
    <t>Franklin County</t>
  </si>
  <si>
    <t xml:space="preserve">GRANVILLE </t>
  </si>
  <si>
    <t>Granville County</t>
  </si>
  <si>
    <t xml:space="preserve">HALIFAX </t>
  </si>
  <si>
    <t>Halifax County</t>
  </si>
  <si>
    <t xml:space="preserve">NASH </t>
  </si>
  <si>
    <t>Nash County</t>
  </si>
  <si>
    <t xml:space="preserve">PERQUIMANS </t>
  </si>
  <si>
    <t>Perquimans County</t>
  </si>
  <si>
    <t xml:space="preserve">PITT </t>
  </si>
  <si>
    <t>Pitt County</t>
  </si>
  <si>
    <t xml:space="preserve">RICHMOND </t>
  </si>
  <si>
    <t>Richmond County</t>
  </si>
  <si>
    <t xml:space="preserve">ROBESON </t>
  </si>
  <si>
    <t>Robeson County</t>
  </si>
  <si>
    <t xml:space="preserve">ROCKINGHAM </t>
  </si>
  <si>
    <t>Rockingham County</t>
  </si>
  <si>
    <t xml:space="preserve">VANCE </t>
  </si>
  <si>
    <t>Vance County</t>
  </si>
  <si>
    <t xml:space="preserve">WAKE </t>
  </si>
  <si>
    <t>Wake County</t>
  </si>
  <si>
    <t xml:space="preserve">WILSON </t>
  </si>
  <si>
    <t>Wilson County</t>
  </si>
  <si>
    <t xml:space="preserve">ALAMANCE </t>
  </si>
  <si>
    <t>Alamance County</t>
  </si>
  <si>
    <t xml:space="preserve">ALEXANDER </t>
  </si>
  <si>
    <t>Alexander County</t>
  </si>
  <si>
    <t xml:space="preserve">ALLEGHANY  </t>
  </si>
  <si>
    <t>Alleghany County</t>
  </si>
  <si>
    <t xml:space="preserve">ANSON </t>
  </si>
  <si>
    <t xml:space="preserve">ASHE </t>
  </si>
  <si>
    <t>Ashe County</t>
  </si>
  <si>
    <t xml:space="preserve">AVERY </t>
  </si>
  <si>
    <t>Avery County</t>
  </si>
  <si>
    <t xml:space="preserve">BEAUFORT </t>
  </si>
  <si>
    <t>Beaufort County</t>
  </si>
  <si>
    <t xml:space="preserve">BERTIE </t>
  </si>
  <si>
    <t xml:space="preserve">BLADEN </t>
  </si>
  <si>
    <t>Bladen County</t>
  </si>
  <si>
    <t xml:space="preserve">BRUNSWICK </t>
  </si>
  <si>
    <t>Brunswick County</t>
  </si>
  <si>
    <t xml:space="preserve">BUNCOMBE </t>
  </si>
  <si>
    <t>Buncombe County</t>
  </si>
  <si>
    <t xml:space="preserve">BURKE </t>
  </si>
  <si>
    <t>Burke County</t>
  </si>
  <si>
    <t xml:space="preserve">CALDWELL </t>
  </si>
  <si>
    <t>Caldwell County</t>
  </si>
  <si>
    <t xml:space="preserve">CAMDEN </t>
  </si>
  <si>
    <t>Camden County</t>
  </si>
  <si>
    <t xml:space="preserve">CASWELL </t>
  </si>
  <si>
    <t xml:space="preserve">CATAWBA </t>
  </si>
  <si>
    <t>Catawba County</t>
  </si>
  <si>
    <t xml:space="preserve">CHATHAM </t>
  </si>
  <si>
    <t>Chatham County</t>
  </si>
  <si>
    <t xml:space="preserve">CHEROKEE </t>
  </si>
  <si>
    <t xml:space="preserve">CHOWAN </t>
  </si>
  <si>
    <t>Chowan County</t>
  </si>
  <si>
    <t xml:space="preserve">CLAY </t>
  </si>
  <si>
    <t>Clay County</t>
  </si>
  <si>
    <t xml:space="preserve">CLEVELAND </t>
  </si>
  <si>
    <t>Cleveland County</t>
  </si>
  <si>
    <t xml:space="preserve">COLUMBUS </t>
  </si>
  <si>
    <t xml:space="preserve">CRAVEN </t>
  </si>
  <si>
    <t>Craven County</t>
  </si>
  <si>
    <t xml:space="preserve">CUMBERLAND </t>
  </si>
  <si>
    <t>Cumberland County</t>
  </si>
  <si>
    <t xml:space="preserve">CURRITUCK </t>
  </si>
  <si>
    <t>Currituck County</t>
  </si>
  <si>
    <t xml:space="preserve">DARE </t>
  </si>
  <si>
    <t>Dare County</t>
  </si>
  <si>
    <t xml:space="preserve">DAVIDSON </t>
  </si>
  <si>
    <t>Davidson County</t>
  </si>
  <si>
    <t xml:space="preserve">DAVIE </t>
  </si>
  <si>
    <t>Davie County</t>
  </si>
  <si>
    <t xml:space="preserve">DUPLIN </t>
  </si>
  <si>
    <t>Duplin County</t>
  </si>
  <si>
    <t xml:space="preserve">DURHAM </t>
  </si>
  <si>
    <t>Durham County</t>
  </si>
  <si>
    <t xml:space="preserve">FORSYTH </t>
  </si>
  <si>
    <t>Forsyth County</t>
  </si>
  <si>
    <t xml:space="preserve">GASTON </t>
  </si>
  <si>
    <t>Gaston County</t>
  </si>
  <si>
    <t xml:space="preserve">GATES </t>
  </si>
  <si>
    <t>Gates County</t>
  </si>
  <si>
    <t xml:space="preserve">GRAHAM </t>
  </si>
  <si>
    <t>Graham County</t>
  </si>
  <si>
    <t xml:space="preserve">GREENE </t>
  </si>
  <si>
    <t>Greene County</t>
  </si>
  <si>
    <t xml:space="preserve">GUILFORD </t>
  </si>
  <si>
    <t>Guilford County</t>
  </si>
  <si>
    <t xml:space="preserve">HARNETT </t>
  </si>
  <si>
    <t>Harnett County</t>
  </si>
  <si>
    <t xml:space="preserve">HAYWOOD </t>
  </si>
  <si>
    <t>Haywood County</t>
  </si>
  <si>
    <t xml:space="preserve">HENDERSON </t>
  </si>
  <si>
    <t>Henderson County</t>
  </si>
  <si>
    <t xml:space="preserve">HERTFORD </t>
  </si>
  <si>
    <t>Hertford County</t>
  </si>
  <si>
    <t xml:space="preserve">HOKE </t>
  </si>
  <si>
    <t>Hoke County</t>
  </si>
  <si>
    <t xml:space="preserve">HYDE </t>
  </si>
  <si>
    <t xml:space="preserve">IREDELL </t>
  </si>
  <si>
    <t>Iredell County</t>
  </si>
  <si>
    <t xml:space="preserve">JACKSON </t>
  </si>
  <si>
    <t>Jackson County</t>
  </si>
  <si>
    <t xml:space="preserve">JOHNSTON </t>
  </si>
  <si>
    <t>Johnston County</t>
  </si>
  <si>
    <t xml:space="preserve">JONES </t>
  </si>
  <si>
    <t>Jones County</t>
  </si>
  <si>
    <t xml:space="preserve">LEE </t>
  </si>
  <si>
    <t>Lee County</t>
  </si>
  <si>
    <t xml:space="preserve">LENOIR </t>
  </si>
  <si>
    <t>Lenoir County</t>
  </si>
  <si>
    <t xml:space="preserve">LINCOLN </t>
  </si>
  <si>
    <t>Lincoln County</t>
  </si>
  <si>
    <t xml:space="preserve">MACON </t>
  </si>
  <si>
    <t>Macon County</t>
  </si>
  <si>
    <t xml:space="preserve">MADISON </t>
  </si>
  <si>
    <t>Madison County</t>
  </si>
  <si>
    <t xml:space="preserve">MARTIN </t>
  </si>
  <si>
    <t xml:space="preserve">MCDOWELL </t>
  </si>
  <si>
    <t>Mcdowell County</t>
  </si>
  <si>
    <t xml:space="preserve">MECKLENBURG </t>
  </si>
  <si>
    <t>Mecklenburg County</t>
  </si>
  <si>
    <t xml:space="preserve">MITCHELL </t>
  </si>
  <si>
    <t>Mitchell County</t>
  </si>
  <si>
    <t xml:space="preserve">MONTGOMERY </t>
  </si>
  <si>
    <t>Montgomery County</t>
  </si>
  <si>
    <t xml:space="preserve">MOORE </t>
  </si>
  <si>
    <t>Moore County</t>
  </si>
  <si>
    <t xml:space="preserve">NEW HANOVER </t>
  </si>
  <si>
    <t>New Hanover County</t>
  </si>
  <si>
    <t xml:space="preserve">NORTHAMPTON </t>
  </si>
  <si>
    <t xml:space="preserve">ONSLOW </t>
  </si>
  <si>
    <t>Onslow County</t>
  </si>
  <si>
    <t xml:space="preserve">ORANGE </t>
  </si>
  <si>
    <t>Orange County</t>
  </si>
  <si>
    <t xml:space="preserve">PAMLICO </t>
  </si>
  <si>
    <t>Pamlico County</t>
  </si>
  <si>
    <t xml:space="preserve">PASQUOTANK </t>
  </si>
  <si>
    <t>Pasquotank County</t>
  </si>
  <si>
    <t xml:space="preserve">PENDER </t>
  </si>
  <si>
    <t xml:space="preserve">PERSON </t>
  </si>
  <si>
    <t>Person County</t>
  </si>
  <si>
    <t xml:space="preserve">POLK </t>
  </si>
  <si>
    <t>Polk County</t>
  </si>
  <si>
    <t xml:space="preserve">RANDOLPH </t>
  </si>
  <si>
    <t>Randolph County</t>
  </si>
  <si>
    <t xml:space="preserve">ROWAN </t>
  </si>
  <si>
    <t>Rowan County</t>
  </si>
  <si>
    <t xml:space="preserve">RUTHERFORD </t>
  </si>
  <si>
    <t>Rutherford County</t>
  </si>
  <si>
    <t xml:space="preserve">SAMPSON </t>
  </si>
  <si>
    <t>Sampson County</t>
  </si>
  <si>
    <t xml:space="preserve">SCOTLAND </t>
  </si>
  <si>
    <t xml:space="preserve">STANLY </t>
  </si>
  <si>
    <t>Stanly County</t>
  </si>
  <si>
    <t xml:space="preserve">STOKES </t>
  </si>
  <si>
    <t>Stokes County</t>
  </si>
  <si>
    <t xml:space="preserve">SURRY </t>
  </si>
  <si>
    <t>Surry County</t>
  </si>
  <si>
    <t xml:space="preserve">SWAIN </t>
  </si>
  <si>
    <t>Swain County</t>
  </si>
  <si>
    <t xml:space="preserve">TRANSYLVANIA </t>
  </si>
  <si>
    <t>Transylvania County</t>
  </si>
  <si>
    <t xml:space="preserve">TYRRELL </t>
  </si>
  <si>
    <t xml:space="preserve">UNION </t>
  </si>
  <si>
    <t>Union County</t>
  </si>
  <si>
    <t xml:space="preserve">WARREN </t>
  </si>
  <si>
    <t>Warren County</t>
  </si>
  <si>
    <t xml:space="preserve">WASHINGTON </t>
  </si>
  <si>
    <t>Washington County</t>
  </si>
  <si>
    <t xml:space="preserve">WATAUGA </t>
  </si>
  <si>
    <t>Watauga County</t>
  </si>
  <si>
    <t xml:space="preserve">WAYNE </t>
  </si>
  <si>
    <t>Wayne County</t>
  </si>
  <si>
    <t xml:space="preserve">WILKES </t>
  </si>
  <si>
    <t>Wilkes County</t>
  </si>
  <si>
    <t xml:space="preserve">YADKIN </t>
  </si>
  <si>
    <t>Yadkin County</t>
  </si>
  <si>
    <t xml:space="preserve">YANCEY </t>
  </si>
  <si>
    <t>Yancey County</t>
  </si>
  <si>
    <t>`</t>
  </si>
  <si>
    <r>
      <t xml:space="preserve">Transfers from General Fund to Water and Sewer Fund.  </t>
    </r>
    <r>
      <rPr>
        <sz val="11"/>
        <color theme="5" tint="-0.249977111117893"/>
        <rFont val="Calibri"/>
        <family val="2"/>
        <scheme val="minor"/>
      </rPr>
      <t>(Enter as positive)</t>
    </r>
  </si>
  <si>
    <r>
      <t xml:space="preserve">Transfers from Water and Sewer to General Fund.  </t>
    </r>
    <r>
      <rPr>
        <sz val="11"/>
        <color theme="5" tint="-0.249977111117893"/>
        <rFont val="Calibri"/>
        <family val="2"/>
        <scheme val="minor"/>
      </rPr>
      <t>(Enter as positive)</t>
    </r>
  </si>
  <si>
    <t xml:space="preserve">Was an AU-C Section 260 (The Auditor's Communication With Those Charged With Governance) letter issued?     </t>
  </si>
  <si>
    <r>
      <t xml:space="preserve">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</si>
  <si>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Water and Sewer - Fund Revenue, Expenses &amp; Changes in Fund Net Position or Notes to Financial Statements</t>
  </si>
  <si>
    <t>Was an AU-C Section 265 (Communicating Internal Control Related Matters Identified in an Audit) letter issued?</t>
  </si>
  <si>
    <r>
      <t xml:space="preserve">This indicator identifies whether the unit has any material weaknesses, significant deficiencies, management letter comments or items identified on the </t>
    </r>
    <r>
      <rPr>
        <b/>
        <i/>
        <sz val="14"/>
        <color theme="1"/>
        <rFont val="Calibri"/>
        <family val="2"/>
        <scheme val="minor"/>
      </rPr>
      <t>TD Info Completed by Audit tab</t>
    </r>
    <r>
      <rPr>
        <b/>
        <sz val="14"/>
        <color theme="1"/>
        <rFont val="Calibri"/>
        <family val="2"/>
        <scheme val="minor"/>
      </rPr>
      <t xml:space="preserve"> including 1055, 1056, 1058, 955 and 957, that require a response.</t>
    </r>
  </si>
  <si>
    <t>The indicator is to determine if at any time during the fiscal year, the unit was without a bonded, board-appoint finance officer as required by G.S. 159-29.</t>
  </si>
  <si>
    <t>This indicator advises whether or not the unit has issues with debt service payments or bond covenants.</t>
  </si>
  <si>
    <t>This indicator advises if any other issues that the unit should address in the FPIC response letter.</t>
  </si>
  <si>
    <t>Fiscal Year 2023</t>
  </si>
  <si>
    <t>GF FBA% of Exp w/o Powell Bill Formula: (506+536-4-5-6-11+647)/(532+20+509-533-508-1050)</t>
  </si>
  <si>
    <t>This indicator advises if there were electric transfers in violation of G.S. 159B-39 or in violation of the unit's transfer policy.</t>
  </si>
  <si>
    <r>
      <rPr>
        <u/>
        <sz val="11"/>
        <rFont val="Calibri"/>
        <family val="2"/>
        <scheme val="minor"/>
      </rPr>
      <t xml:space="preserve">Please enter the </t>
    </r>
    <r>
      <rPr>
        <b/>
        <u/>
        <sz val="11"/>
        <rFont val="Calibri"/>
        <family val="2"/>
        <scheme val="minor"/>
      </rPr>
      <t xml:space="preserve">Net Current year's levy for property </t>
    </r>
    <r>
      <rPr>
        <b/>
        <u/>
        <sz val="11"/>
        <color rgb="FFFF0000"/>
        <rFont val="Calibri"/>
        <family val="2"/>
        <scheme val="minor"/>
      </rPr>
      <t>excluding registered motor vehicles</t>
    </r>
    <r>
      <rPr>
        <sz val="11"/>
        <rFont val="Calibri"/>
        <family val="2"/>
        <scheme val="minor"/>
      </rPr>
      <t xml:space="preserve">-- </t>
    </r>
    <r>
      <rPr>
        <sz val="11"/>
        <color indexed="60"/>
        <rFont val="Calibri"/>
        <family val="2"/>
        <scheme val="minor"/>
      </rPr>
      <t xml:space="preserve">(after adjusting for discoveries and abatements) - </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</si>
  <si>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 xml:space="preserve"> Did your audit disclose bank reconciliations or subsidiary ledger reconciliations not performed timely? (Yes or No)</t>
  </si>
  <si>
    <t>=506+536+647-11-4-6-5</t>
  </si>
  <si>
    <r>
      <t xml:space="preserve">Does the Unit have a non-state administered pension plan?
</t>
    </r>
    <r>
      <rPr>
        <sz val="11"/>
        <color theme="5" tint="-0.249977111117893"/>
        <rFont val="Calibri"/>
        <family val="2"/>
        <scheme val="minor"/>
      </rPr>
      <t>(Note - OPEB is not a pension plan.)</t>
    </r>
  </si>
  <si>
    <t>- PDF file of all communication letters from the auditor to the unit  named “Unit Name 2023 comm #1”, “Unit Name 2023 comm #2”,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</si>
  <si>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</si>
  <si>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 xml:space="preserve">This self-reported data is used in calculations including but not limited to: reporting Financial Performance Indicators (FPI), FPI thresholds, published memos, legislative reporting, and determining units placed on the Unit Assistance List (UAL). </t>
  </si>
  <si>
    <t xml:space="preserve">new </t>
  </si>
  <si>
    <t>Water and Sewer Condition of Assets</t>
  </si>
  <si>
    <t>new</t>
  </si>
  <si>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</si>
  <si>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</si>
  <si>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</si>
  <si>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</si>
  <si>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</si>
  <si>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</si>
  <si>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</si>
  <si>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Please enter page number if information included in the audit report/other communications</t>
  </si>
  <si>
    <t>Cash &amp; Tax Memo, UAL Determination, Financial Performance Indicator</t>
  </si>
  <si>
    <t>Review Summary - FBA, UAL Determination, Financial Performation Indicator</t>
  </si>
  <si>
    <t>Determination of Fiscal Health, UAL Determination, Financial Performance Indicator</t>
  </si>
  <si>
    <t>Review Summary, UAL Determination, Financial Performance Indicator</t>
  </si>
  <si>
    <t>Error Detection, UAL Determination, Financial Performance Indicator</t>
  </si>
  <si>
    <t>Water Sewer Dashboard, UAL Determination, Financial Performance Indicator</t>
  </si>
  <si>
    <t>UAL Determination, Financial Performance Indicator</t>
  </si>
  <si>
    <t>Review Summary; Electric Memo, Financial Performance Indicator</t>
  </si>
  <si>
    <t>Dashboard; Determination of Fiscal Health, Financial Performance Indicator</t>
  </si>
  <si>
    <t>Determination of Fiscal Health, Financial Performance Indicator</t>
  </si>
  <si>
    <t>Dashboard, Electric Memo, Financial Performance Indicator</t>
  </si>
  <si>
    <t>Electric Memo, Financial Performance Indicator</t>
  </si>
  <si>
    <t>Electric Memo, Dashboard, Financial Performance Indicator</t>
  </si>
  <si>
    <t>Dashboard, Financial Performance Indicator</t>
  </si>
  <si>
    <t>Finance Performance Indicator</t>
  </si>
  <si>
    <t>Financial Performance Indicator</t>
  </si>
  <si>
    <t>Water Sewer Dashboard, Financial Performance Indicator</t>
  </si>
  <si>
    <t>Review Summary, Financial Performance Indicator</t>
  </si>
  <si>
    <t>Electric Fund Transfer worksheet, Financial Performance Indicator</t>
  </si>
  <si>
    <t>Electric Transfer Calculation, Financial Performance Indicator</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</si>
  <si>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</si>
  <si>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need to have this formula for formula on FPIC FBA% graph to work</t>
  </si>
  <si>
    <t>Unit Data from Audit worksheet tab:
 1-((523+524+525+526)/(515+516+517+518))</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</si>
  <si>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</si>
  <si>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</si>
  <si>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It appears your Water Sewer Fund has transfers-in for the support of operations that are greater than 3% of the total of operating and non-operating expenses.  Please discuss the purpose of such transfers-in and if you plan to continue these transfers-in.</t>
  </si>
  <si>
    <t>Unit Data from Audit Worksheet tab : 590 and 23</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</si>
  <si>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</si>
  <si>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</si>
  <si>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ELECTRIC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</si>
  <si>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t>did not use 1050 before year 2022</t>
  </si>
  <si>
    <t>FPIC graph</t>
  </si>
  <si>
    <t>Was the finance officer or interim finance officer bonded (Yes or No) pursuant to G.S. 159-29</t>
  </si>
  <si>
    <t>Angel</t>
  </si>
  <si>
    <t>1/1/2017</t>
  </si>
  <si>
    <t>1/1/2019</t>
  </si>
  <si>
    <t>1/1/2018</t>
  </si>
  <si>
    <t>7/1/2021</t>
  </si>
  <si>
    <t>11/1/2021</t>
  </si>
  <si>
    <t>11/17/2021</t>
  </si>
  <si>
    <t>11/18/2022</t>
  </si>
  <si>
    <t>11/8/2021</t>
  </si>
  <si>
    <t>12/16/2021</t>
  </si>
  <si>
    <t>12/8/2021</t>
  </si>
  <si>
    <t>10/5/2022</t>
  </si>
  <si>
    <t>2/7/2022</t>
  </si>
  <si>
    <t>11/1/2022</t>
  </si>
  <si>
    <t>3/7/2022</t>
  </si>
  <si>
    <t>2/2/2023</t>
  </si>
  <si>
    <t>12/15/2022</t>
  </si>
  <si>
    <t>2/21/2023</t>
  </si>
  <si>
    <t>1/30/2023</t>
  </si>
  <si>
    <t>1/9/2023</t>
  </si>
  <si>
    <t>2023-02-03</t>
  </si>
  <si>
    <t>2022-11-16</t>
  </si>
  <si>
    <t>2022-10-21</t>
  </si>
  <si>
    <t>2022-11-18</t>
  </si>
  <si>
    <t>2023-02-16</t>
  </si>
  <si>
    <t>2023-01-31</t>
  </si>
  <si>
    <t>Heather</t>
  </si>
  <si>
    <t>Leslie</t>
  </si>
  <si>
    <t>Beverly</t>
  </si>
  <si>
    <t>Cathy</t>
  </si>
  <si>
    <t>Jill</t>
  </si>
  <si>
    <t>Brian</t>
  </si>
  <si>
    <t>Lesley</t>
  </si>
  <si>
    <t>John</t>
  </si>
  <si>
    <t>Moore</t>
  </si>
  <si>
    <t>Garris</t>
  </si>
  <si>
    <t>O'Brien</t>
  </si>
  <si>
    <t>Whitlock</t>
  </si>
  <si>
    <t>9/1/2021</t>
  </si>
  <si>
    <t>1/11/2016</t>
  </si>
  <si>
    <t>Finance Officer and Town Clerk</t>
  </si>
  <si>
    <t>Clerk/Finance Officer</t>
  </si>
  <si>
    <t>Interim Finance Officer</t>
  </si>
  <si>
    <t>1/27/2023</t>
  </si>
  <si>
    <t>4/19/2023</t>
  </si>
  <si>
    <t>10/28/2021</t>
  </si>
  <si>
    <t>10/27/2021</t>
  </si>
  <si>
    <t>10/8/2021</t>
  </si>
  <si>
    <t>12/28/2021</t>
  </si>
  <si>
    <t>10/31/2021</t>
  </si>
  <si>
    <t>10/20/2021</t>
  </si>
  <si>
    <t>11/21/2021</t>
  </si>
  <si>
    <t>10/11/2021</t>
  </si>
  <si>
    <t>1/23/2023</t>
  </si>
  <si>
    <t>Tina</t>
  </si>
  <si>
    <t>White</t>
  </si>
  <si>
    <t>1/1/2005</t>
  </si>
  <si>
    <t>10/17/2022</t>
  </si>
  <si>
    <t>2/15/2023</t>
  </si>
  <si>
    <t>12/29/2022</t>
  </si>
  <si>
    <t>4/12/2023</t>
  </si>
  <si>
    <t>11/22/2022</t>
  </si>
  <si>
    <t>12/19/2022</t>
  </si>
  <si>
    <t>11/2/2022</t>
  </si>
  <si>
    <t>2/14/2023</t>
  </si>
  <si>
    <t>2022-11-10</t>
  </si>
  <si>
    <t>2022-10-28</t>
  </si>
  <si>
    <t>2022-10-19</t>
  </si>
  <si>
    <t>2022-11-14</t>
  </si>
  <si>
    <t>2022-10-27</t>
  </si>
  <si>
    <t>Jim</t>
  </si>
  <si>
    <t>Gayle</t>
  </si>
  <si>
    <t>Judy</t>
  </si>
  <si>
    <t>Kimberly</t>
  </si>
  <si>
    <t>KAYLA</t>
  </si>
  <si>
    <t>Michael</t>
  </si>
  <si>
    <t>Africa</t>
  </si>
  <si>
    <t>MARIE</t>
  </si>
  <si>
    <t>Anna</t>
  </si>
  <si>
    <t>Tymeeka</t>
  </si>
  <si>
    <t>Franz</t>
  </si>
  <si>
    <t>Chris</t>
  </si>
  <si>
    <t>Donna</t>
  </si>
  <si>
    <t>Vikci</t>
  </si>
  <si>
    <t>Liliana</t>
  </si>
  <si>
    <t>Tim</t>
  </si>
  <si>
    <t>Arlen</t>
  </si>
  <si>
    <t>Sam</t>
  </si>
  <si>
    <t>Cheryl</t>
  </si>
  <si>
    <t>MEREDITH</t>
  </si>
  <si>
    <t>Chase</t>
  </si>
  <si>
    <t>Elizabeth</t>
  </si>
  <si>
    <t>LEON</t>
  </si>
  <si>
    <t>Carolyn</t>
  </si>
  <si>
    <t>Carrie</t>
  </si>
  <si>
    <t>Laura</t>
  </si>
  <si>
    <t>Thomas</t>
  </si>
  <si>
    <t>Carly</t>
  </si>
  <si>
    <t>Pam</t>
  </si>
  <si>
    <t>Kathy</t>
  </si>
  <si>
    <t>Lynn</t>
  </si>
  <si>
    <t>Lisa</t>
  </si>
  <si>
    <t>Frances</t>
  </si>
  <si>
    <t>Stephania</t>
  </si>
  <si>
    <t>JAMES</t>
  </si>
  <si>
    <t>Sean</t>
  </si>
  <si>
    <t>Vickie-Marie</t>
  </si>
  <si>
    <t>Alisha</t>
  </si>
  <si>
    <t>Christie</t>
  </si>
  <si>
    <t>Annette</t>
  </si>
  <si>
    <t>Cindy</t>
  </si>
  <si>
    <t>Shayne</t>
  </si>
  <si>
    <t>Jessica</t>
  </si>
  <si>
    <t>Shannon</t>
  </si>
  <si>
    <t>Julia</t>
  </si>
  <si>
    <t>Julie</t>
  </si>
  <si>
    <t>Robert</t>
  </si>
  <si>
    <t>Bille Jean</t>
  </si>
  <si>
    <t>Jamie</t>
  </si>
  <si>
    <t>Teresa</t>
  </si>
  <si>
    <t>Myra</t>
  </si>
  <si>
    <t>Joanna</t>
  </si>
  <si>
    <t>Sholanthe</t>
  </si>
  <si>
    <t>Daphna</t>
  </si>
  <si>
    <t>Hazel</t>
  </si>
  <si>
    <t>Wojtowicz</t>
  </si>
  <si>
    <t>Rawls</t>
  </si>
  <si>
    <t>Maides</t>
  </si>
  <si>
    <t>Gallman</t>
  </si>
  <si>
    <t>Cockrell</t>
  </si>
  <si>
    <t>JONES</t>
  </si>
  <si>
    <t>Pardue</t>
  </si>
  <si>
    <t>Otis</t>
  </si>
  <si>
    <t>GARRIS</t>
  </si>
  <si>
    <t>West</t>
  </si>
  <si>
    <t>Ader</t>
  </si>
  <si>
    <t>Kissinger</t>
  </si>
  <si>
    <t>Costner</t>
  </si>
  <si>
    <t>Goodson</t>
  </si>
  <si>
    <t>Collins</t>
  </si>
  <si>
    <t>Noble</t>
  </si>
  <si>
    <t>Flora</t>
  </si>
  <si>
    <t>Copenhaver</t>
  </si>
  <si>
    <t>Karr</t>
  </si>
  <si>
    <t>Bennett</t>
  </si>
  <si>
    <t>Hager</t>
  </si>
  <si>
    <t>PARKER</t>
  </si>
  <si>
    <t>Johnson</t>
  </si>
  <si>
    <t>COLLIER</t>
  </si>
  <si>
    <t>Wince</t>
  </si>
  <si>
    <t>Smith</t>
  </si>
  <si>
    <t>Neal</t>
  </si>
  <si>
    <t>Wright</t>
  </si>
  <si>
    <t>Anderson</t>
  </si>
  <si>
    <t>Hagg</t>
  </si>
  <si>
    <t>Bean</t>
  </si>
  <si>
    <t>Orrell</t>
  </si>
  <si>
    <t>Overton</t>
  </si>
  <si>
    <t>Bond</t>
  </si>
  <si>
    <t>Young</t>
  </si>
  <si>
    <t>McBryde</t>
  </si>
  <si>
    <t>Collier</t>
  </si>
  <si>
    <t>Morton</t>
  </si>
  <si>
    <t>COZART</t>
  </si>
  <si>
    <t>Medlin</t>
  </si>
  <si>
    <t>Riddick</t>
  </si>
  <si>
    <t>Nolen</t>
  </si>
  <si>
    <t>Wortmann</t>
  </si>
  <si>
    <t>Armstrong</t>
  </si>
  <si>
    <t>Cobb</t>
  </si>
  <si>
    <t>Lynch</t>
  </si>
  <si>
    <t>Novak</t>
  </si>
  <si>
    <t>Wheeler</t>
  </si>
  <si>
    <t>Jones</t>
  </si>
  <si>
    <t>Twiddy</t>
  </si>
  <si>
    <t>Scherer</t>
  </si>
  <si>
    <t>Zink</t>
  </si>
  <si>
    <t>Haynie</t>
  </si>
  <si>
    <t>Garrison</t>
  </si>
  <si>
    <t>Bays</t>
  </si>
  <si>
    <t>Fulk</t>
  </si>
  <si>
    <t>Tyndall</t>
  </si>
  <si>
    <t>Dalton</t>
  </si>
  <si>
    <t>Gordon</t>
  </si>
  <si>
    <t>Dellinger</t>
  </si>
  <si>
    <t>Townsend</t>
  </si>
  <si>
    <t>Kelly</t>
  </si>
  <si>
    <t>Schwartz</t>
  </si>
  <si>
    <t>3/21/2016</t>
  </si>
  <si>
    <t>6/21/2019</t>
  </si>
  <si>
    <t>5/19/2012</t>
  </si>
  <si>
    <t>6/1/2006</t>
  </si>
  <si>
    <t>4/26/2021</t>
  </si>
  <si>
    <t>2/22/2021</t>
  </si>
  <si>
    <t>1/1/2000</t>
  </si>
  <si>
    <t>3/3/2008</t>
  </si>
  <si>
    <t>1/1/2016</t>
  </si>
  <si>
    <t>5/1/2017</t>
  </si>
  <si>
    <t>3/3/2014</t>
  </si>
  <si>
    <t>3/30/2016</t>
  </si>
  <si>
    <t>7/21/2021</t>
  </si>
  <si>
    <t>7/20/2010</t>
  </si>
  <si>
    <t>9/1/2017</t>
  </si>
  <si>
    <t>6/21/1992</t>
  </si>
  <si>
    <t>8/10/2021</t>
  </si>
  <si>
    <t>11/2/2021</t>
  </si>
  <si>
    <t>9/17/2019</t>
  </si>
  <si>
    <t>7/1/2016</t>
  </si>
  <si>
    <t>4/1/2012</t>
  </si>
  <si>
    <t>8/25/2016</t>
  </si>
  <si>
    <t>1/6/2014</t>
  </si>
  <si>
    <t>10/2/1996</t>
  </si>
  <si>
    <t>3/12/2012</t>
  </si>
  <si>
    <t>3/2/2021</t>
  </si>
  <si>
    <t>3/2/2004</t>
  </si>
  <si>
    <t>4/14/2008</t>
  </si>
  <si>
    <t>10/29/2007</t>
  </si>
  <si>
    <t>12/1/2015</t>
  </si>
  <si>
    <t>12/26/2001</t>
  </si>
  <si>
    <t>4/13/2021</t>
  </si>
  <si>
    <t>6/26/2012</t>
  </si>
  <si>
    <t>6/13/2016</t>
  </si>
  <si>
    <t>12/31/2017</t>
  </si>
  <si>
    <t>12/1/2009</t>
  </si>
  <si>
    <t>5/3/2021</t>
  </si>
  <si>
    <t>7/6/2021</t>
  </si>
  <si>
    <t>12/5/2016</t>
  </si>
  <si>
    <t>2/8/2016</t>
  </si>
  <si>
    <t>5/2/2016</t>
  </si>
  <si>
    <t>3/1/2021</t>
  </si>
  <si>
    <t>YES</t>
  </si>
  <si>
    <t>Jim Wojtowicz, CPA</t>
  </si>
  <si>
    <t>Gayle Maides</t>
  </si>
  <si>
    <t>Judy Gallman</t>
  </si>
  <si>
    <t>Kimberly Cockrell</t>
  </si>
  <si>
    <t>KAYLA JONES</t>
  </si>
  <si>
    <t>Michael Pardue</t>
  </si>
  <si>
    <t>Africa Otis</t>
  </si>
  <si>
    <t>MARIE GARRIS</t>
  </si>
  <si>
    <t>Anna West</t>
  </si>
  <si>
    <t>Tymeeka Williams</t>
  </si>
  <si>
    <t>Franz Ader</t>
  </si>
  <si>
    <t>Beverly Kissinger</t>
  </si>
  <si>
    <t>Susan O'Brien</t>
  </si>
  <si>
    <t>Chris Costner</t>
  </si>
  <si>
    <t>Donna Goodson</t>
  </si>
  <si>
    <t>Vicki Collins</t>
  </si>
  <si>
    <t>Tim Flora</t>
  </si>
  <si>
    <t>Arlen Copenhaver</t>
  </si>
  <si>
    <t>Leslie Garriss</t>
  </si>
  <si>
    <t>Sam Karr</t>
  </si>
  <si>
    <t>Cheryl Bennett</t>
  </si>
  <si>
    <t>Jim Hager</t>
  </si>
  <si>
    <t>Meredith Parker</t>
  </si>
  <si>
    <t>Chase Norwood</t>
  </si>
  <si>
    <t>Elizabeth Johnson</t>
  </si>
  <si>
    <t>LEON COLLIER</t>
  </si>
  <si>
    <t>Carolyn Wince</t>
  </si>
  <si>
    <t>Heather Smith</t>
  </si>
  <si>
    <t>Carrie Neal</t>
  </si>
  <si>
    <t>Laura Wright</t>
  </si>
  <si>
    <t>Thomas B. Anderson</t>
  </si>
  <si>
    <t>Carly Hagg</t>
  </si>
  <si>
    <t>Donna Bean</t>
  </si>
  <si>
    <t>Pam Orrell</t>
  </si>
  <si>
    <t>John M. Overton</t>
  </si>
  <si>
    <t>Kathy Bond</t>
  </si>
  <si>
    <t>Lynn Whitlock</t>
  </si>
  <si>
    <t>Lisa Young</t>
  </si>
  <si>
    <t>Pamela McBryde</t>
  </si>
  <si>
    <t>Frances B. Collier</t>
  </si>
  <si>
    <t>Cesar Correa</t>
  </si>
  <si>
    <t>James Cozart</t>
  </si>
  <si>
    <t>Sean Medlin</t>
  </si>
  <si>
    <t>Lisa Riddick</t>
  </si>
  <si>
    <t>Lisa Nolen</t>
  </si>
  <si>
    <t>Vickie-Marie Wortmann</t>
  </si>
  <si>
    <t>Alisha Armstrong</t>
  </si>
  <si>
    <t>Christie Cobb</t>
  </si>
  <si>
    <t>Annette L Lynch</t>
  </si>
  <si>
    <t>Cindy Novak</t>
  </si>
  <si>
    <t>Shayne Wheeler</t>
  </si>
  <si>
    <t>BARBARA JONES</t>
  </si>
  <si>
    <t>Jessica White</t>
  </si>
  <si>
    <t>Shannon Twiddy</t>
  </si>
  <si>
    <t>Julia Simpson</t>
  </si>
  <si>
    <t>Julie Scherer</t>
  </si>
  <si>
    <t>Robert Zink</t>
  </si>
  <si>
    <t>Billie Jean Haynie</t>
  </si>
  <si>
    <t>Michael Garrison</t>
  </si>
  <si>
    <t>Jamie Bays</t>
  </si>
  <si>
    <t>Teresa Fulk</t>
  </si>
  <si>
    <t>Myra Tyndall</t>
  </si>
  <si>
    <t>Joanna Dalton</t>
  </si>
  <si>
    <t>Sholanthe Gordon</t>
  </si>
  <si>
    <t>Lesley Dellinger</t>
  </si>
  <si>
    <t>David Townsend</t>
  </si>
  <si>
    <t>Cathy W. Kelly</t>
  </si>
  <si>
    <t>Daphna Schwartz</t>
  </si>
  <si>
    <t>Hazel Smith</t>
  </si>
  <si>
    <t>Town Manager</t>
  </si>
  <si>
    <t>Director of Finance and Personnel</t>
  </si>
  <si>
    <t>Finance &amp; Budget Officer</t>
  </si>
  <si>
    <t>Fiance Officer</t>
  </si>
  <si>
    <t>Finance Officer/Town Clerk</t>
  </si>
  <si>
    <t>FINANCE OFFICE</t>
  </si>
  <si>
    <t>Assistant Town Manager</t>
  </si>
  <si>
    <t>Finance Direcor</t>
  </si>
  <si>
    <t>Mayor/Finance Officer</t>
  </si>
  <si>
    <t>City Administrator</t>
  </si>
  <si>
    <t>Finance Office</t>
  </si>
  <si>
    <t>FINANCE OFFICER/CLERK</t>
  </si>
  <si>
    <t>Treasurer</t>
  </si>
  <si>
    <t>Town Clerk and Finance Director</t>
  </si>
  <si>
    <t>4/29/2022</t>
  </si>
  <si>
    <t>3/17/2022</t>
  </si>
  <si>
    <t>11/24/2021</t>
  </si>
  <si>
    <t>5/6/2022</t>
  </si>
  <si>
    <t>10/21/2021</t>
  </si>
  <si>
    <t>10/15/2021</t>
  </si>
  <si>
    <t>11/18/2021</t>
  </si>
  <si>
    <t>10/24/2021</t>
  </si>
  <si>
    <t>11/23/2021</t>
  </si>
  <si>
    <t>10/18/2021</t>
  </si>
  <si>
    <t>3/27/2023</t>
  </si>
  <si>
    <t>1/12/2022</t>
  </si>
  <si>
    <t>2/22/2022</t>
  </si>
  <si>
    <t>1/19/2022</t>
  </si>
  <si>
    <t>11/23/2022</t>
  </si>
  <si>
    <t>2/28/2022</t>
  </si>
  <si>
    <t>9/23/2021</t>
  </si>
  <si>
    <t>1/21/2022</t>
  </si>
  <si>
    <t>9/18/2021</t>
  </si>
  <si>
    <t>11/10/2021</t>
  </si>
  <si>
    <t>5/18/2022</t>
  </si>
  <si>
    <t>704-821-5401</t>
  </si>
  <si>
    <t>252-534-3811</t>
  </si>
  <si>
    <t>910-938-5245</t>
  </si>
  <si>
    <t>336-454-1138</t>
  </si>
  <si>
    <t>252-792-5006</t>
  </si>
  <si>
    <t>336-846-9368</t>
  </si>
  <si>
    <t>336-835-3426</t>
  </si>
  <si>
    <t>828-514-9575</t>
  </si>
  <si>
    <t>252-344-2691</t>
  </si>
  <si>
    <t>910-477-4735</t>
  </si>
  <si>
    <t>919-284-2116</t>
  </si>
  <si>
    <t>336-992-0504</t>
  </si>
  <si>
    <t>252-449-5343</t>
  </si>
  <si>
    <t>336-983-0236</t>
  </si>
  <si>
    <t>704-734-4607</t>
  </si>
  <si>
    <t>252-939-3281</t>
  </si>
  <si>
    <t>252-492-5273</t>
  </si>
  <si>
    <t>252-261-3552</t>
  </si>
  <si>
    <t>919-217-2210</t>
  </si>
  <si>
    <t>910-458-8216</t>
  </si>
  <si>
    <t>252-566-3186</t>
  </si>
  <si>
    <t>828-625-9983</t>
  </si>
  <si>
    <t>704-882-8657</t>
  </si>
  <si>
    <t>828-479-8190</t>
  </si>
  <si>
    <t>910-646-3700</t>
  </si>
  <si>
    <t>704-857-2411</t>
  </si>
  <si>
    <t>336-384-3938</t>
  </si>
  <si>
    <t>252-539-4014</t>
  </si>
  <si>
    <t>704-434-2620</t>
  </si>
  <si>
    <t>828-693-4840</t>
  </si>
  <si>
    <t>910-291-1738</t>
  </si>
  <si>
    <t>704-538-3146</t>
  </si>
  <si>
    <t>252-823-5086</t>
  </si>
  <si>
    <t>910-338-9735</t>
  </si>
  <si>
    <t>828-757-2180</t>
  </si>
  <si>
    <t>336-945-5558</t>
  </si>
  <si>
    <t>336-248-3925</t>
  </si>
  <si>
    <t>336-622-4276</t>
  </si>
  <si>
    <t>704-848-4711</t>
  </si>
  <si>
    <t>910-893-0307</t>
  </si>
  <si>
    <t>910-980-0119</t>
  </si>
  <si>
    <t>704-888-5260</t>
  </si>
  <si>
    <t>828-322-3921</t>
  </si>
  <si>
    <t>919-497-1015</t>
  </si>
  <si>
    <t>704-437-6480</t>
  </si>
  <si>
    <t>704-824-3518</t>
  </si>
  <si>
    <t>910-843-3991</t>
  </si>
  <si>
    <t>910-671-3817</t>
  </si>
  <si>
    <t>252-827-4823</t>
  </si>
  <si>
    <t>252-365-7004</t>
  </si>
  <si>
    <t>336-548-2789</t>
  </si>
  <si>
    <t>828-926-0866</t>
  </si>
  <si>
    <t>910-289-3205</t>
  </si>
  <si>
    <t>828-428-5003</t>
  </si>
  <si>
    <t>252-473-2133</t>
  </si>
  <si>
    <t>910-785-1301</t>
  </si>
  <si>
    <t>862-652-3551</t>
  </si>
  <si>
    <t>828-689-2301</t>
  </si>
  <si>
    <t>828-649-3031</t>
  </si>
  <si>
    <t>704-624-2515</t>
  </si>
  <si>
    <t>704-843-1680</t>
  </si>
  <si>
    <t>704-708-1225</t>
  </si>
  <si>
    <t>910-844-5231</t>
  </si>
  <si>
    <t>336-427-0241</t>
  </si>
  <si>
    <t>910-743-4441</t>
  </si>
  <si>
    <t>704-824-3190</t>
  </si>
  <si>
    <t>336-257-0274</t>
  </si>
  <si>
    <t>704-851-3822</t>
  </si>
  <si>
    <t>919-563-5901</t>
  </si>
  <si>
    <t>252-745-2010</t>
  </si>
  <si>
    <t>jmw@indiantrail.org</t>
  </si>
  <si>
    <t>jacksontownhall@mchsi.com</t>
  </si>
  <si>
    <t>gmaides@jacksonvillenc.gov</t>
  </si>
  <si>
    <t>jgallman@jamestown-nc.gov</t>
  </si>
  <si>
    <t>jamesville@embarqmail.com</t>
  </si>
  <si>
    <t>FINANCE@TOWNOFJEFFERSON.ORG</t>
  </si>
  <si>
    <t>mpardue@townofjonesvillenc.com</t>
  </si>
  <si>
    <t>aotis@kannapolisnc.gov</t>
  </si>
  <si>
    <t>townofkelford@centurylink.net</t>
  </si>
  <si>
    <t>finance@kenansville.org</t>
  </si>
  <si>
    <t>tymeeka.williams@townofkenly.com</t>
  </si>
  <si>
    <t>fader@toknc.com</t>
  </si>
  <si>
    <t>beverly@kdhnc.com</t>
  </si>
  <si>
    <t>sobrien@ci.king.nc.us</t>
  </si>
  <si>
    <t>Chris.costner@cityofkm.com</t>
  </si>
  <si>
    <t>donna.goodson@ci.kinston.nc.us</t>
  </si>
  <si>
    <t>clerkofkittrell@gmail.com</t>
  </si>
  <si>
    <t>lnoble@kittyhawktown.net</t>
  </si>
  <si>
    <t>tim.flora@knightdalenc.gov</t>
  </si>
  <si>
    <t>a.copenhaver@tokb.org</t>
  </si>
  <si>
    <t>lagarriss@lagrangenc.com</t>
  </si>
  <si>
    <t>findir@townoflakelure.com</t>
  </si>
  <si>
    <t>cheryl.bennett@lakeparknc.gov</t>
  </si>
  <si>
    <t>info@townoflake santeetlah.org</t>
  </si>
  <si>
    <t>lwclerk@embarqmail.com</t>
  </si>
  <si>
    <t>cnorwood@townoflandis.com</t>
  </si>
  <si>
    <t>ejohnson7316@gmail.com</t>
  </si>
  <si>
    <t>jcolliertol@yahoo.com</t>
  </si>
  <si>
    <t>townoflattimore@gmail.com</t>
  </si>
  <si>
    <t>hsmith@laurelpark.org</t>
  </si>
  <si>
    <t>cneal2@laurinburg.org</t>
  </si>
  <si>
    <t>townoflawndale@aol.com</t>
  </si>
  <si>
    <t>andersontb@centurylink.net</t>
  </si>
  <si>
    <t>chagg@townofleland.com</t>
  </si>
  <si>
    <t>dbean@ci.lenoir.nc.us</t>
  </si>
  <si>
    <t>finance@lewisvillenc.net</t>
  </si>
  <si>
    <t>JMOverton@LexingtonNC.gov</t>
  </si>
  <si>
    <t>finance@townoflibertync.org</t>
  </si>
  <si>
    <t>lilesvilletown@windstream.net</t>
  </si>
  <si>
    <t>lyoung@lillingtonnc.org</t>
  </si>
  <si>
    <t>pmcbryde@lincolntonnc.org</t>
  </si>
  <si>
    <t>lindentoenhall@embarqmail.com</t>
  </si>
  <si>
    <t>cityadmin@locustnc.com</t>
  </si>
  <si>
    <t>james.cozart@mail.ci.longview.nc.us</t>
  </si>
  <si>
    <t>smedlin@townoflouisburg.org</t>
  </si>
  <si>
    <t>lovevalleytownclerk@aol.com</t>
  </si>
  <si>
    <t>lnolen@lowellnc.com</t>
  </si>
  <si>
    <t>lumberbridgetown@gmail.com</t>
  </si>
  <si>
    <t>athompson@ci.lumberton.nc.us</t>
  </si>
  <si>
    <t>clerk@townofmacclesfieldnc.org</t>
  </si>
  <si>
    <t>lynchannette27@yahoo.com</t>
  </si>
  <si>
    <t>cnovak@townofmadison.org</t>
  </si>
  <si>
    <t>swheeler@maggievalleync.gov</t>
  </si>
  <si>
    <t>MAGNOLIAFINANCE@MAGNOLIATOWNHALL.COM</t>
  </si>
  <si>
    <t>jwhite@maidennc.gov</t>
  </si>
  <si>
    <t>stwiddy@manteonc.gov</t>
  </si>
  <si>
    <t>townmareitta@yahoo.com</t>
  </si>
  <si>
    <t>jscherer@marionnc.org</t>
  </si>
  <si>
    <t>bobzink@griffinagency.net</t>
  </si>
  <si>
    <t>mmassey@townofmarshall.org</t>
  </si>
  <si>
    <t>mgarrison@marshville.org</t>
  </si>
  <si>
    <t>finance@marvinnc.gov</t>
  </si>
  <si>
    <t>tfulk@matthewsnc.gov</t>
  </si>
  <si>
    <t>acctspay@ci.maxton.us</t>
  </si>
  <si>
    <t>financedirector@mayodannc.org</t>
  </si>
  <si>
    <t>finance@townofmaysville.org</t>
  </si>
  <si>
    <t>clerk@townofmcadenville.org</t>
  </si>
  <si>
    <t>inletdogs55@gmail.com</t>
  </si>
  <si>
    <t>town_ofmcfarlan@windstream.net</t>
  </si>
  <si>
    <t>dschwartz@cityofmebane.com</t>
  </si>
  <si>
    <t>mesicnc@mesicnc.org</t>
  </si>
  <si>
    <t>1/25/2022</t>
  </si>
  <si>
    <t>12/14/2022</t>
  </si>
  <si>
    <t>5/9/2022</t>
  </si>
  <si>
    <t>4/15/2022</t>
  </si>
  <si>
    <t>5/15/2022</t>
  </si>
  <si>
    <t>11/20/2021</t>
  </si>
  <si>
    <t>2/17/2023</t>
  </si>
  <si>
    <t>1/3/2022</t>
  </si>
  <si>
    <t>11/11/2021</t>
  </si>
  <si>
    <t>2/8/2022</t>
  </si>
  <si>
    <t>1/13/2022</t>
  </si>
  <si>
    <t>10/5/2021</t>
  </si>
  <si>
    <t>4/15/2023</t>
  </si>
  <si>
    <t>5/9/2023</t>
  </si>
  <si>
    <t>2/3/2022</t>
  </si>
  <si>
    <t>4/12/2022</t>
  </si>
  <si>
    <t>2/15/2022</t>
  </si>
  <si>
    <t>12/18/2021</t>
  </si>
  <si>
    <t>1/10/2022</t>
  </si>
  <si>
    <t>4/20/2022</t>
  </si>
  <si>
    <t>2/10/2022</t>
  </si>
  <si>
    <t>11/9/2021</t>
  </si>
  <si>
    <t>2/14/2022</t>
  </si>
  <si>
    <t>1/7/2022</t>
  </si>
  <si>
    <t>12/31/2021</t>
  </si>
  <si>
    <t>7/5/2022</t>
  </si>
  <si>
    <t>Operations - Street-related maintenance paid with Powell Bill fund balance.</t>
  </si>
  <si>
    <t>Capital - purchase of property for future Town Hall</t>
  </si>
  <si>
    <t>Sabrina</t>
  </si>
  <si>
    <t>Ann</t>
  </si>
  <si>
    <t>Vicki</t>
  </si>
  <si>
    <t>Mark</t>
  </si>
  <si>
    <t>Stephen</t>
  </si>
  <si>
    <t>Meredith</t>
  </si>
  <si>
    <t>LEON D</t>
  </si>
  <si>
    <t>Francis</t>
  </si>
  <si>
    <t>James</t>
  </si>
  <si>
    <t>Autumn</t>
  </si>
  <si>
    <t>Billie Jean</t>
  </si>
  <si>
    <t>Haillie</t>
  </si>
  <si>
    <t>Adams</t>
  </si>
  <si>
    <t>Roberts</t>
  </si>
  <si>
    <t>Stephens</t>
  </si>
  <si>
    <t>Craft</t>
  </si>
  <si>
    <t>Ford</t>
  </si>
  <si>
    <t>Emerson</t>
  </si>
  <si>
    <t>Parker</t>
  </si>
  <si>
    <t>Cozert</t>
  </si>
  <si>
    <t>Wortman</t>
  </si>
  <si>
    <t>Lyvers</t>
  </si>
  <si>
    <t>Doughtie</t>
  </si>
  <si>
    <t>Carilli</t>
  </si>
  <si>
    <t>Halverson</t>
  </si>
  <si>
    <t>7/30/2022</t>
  </si>
  <si>
    <t>6/20/2006</t>
  </si>
  <si>
    <t>10/11/2010</t>
  </si>
  <si>
    <t>5/8/2017</t>
  </si>
  <si>
    <t>12/1/2020</t>
  </si>
  <si>
    <t>6/24/2022</t>
  </si>
  <si>
    <t>8/3/2022</t>
  </si>
  <si>
    <t>8/1/2022</t>
  </si>
  <si>
    <t>Tim White</t>
  </si>
  <si>
    <t>Sabrina Adams</t>
  </si>
  <si>
    <t>Brian Roberts</t>
  </si>
  <si>
    <t>Ann Moore</t>
  </si>
  <si>
    <t>Liliana Noble</t>
  </si>
  <si>
    <t>Mark Stephens</t>
  </si>
  <si>
    <t>Leslie Craft</t>
  </si>
  <si>
    <t>Stephen Ford</t>
  </si>
  <si>
    <t>Tina  Emerson</t>
  </si>
  <si>
    <t>LEON D COLLIER</t>
  </si>
  <si>
    <t>Carrie H. Neal</t>
  </si>
  <si>
    <t>Kimberly Turner</t>
  </si>
  <si>
    <t>Stephania Morton</t>
  </si>
  <si>
    <t>James Cozert</t>
  </si>
  <si>
    <t>Vickie-Marie Wortman</t>
  </si>
  <si>
    <t>Tina West</t>
  </si>
  <si>
    <t>Autumn Lyvers</t>
  </si>
  <si>
    <t>Barbara Jones</t>
  </si>
  <si>
    <t>Heather Doughtie</t>
  </si>
  <si>
    <t>Jill Carilli</t>
  </si>
  <si>
    <t>Haillie Halverson</t>
  </si>
  <si>
    <t>Director of Finance</t>
  </si>
  <si>
    <t>Finance officer/Clerk</t>
  </si>
  <si>
    <t>10/18/2022</t>
  </si>
  <si>
    <t>4/17/2023</t>
  </si>
  <si>
    <t>12/16/2022</t>
  </si>
  <si>
    <t>11/9/2022</t>
  </si>
  <si>
    <t>6/20/2023</t>
  </si>
  <si>
    <t>11/25/2022</t>
  </si>
  <si>
    <t>10/25/2022</t>
  </si>
  <si>
    <t>10/4/2022</t>
  </si>
  <si>
    <t>10/11/2022</t>
  </si>
  <si>
    <t>10/19/2022</t>
  </si>
  <si>
    <t>10/24/2022</t>
  </si>
  <si>
    <t>2/10/2023</t>
  </si>
  <si>
    <t>3/3/2023</t>
  </si>
  <si>
    <t>3/16/2023</t>
  </si>
  <si>
    <t>4/18/2023</t>
  </si>
  <si>
    <t>252-247-3344</t>
  </si>
  <si>
    <t>704-821-5401 ext.219</t>
  </si>
  <si>
    <t>704-920-4306</t>
  </si>
  <si>
    <t>910-447-4735</t>
  </si>
  <si>
    <t>919-814-4298</t>
  </si>
  <si>
    <t>828-625-9983 ext.102</t>
  </si>
  <si>
    <t>704-506-8168</t>
  </si>
  <si>
    <t>704-857-2411 ext.202</t>
  </si>
  <si>
    <t>336-945-1027</t>
  </si>
  <si>
    <t>336-248-3925 ext.3204</t>
  </si>
  <si>
    <t>704-736-8980</t>
  </si>
  <si>
    <t>336-427-0221</t>
  </si>
  <si>
    <t>828-926-0866 ext.101</t>
  </si>
  <si>
    <t>828-652-3551 ext.312</t>
  </si>
  <si>
    <t>919-304-9223</t>
  </si>
  <si>
    <t>twhite@indianbeach.org</t>
  </si>
  <si>
    <t>sadams@jacksonvillenc.gov</t>
  </si>
  <si>
    <t>Broberts@kannapolisnc.gov</t>
  </si>
  <si>
    <t>chris.costner@cityofkm.com</t>
  </si>
  <si>
    <t>ann.moore@nctreasurer.com</t>
  </si>
  <si>
    <t>lnoble@kittyhawkton.net</t>
  </si>
  <si>
    <t>mark.stephens@knightdalenc.gov</t>
  </si>
  <si>
    <t>lagarris@lagrangenc.com</t>
  </si>
  <si>
    <t>sford@townoflakelure.com</t>
  </si>
  <si>
    <t>tinasanteetlah@yahoo.com</t>
  </si>
  <si>
    <t>mparker@lakewaccamawnc.gov</t>
  </si>
  <si>
    <t>cnorwood@townoflandisnc.gov</t>
  </si>
  <si>
    <t>Lawson.LDHCorp@gmail.com</t>
  </si>
  <si>
    <t>pmcbryde@lincolntonnc.ord</t>
  </si>
  <si>
    <t>lindentownhall@embarqmail.com</t>
  </si>
  <si>
    <t>finance@locustnc.com</t>
  </si>
  <si>
    <t>jcozart@longviewnc.gov</t>
  </si>
  <si>
    <t>twest@townofmadison.org</t>
  </si>
  <si>
    <t>alyvers@maggievalleync.gov</t>
  </si>
  <si>
    <t>magnoliafiance@magnoliatownhall.com</t>
  </si>
  <si>
    <t>hdoughtie@manteonc.gov</t>
  </si>
  <si>
    <t>townmarietta@yahoo.com</t>
  </si>
  <si>
    <t>JillCarilli@marvinnc.gov</t>
  </si>
  <si>
    <t>5/8/2023</t>
  </si>
  <si>
    <t>2/7/2023</t>
  </si>
  <si>
    <t>11/10/2022</t>
  </si>
  <si>
    <t>8/8/2023</t>
  </si>
  <si>
    <t>3/14/2023</t>
  </si>
  <si>
    <t>1/12/2023</t>
  </si>
  <si>
    <t>3/1/2023</t>
  </si>
  <si>
    <t>3/8/2023</t>
  </si>
  <si>
    <t>1/11/2023</t>
  </si>
  <si>
    <t>4/13/2023</t>
  </si>
  <si>
    <t>1/15/2023</t>
  </si>
  <si>
    <t>2022-11-15</t>
  </si>
  <si>
    <t>2023-04-18</t>
  </si>
  <si>
    <t>2022-12-13</t>
  </si>
  <si>
    <t>2022-12-16</t>
  </si>
  <si>
    <t>2022-12-22</t>
  </si>
  <si>
    <t>2023-04-26</t>
  </si>
  <si>
    <t>2022-12-20</t>
  </si>
  <si>
    <t>2022-11-22</t>
  </si>
  <si>
    <t>2022-10-20</t>
  </si>
  <si>
    <t>2023-07-26</t>
  </si>
  <si>
    <t>2023-03-10</t>
  </si>
  <si>
    <t>2022-10-26</t>
  </si>
  <si>
    <t>2022-10-05</t>
  </si>
  <si>
    <t>2022-10-25</t>
  </si>
  <si>
    <t>2023-02-10</t>
  </si>
  <si>
    <t>2023-03-03</t>
  </si>
  <si>
    <t>2023-03-21</t>
  </si>
  <si>
    <t>2022-12-29</t>
  </si>
  <si>
    <t>Amount of ARPA funds expended in total for fiscal year for non-capital purposes</t>
  </si>
  <si>
    <t>Data documenting the unit's compliance with General Statue 159-25 is captured in account numbers 947, 948, 949, 950, and 952</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</si>
  <si>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</si>
  <si>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If the answer to 1059 is "No," was the unit without a board-appointed interim or permanent finance officer for more than 2 weeks at any time in the fiscal year</t>
  </si>
  <si>
    <t>TD Info Completed by Auditor tab: CCH acct # 1079</t>
  </si>
  <si>
    <t>Did your audit disclose as a finding any statutory violations at the adopted ordinance level (not including budget violations) (Yes or No)</t>
  </si>
  <si>
    <t>Did your audit disclose any budget violations at the adopted ordinance level (Yes or No)</t>
  </si>
  <si>
    <t>Is there is a going concern noted in the audit report</t>
  </si>
  <si>
    <t>Does the Performance Indicator Print worksheet in this workbook have a red shaded cell</t>
  </si>
  <si>
    <t>Remaining useful life of asset greater than or equal to 0.50</t>
  </si>
  <si>
    <t xml:space="preserve">This capital assets condition ratio formula calculates the remaining useful life. A remaining useful asset value less than 0.50  may signal the need to replace the assets in the near future. </t>
  </si>
  <si>
    <t>Please do not answer this question unless the unit has a  water and/or sewer fund</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</si>
  <si>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</si>
  <si>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</si>
  <si>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</si>
  <si>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J46 to the right and in your FPIC Response.</t>
    </r>
  </si>
  <si>
    <t>C31</t>
  </si>
  <si>
    <t>C30</t>
  </si>
  <si>
    <t xml:space="preserve">What date was the audit report submitted to the LGC? </t>
  </si>
  <si>
    <t>Fiscal Review, UAL Determination, Financial Performance Indicator</t>
  </si>
  <si>
    <t>Does the Unit have a non-state administered pension plan</t>
  </si>
  <si>
    <t xml:space="preserve"> Fiscal 2023 -  Data Input Workbook incorporates the
Unit Data from Audit Worksheet, TD Info Completed by Auditor Worksheet, Performance Indicators Print Worksheet</t>
  </si>
  <si>
    <t>What date was the audit report submitted to the LGC?  (Note audit reports are due four months after fiscal year end regardless of the contract submission date.)  Enter as "MM/DD/YYYY"</t>
  </si>
  <si>
    <t>Capital Assets for Water and Sewer Activity</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</si>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</sst>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_(* #,##0.000_);_(* \(#,##0.000\);_(* &quot;-&quot;??_);_(@_)"/>
    <numFmt numFmtId="183" formatCode="[&lt;=9999999]###\-####;\(###\)\ ###\-####"/>
    <numFmt numFmtId="184" formatCode="###\-###\-####"/>
    <numFmt numFmtId="185" formatCode="@*."/>
    <numFmt numFmtId="186" formatCode=".0000"/>
    <numFmt numFmtId="187" formatCode="#,##0.0_);[Red]\(#,##0.0\)"/>
    <numFmt numFmtId="188" formatCode="0.0_);[Red]\(0.0\)"/>
    <numFmt numFmtId="189" formatCode="0.0000_);[Red]\(0.0000\)"/>
    <numFmt numFmtId="190" formatCode="0.00_);[Red]\(0.00\)"/>
  </numFmts>
  <fonts count="19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
      <sz val="8"/>
      <name val="Arial"/>
      <family val="2"/>
    </font>
    <font>
      <sz val="10"/>
      <name val="Arial"/>
      <family val="2"/>
    </font>
    <font>
      <sz val="12"/>
      <name val="Garamond"/>
      <family val="1"/>
    </font>
    <font>
      <sz val="10"/>
      <color rgb="FF000000"/>
      <name val="Times New Roman"/>
      <family val="1"/>
    </font>
    <font>
      <sz val="12"/>
      <color rgb="FFFF0000"/>
      <name val="Calibri"/>
      <family val="2"/>
      <scheme val="minor"/>
    </font>
    <font>
      <sz val="12"/>
      <name val="Calibri"/>
      <family val="2"/>
      <scheme val="minor"/>
    </font>
    <font>
      <b/>
      <sz val="11"/>
      <name val="Times New Roman"/>
      <family val="1"/>
    </font>
    <font>
      <b/>
      <i/>
      <sz val="14"/>
      <color theme="1"/>
      <name val="Calibri"/>
      <family val="2"/>
      <scheme val="minor"/>
    </font>
    <font>
      <b/>
      <u/>
      <sz val="11"/>
      <color rgb="FFFF0000"/>
      <name val="Calibri"/>
      <family val="2"/>
      <scheme val="minor"/>
    </font>
    <font>
      <b/>
      <sz val="14"/>
      <color rgb="FFFF0000"/>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s>
  <cellStyleXfs count="320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79" fillId="0" borderId="0"/>
    <xf numFmtId="43" fontId="179" fillId="0" borderId="0" applyFont="0" applyFill="0" applyBorder="0" applyAlignment="0" applyProtection="0"/>
    <xf numFmtId="44" fontId="17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87" fillId="0" borderId="0"/>
    <xf numFmtId="0" fontId="187" fillId="0" borderId="0"/>
    <xf numFmtId="0" fontId="188" fillId="0" borderId="0"/>
    <xf numFmtId="0" fontId="188" fillId="0" borderId="0"/>
    <xf numFmtId="0" fontId="188" fillId="0" borderId="0"/>
    <xf numFmtId="0" fontId="188"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8" fillId="0" borderId="0"/>
    <xf numFmtId="0" fontId="189" fillId="0" borderId="0"/>
    <xf numFmtId="0" fontId="188"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21" fillId="0" borderId="0"/>
    <xf numFmtId="0" fontId="19" fillId="0" borderId="0"/>
    <xf numFmtId="0" fontId="21" fillId="0" borderId="0"/>
    <xf numFmtId="0" fontId="112"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28" fillId="0" borderId="0"/>
  </cellStyleXfs>
  <cellXfs count="1183">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79"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2" xfId="0" applyFont="1" applyFill="1" applyBorder="1" applyAlignment="1">
      <alignment vertical="center" wrapText="1"/>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0" xfId="0" applyFont="1" applyFill="1" applyBorder="1" applyAlignment="1" applyProtection="1">
      <alignment horizontal="center"/>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37" fontId="0" fillId="0" borderId="0" xfId="0" applyNumberFormat="1"/>
    <xf numFmtId="2" fontId="0" fillId="0" borderId="0" xfId="0" applyNumberFormat="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0" fontId="0" fillId="81" borderId="25" xfId="0" applyNumberFormat="1" applyFont="1" applyFill="1" applyBorder="1" applyAlignment="1" applyProtection="1">
      <alignment horizontal="left" vertical="center" wrapText="1"/>
    </xf>
    <xf numFmtId="3" fontId="0" fillId="34"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2" borderId="0" xfId="0" applyFill="1" applyAlignment="1">
      <alignment horizontal="center"/>
    </xf>
    <xf numFmtId="0" fontId="0" fillId="82" borderId="0" xfId="0" applyFill="1"/>
    <xf numFmtId="0" fontId="0" fillId="82" borderId="0" xfId="0" applyNumberFormat="1" applyFont="1" applyFill="1" applyAlignment="1" applyProtection="1">
      <alignment horizontal="center" vertical="center"/>
    </xf>
    <xf numFmtId="0" fontId="0" fillId="82"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2"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182"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3" fontId="41" fillId="31" borderId="66" xfId="0" applyNumberFormat="1" applyFont="1" applyFill="1" applyBorder="1" applyAlignment="1">
      <alignment wrapText="1"/>
    </xf>
    <xf numFmtId="183" fontId="56" fillId="0" borderId="28" xfId="439" applyNumberFormat="1" applyFont="1" applyFill="1" applyBorder="1" applyAlignment="1" applyProtection="1">
      <alignment horizontal="center" vertical="center" wrapText="1"/>
    </xf>
    <xf numFmtId="181" fontId="0" fillId="0" borderId="0" xfId="0" applyNumberFormat="1"/>
    <xf numFmtId="0" fontId="44" fillId="0" borderId="0" xfId="26000" applyFont="1" applyAlignment="1">
      <alignment horizontal="center"/>
    </xf>
    <xf numFmtId="0" fontId="44" fillId="0" borderId="0" xfId="26000" applyFont="1"/>
    <xf numFmtId="0" fontId="33" fillId="0" borderId="0" xfId="0" applyFont="1"/>
    <xf numFmtId="0" fontId="57" fillId="80" borderId="0" xfId="26000" applyFont="1" applyFill="1"/>
    <xf numFmtId="0" fontId="44" fillId="80"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79"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44" fillId="0" borderId="0" xfId="0" applyFont="1"/>
    <xf numFmtId="0" fontId="44" fillId="0" borderId="0" xfId="0" applyFont="1" applyAlignment="1">
      <alignment horizontal="center"/>
    </xf>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39" fillId="0" borderId="13" xfId="0" applyFont="1" applyFill="1" applyBorder="1" applyAlignment="1">
      <alignment horizontal="left" vertical="center"/>
    </xf>
    <xf numFmtId="0" fontId="0" fillId="0" borderId="16" xfId="0" applyFill="1" applyBorder="1"/>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79"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164" fontId="44" fillId="0" borderId="16" xfId="26000" applyNumberFormat="1" applyFont="1" applyBorder="1"/>
    <xf numFmtId="0" fontId="0" fillId="0" borderId="10" xfId="0" applyFill="1" applyBorder="1" applyAlignment="1">
      <alignment horizontal="center" vertical="center"/>
    </xf>
    <xf numFmtId="0" fontId="0" fillId="0" borderId="10" xfId="0" applyFill="1" applyBorder="1" applyAlignment="1">
      <alignment vertical="center"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173" fontId="44" fillId="0" borderId="0" xfId="439" applyNumberFormat="1" applyFont="1" applyFill="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5" fillId="73" borderId="0" xfId="30098" applyFont="1" applyFill="1" applyAlignment="1">
      <alignment vertical="center" wrapText="1"/>
    </xf>
    <xf numFmtId="173" fontId="44" fillId="35" borderId="0" xfId="26000" applyNumberFormat="1" applyFont="1" applyFill="1"/>
    <xf numFmtId="0" fontId="39" fillId="26" borderId="0" xfId="0" applyFont="1" applyFill="1" applyAlignment="1">
      <alignment horizontal="center" vertical="center"/>
    </xf>
    <xf numFmtId="185"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185"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5" fontId="52" fillId="0" borderId="0" xfId="682" applyNumberFormat="1" applyFont="1" applyAlignment="1">
      <alignment horizontal="left"/>
    </xf>
    <xf numFmtId="185" fontId="39" fillId="0" borderId="0" xfId="682" applyNumberFormat="1" applyFont="1" applyAlignment="1">
      <alignment horizontal="left"/>
    </xf>
    <xf numFmtId="42" fontId="0" fillId="0" borderId="0" xfId="0" applyNumberFormat="1"/>
    <xf numFmtId="185"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5" fontId="49" fillId="78" borderId="0" xfId="682" applyNumberFormat="1" applyFont="1" applyFill="1" applyAlignment="1">
      <alignment horizontal="left"/>
    </xf>
    <xf numFmtId="185"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6"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38" fontId="68" fillId="0" borderId="0" xfId="0" applyNumberFormat="1" applyFont="1" applyFill="1" applyAlignment="1" applyProtection="1">
      <alignment vertical="center" wrapText="1"/>
      <protection locked="0"/>
    </xf>
    <xf numFmtId="0" fontId="0" fillId="0" borderId="10" xfId="0" applyFill="1" applyBorder="1" applyAlignment="1">
      <alignment vertical="center"/>
    </xf>
    <xf numFmtId="14" fontId="0" fillId="36" borderId="0" xfId="0" applyNumberFormat="1" applyFont="1" applyFill="1" applyProtection="1"/>
    <xf numFmtId="0" fontId="0" fillId="34" borderId="0" xfId="0" applyNumberFormat="1" applyFont="1" applyFill="1" applyBorder="1" applyAlignment="1" applyProtection="1">
      <alignment horizontal="left" vertical="center" wrapText="1"/>
    </xf>
    <xf numFmtId="0" fontId="0" fillId="34" borderId="10" xfId="0" applyFill="1" applyBorder="1" applyAlignment="1">
      <alignment horizontal="center" vertical="center"/>
    </xf>
    <xf numFmtId="0" fontId="0" fillId="34" borderId="24" xfId="0" applyNumberFormat="1" applyFont="1" applyFill="1" applyBorder="1" applyAlignment="1" applyProtection="1">
      <alignment horizontal="center" vertical="center" wrapText="1"/>
    </xf>
    <xf numFmtId="164" fontId="56" fillId="34" borderId="23" xfId="439" applyNumberFormat="1" applyFont="1" applyFill="1" applyBorder="1" applyAlignment="1" applyProtection="1">
      <alignment horizontal="center" vertical="center" wrapText="1"/>
    </xf>
    <xf numFmtId="39" fontId="56" fillId="34" borderId="28" xfId="439" applyNumberFormat="1" applyFont="1" applyFill="1" applyBorder="1" applyAlignment="1" applyProtection="1">
      <alignment horizontal="center" vertical="center" wrapText="1"/>
    </xf>
    <xf numFmtId="164" fontId="56" fillId="34" borderId="29" xfId="439" applyNumberFormat="1" applyFont="1" applyFill="1" applyBorder="1" applyAlignment="1" applyProtection="1">
      <alignment horizontal="center" vertical="center" wrapText="1"/>
    </xf>
    <xf numFmtId="0" fontId="39" fillId="34" borderId="25" xfId="0" applyNumberFormat="1" applyFont="1" applyFill="1" applyBorder="1" applyAlignment="1" applyProtection="1">
      <alignment horizontal="center" vertical="center" wrapText="1"/>
    </xf>
    <xf numFmtId="3" fontId="0" fillId="29" borderId="76" xfId="0" applyNumberFormat="1" applyFill="1" applyBorder="1" applyAlignment="1" applyProtection="1">
      <alignment horizontal="center" vertical="center"/>
      <protection locked="0"/>
    </xf>
    <xf numFmtId="3" fontId="0" fillId="34" borderId="24" xfId="0" applyNumberFormat="1" applyFont="1" applyFill="1" applyBorder="1" applyAlignment="1" applyProtection="1">
      <alignment horizontal="center" vertical="center" wrapText="1"/>
    </xf>
    <xf numFmtId="49" fontId="0" fillId="34" borderId="29" xfId="439" applyNumberFormat="1" applyFont="1" applyFill="1" applyBorder="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69" fillId="20" borderId="0" xfId="0" applyFont="1" applyFill="1" applyAlignment="1">
      <alignment vertical="center" wrapText="1"/>
    </xf>
    <xf numFmtId="38" fontId="68" fillId="20" borderId="0" xfId="0" applyNumberFormat="1" applyFont="1" applyFill="1" applyAlignment="1" applyProtection="1">
      <alignment vertical="center" wrapText="1"/>
      <protection locked="0"/>
    </xf>
    <xf numFmtId="0" fontId="0" fillId="36" borderId="0" xfId="0" applyNumberFormat="1" applyFont="1" applyFill="1" applyAlignment="1" applyProtection="1">
      <alignment horizontal="left" vertical="center" wrapText="1"/>
    </xf>
    <xf numFmtId="37" fontId="0" fillId="34" borderId="29" xfId="439" applyNumberFormat="1" applyFont="1" applyFill="1" applyBorder="1" applyAlignment="1" applyProtection="1">
      <alignment horizontal="center" vertical="center"/>
    </xf>
    <xf numFmtId="0" fontId="0" fillId="85" borderId="10"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38" fontId="44" fillId="36" borderId="0" xfId="439" applyNumberFormat="1" applyFont="1" applyFill="1" applyAlignment="1" applyProtection="1">
      <alignment horizontal="center" vertical="center" wrapText="1"/>
    </xf>
    <xf numFmtId="0" fontId="0" fillId="0" borderId="0" xfId="0" applyNumberFormat="1" applyFont="1" applyFill="1" applyAlignment="1" applyProtection="1">
      <alignment vertical="center" wrapText="1"/>
    </xf>
    <xf numFmtId="0" fontId="44" fillId="34" borderId="0" xfId="0" applyFont="1" applyFill="1" applyAlignment="1" applyProtection="1">
      <alignment horizontal="center" vertical="center" wrapText="1"/>
    </xf>
    <xf numFmtId="0" fontId="57" fillId="34" borderId="25" xfId="0" applyNumberFormat="1" applyFont="1" applyFill="1" applyBorder="1" applyAlignment="1" applyProtection="1">
      <alignment horizontal="center" vertical="center"/>
    </xf>
    <xf numFmtId="4" fontId="0" fillId="0" borderId="0" xfId="0" applyNumberFormat="1" applyFill="1"/>
    <xf numFmtId="181" fontId="0" fillId="36" borderId="0" xfId="0" applyNumberFormat="1" applyFill="1"/>
    <xf numFmtId="1" fontId="0" fillId="36" borderId="0" xfId="0" applyNumberFormat="1" applyFill="1" applyAlignment="1">
      <alignment horizontal="center"/>
    </xf>
    <xf numFmtId="0" fontId="0" fillId="0" borderId="0" xfId="0" applyNumberFormat="1"/>
    <xf numFmtId="0" fontId="193" fillId="0" borderId="0" xfId="0" applyFont="1"/>
    <xf numFmtId="186" fontId="193" fillId="0" borderId="0" xfId="0" applyNumberFormat="1" applyFont="1"/>
    <xf numFmtId="0" fontId="193" fillId="0" borderId="0" xfId="0" applyFont="1" applyAlignment="1">
      <alignment horizontal="center"/>
    </xf>
    <xf numFmtId="186" fontId="193" fillId="0" borderId="0" xfId="0" applyNumberFormat="1" applyFont="1" applyAlignment="1">
      <alignment horizontal="center"/>
    </xf>
    <xf numFmtId="186" fontId="44" fillId="0" borderId="0" xfId="0" applyNumberFormat="1" applyFont="1"/>
    <xf numFmtId="3" fontId="44" fillId="0" borderId="0" xfId="439" applyNumberFormat="1" applyFont="1" applyFill="1" applyAlignment="1" applyProtection="1">
      <alignment horizontal="center" vertical="center" wrapText="1"/>
    </xf>
    <xf numFmtId="38" fontId="39" fillId="29" borderId="0" xfId="439" applyNumberFormat="1" applyFont="1" applyFill="1" applyAlignment="1" applyProtection="1">
      <alignment horizontal="center" vertical="center"/>
      <protection locked="0"/>
    </xf>
    <xf numFmtId="0" fontId="39" fillId="29" borderId="0" xfId="439" applyNumberFormat="1" applyFont="1" applyFill="1" applyAlignment="1" applyProtection="1">
      <alignment horizontal="center" vertical="center" wrapText="1"/>
      <protection locked="0"/>
    </xf>
    <xf numFmtId="187" fontId="44" fillId="0" borderId="0" xfId="439" applyNumberFormat="1" applyFont="1" applyFill="1" applyAlignment="1" applyProtection="1">
      <alignment horizontal="center" vertical="center" wrapText="1"/>
    </xf>
    <xf numFmtId="187" fontId="39" fillId="29" borderId="0" xfId="439" applyNumberFormat="1" applyFont="1" applyFill="1" applyAlignment="1" applyProtection="1">
      <alignment horizontal="center" vertical="center"/>
      <protection locked="0"/>
    </xf>
    <xf numFmtId="188" fontId="0" fillId="0" borderId="0" xfId="0" applyNumberFormat="1" applyFont="1" applyFill="1" applyAlignment="1" applyProtection="1">
      <alignment vertical="center" wrapText="1"/>
    </xf>
    <xf numFmtId="189" fontId="39" fillId="29" borderId="0" xfId="439" applyNumberFormat="1" applyFont="1" applyFill="1" applyAlignment="1" applyProtection="1">
      <alignment horizontal="center" vertical="center"/>
      <protection locked="0"/>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 fontId="44" fillId="0" borderId="0" xfId="439" applyNumberFormat="1" applyFont="1" applyFill="1" applyAlignment="1" applyProtection="1">
      <alignment horizontal="center" vertical="center" wrapText="1"/>
    </xf>
    <xf numFmtId="4" fontId="39" fillId="29" borderId="0" xfId="439"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0" fontId="0" fillId="0" borderId="57" xfId="0" applyBorder="1" applyAlignment="1" applyProtection="1">
      <alignment horizontal="center" vertical="center" wrapText="1"/>
    </xf>
    <xf numFmtId="0" fontId="68" fillId="20" borderId="0" xfId="0" applyFont="1" applyFill="1" applyAlignment="1">
      <alignment vertical="center" wrapText="1"/>
    </xf>
    <xf numFmtId="0" fontId="0" fillId="0" borderId="57" xfId="0" applyBorder="1" applyAlignment="1" applyProtection="1">
      <alignment horizontal="left" vertical="center" wrapText="1"/>
      <protection locked="0"/>
    </xf>
    <xf numFmtId="0" fontId="0" fillId="0" borderId="57" xfId="0" applyFill="1" applyBorder="1" applyAlignment="1" applyProtection="1">
      <alignment horizontal="left" vertical="center" wrapText="1"/>
      <protection locked="0"/>
    </xf>
    <xf numFmtId="0" fontId="0" fillId="0" borderId="57" xfId="0" applyBorder="1" applyAlignment="1" applyProtection="1">
      <alignment horizontal="left" vertical="center"/>
      <protection locked="0"/>
    </xf>
    <xf numFmtId="0" fontId="0" fillId="0" borderId="13" xfId="0" applyBorder="1" applyProtection="1"/>
    <xf numFmtId="0" fontId="44" fillId="0" borderId="91" xfId="0" applyFont="1" applyBorder="1" applyProtection="1"/>
    <xf numFmtId="0" fontId="44" fillId="0" borderId="0" xfId="0" applyFont="1" applyProtection="1"/>
    <xf numFmtId="0" fontId="44" fillId="0" borderId="74" xfId="0" applyFont="1" applyBorder="1" applyProtection="1"/>
    <xf numFmtId="0" fontId="44" fillId="0" borderId="75" xfId="0" applyFont="1" applyBorder="1" applyProtection="1"/>
    <xf numFmtId="0" fontId="0" fillId="0" borderId="75" xfId="0" applyBorder="1" applyProtection="1"/>
    <xf numFmtId="0" fontId="0" fillId="0" borderId="40" xfId="0" applyBorder="1" applyProtection="1"/>
    <xf numFmtId="0" fontId="178" fillId="0" borderId="0" xfId="0" applyFont="1" applyAlignment="1" applyProtection="1">
      <alignment vertical="center" wrapText="1"/>
    </xf>
    <xf numFmtId="0" fontId="0" fillId="0" borderId="67" xfId="0" applyBorder="1" applyProtection="1"/>
    <xf numFmtId="0" fontId="39" fillId="78" borderId="88" xfId="0" applyFont="1" applyFill="1" applyBorder="1" applyAlignment="1" applyProtection="1">
      <alignment horizontal="left"/>
    </xf>
    <xf numFmtId="0" fontId="0" fillId="78" borderId="89" xfId="0" applyFill="1" applyBorder="1" applyProtection="1"/>
    <xf numFmtId="0" fontId="0" fillId="78" borderId="94" xfId="0" applyFill="1" applyBorder="1" applyProtection="1"/>
    <xf numFmtId="0" fontId="0" fillId="78" borderId="11" xfId="0" applyFill="1" applyBorder="1" applyAlignment="1" applyProtection="1">
      <alignment horizontal="center"/>
    </xf>
    <xf numFmtId="0" fontId="0" fillId="0" borderId="87" xfId="0" applyBorder="1" applyProtection="1"/>
    <xf numFmtId="0" fontId="162" fillId="0" borderId="68" xfId="0" applyFont="1" applyBorder="1" applyAlignment="1" applyProtection="1">
      <alignment horizontal="center" vertical="center" wrapText="1"/>
    </xf>
    <xf numFmtId="0" fontId="44" fillId="0" borderId="85" xfId="0" applyFont="1" applyBorder="1" applyAlignment="1" applyProtection="1">
      <alignment wrapText="1"/>
    </xf>
    <xf numFmtId="1" fontId="44" fillId="0" borderId="0" xfId="0" applyNumberFormat="1" applyFont="1" applyProtection="1"/>
    <xf numFmtId="0" fontId="0" fillId="0" borderId="68" xfId="0" applyBorder="1" applyProtection="1"/>
    <xf numFmtId="0" fontId="162" fillId="0" borderId="13" xfId="0" applyFont="1" applyBorder="1" applyAlignment="1" applyProtection="1">
      <alignment horizontal="center" vertical="center" wrapText="1"/>
    </xf>
    <xf numFmtId="0" fontId="44" fillId="0" borderId="83" xfId="0" applyFont="1" applyBorder="1" applyProtection="1"/>
    <xf numFmtId="0" fontId="44" fillId="0" borderId="0" xfId="0" applyFont="1" applyAlignment="1" applyProtection="1">
      <alignment horizontal="center"/>
    </xf>
    <xf numFmtId="0" fontId="39" fillId="0" borderId="68" xfId="0" quotePrefix="1" applyFont="1" applyBorder="1" applyAlignment="1" applyProtection="1">
      <alignment horizontal="center" vertical="center"/>
    </xf>
    <xf numFmtId="0" fontId="39" fillId="0" borderId="57" xfId="0" quotePrefix="1" applyFont="1" applyBorder="1" applyAlignment="1" applyProtection="1">
      <alignment horizontal="center" vertical="center"/>
    </xf>
    <xf numFmtId="0" fontId="0" fillId="78" borderId="67" xfId="0" applyFill="1" applyBorder="1" applyAlignment="1" applyProtection="1">
      <alignment horizontal="center" vertical="center" wrapText="1"/>
    </xf>
    <xf numFmtId="37" fontId="44" fillId="36" borderId="0" xfId="0" applyNumberFormat="1" applyFont="1" applyFill="1" applyProtection="1"/>
    <xf numFmtId="37" fontId="44" fillId="0" borderId="0" xfId="0" applyNumberFormat="1" applyFont="1" applyProtection="1"/>
    <xf numFmtId="0" fontId="39" fillId="0" borderId="57" xfId="0" applyFont="1" applyBorder="1" applyAlignment="1" applyProtection="1">
      <alignment horizontal="center"/>
    </xf>
    <xf numFmtId="0" fontId="49" fillId="78" borderId="57" xfId="0" applyFont="1" applyFill="1" applyBorder="1" applyAlignment="1" applyProtection="1">
      <alignment horizontal="center" wrapText="1"/>
    </xf>
    <xf numFmtId="0" fontId="37" fillId="78" borderId="68" xfId="0" applyFont="1" applyFill="1" applyBorder="1" applyAlignment="1" applyProtection="1">
      <alignment vertical="center" wrapText="1"/>
    </xf>
    <xf numFmtId="0" fontId="0" fillId="78" borderId="68" xfId="0" applyFill="1" applyBorder="1" applyAlignment="1" applyProtection="1">
      <alignment horizontal="left" vertical="center" wrapText="1"/>
    </xf>
    <xf numFmtId="0" fontId="44" fillId="0" borderId="0" xfId="0" applyFont="1" applyAlignment="1" applyProtection="1">
      <alignment horizontal="center" wrapText="1"/>
    </xf>
    <xf numFmtId="9" fontId="44" fillId="0" borderId="0" xfId="4688" applyFont="1" applyFill="1" applyBorder="1" applyProtection="1"/>
    <xf numFmtId="10" fontId="44" fillId="0" borderId="74" xfId="0" applyNumberFormat="1" applyFont="1" applyBorder="1" applyProtection="1"/>
    <xf numFmtId="0" fontId="37" fillId="78" borderId="57"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center" vertical="center" wrapText="1"/>
    </xf>
    <xf numFmtId="10" fontId="0" fillId="0" borderId="0" xfId="4688" applyNumberFormat="1" applyFont="1" applyProtection="1"/>
    <xf numFmtId="10" fontId="0" fillId="24" borderId="0" xfId="4688" applyNumberFormat="1" applyFont="1" applyFill="1" applyProtection="1"/>
    <xf numFmtId="10" fontId="44" fillId="0" borderId="0" xfId="4688" applyNumberFormat="1" applyFont="1" applyProtection="1"/>
    <xf numFmtId="39" fontId="44" fillId="36" borderId="0" xfId="4688" applyNumberFormat="1" applyFont="1" applyFill="1" applyBorder="1" applyProtection="1"/>
    <xf numFmtId="0" fontId="37" fillId="78" borderId="11" xfId="0" applyFont="1" applyFill="1" applyBorder="1" applyAlignment="1" applyProtection="1">
      <alignment horizontal="justify" vertical="center" wrapText="1"/>
    </xf>
    <xf numFmtId="0" fontId="45" fillId="78" borderId="57" xfId="0" applyFont="1" applyFill="1" applyBorder="1" applyAlignment="1" applyProtection="1">
      <alignment horizontal="center" vertical="center" wrapText="1"/>
    </xf>
    <xf numFmtId="6" fontId="0" fillId="0" borderId="57" xfId="0" applyNumberFormat="1" applyBorder="1" applyAlignment="1" applyProtection="1">
      <alignment horizontal="center" vertical="center" wrapText="1"/>
    </xf>
    <xf numFmtId="0" fontId="39" fillId="0" borderId="57" xfId="0" quotePrefix="1" applyFont="1" applyBorder="1" applyAlignment="1" applyProtection="1">
      <alignment horizontal="center"/>
    </xf>
    <xf numFmtId="0" fontId="176"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center" vertical="center" wrapText="1"/>
    </xf>
    <xf numFmtId="0" fontId="0" fillId="0" borderId="0" xfId="0" applyProtection="1"/>
    <xf numFmtId="2" fontId="44" fillId="24" borderId="0" xfId="4688" applyNumberFormat="1" applyFont="1" applyFill="1" applyProtection="1"/>
    <xf numFmtId="2" fontId="44" fillId="0" borderId="0" xfId="0" applyNumberFormat="1" applyFont="1" applyProtection="1"/>
    <xf numFmtId="168" fontId="44" fillId="0" borderId="0" xfId="0" applyNumberFormat="1" applyFont="1" applyProtection="1"/>
    <xf numFmtId="168" fontId="44" fillId="0" borderId="75" xfId="0" applyNumberFormat="1" applyFont="1" applyBorder="1" applyProtection="1"/>
    <xf numFmtId="168" fontId="0" fillId="0" borderId="75" xfId="0" applyNumberFormat="1" applyBorder="1" applyProtection="1"/>
    <xf numFmtId="0" fontId="39" fillId="0" borderId="41" xfId="0" applyFont="1" applyBorder="1" applyAlignment="1" applyProtection="1">
      <alignment vertical="center" wrapText="1"/>
    </xf>
    <xf numFmtId="2" fontId="0" fillId="0" borderId="41" xfId="0" applyNumberFormat="1" applyBorder="1" applyAlignment="1" applyProtection="1">
      <alignment horizontal="center"/>
    </xf>
    <xf numFmtId="2" fontId="0" fillId="0" borderId="42" xfId="0" applyNumberFormat="1" applyBorder="1" applyAlignment="1" applyProtection="1">
      <alignment horizontal="center"/>
    </xf>
    <xf numFmtId="0" fontId="0" fillId="0" borderId="68" xfId="0" applyBorder="1" applyAlignment="1" applyProtection="1">
      <alignment horizontal="center" vertical="center" wrapText="1"/>
    </xf>
    <xf numFmtId="0" fontId="39" fillId="0" borderId="38" xfId="0" applyFont="1" applyBorder="1" applyAlignment="1" applyProtection="1">
      <alignment vertical="center" wrapText="1"/>
    </xf>
    <xf numFmtId="0" fontId="39" fillId="0" borderId="67" xfId="0" applyFont="1" applyBorder="1" applyAlignment="1" applyProtection="1">
      <alignment horizontal="center"/>
    </xf>
    <xf numFmtId="0" fontId="57" fillId="78" borderId="11" xfId="0" applyFont="1" applyFill="1" applyBorder="1" applyAlignment="1" applyProtection="1">
      <alignment horizontal="center" vertical="center" wrapText="1"/>
    </xf>
    <xf numFmtId="0" fontId="39" fillId="78" borderId="11" xfId="0" applyFont="1" applyFill="1" applyBorder="1" applyAlignment="1" applyProtection="1">
      <alignment horizontal="justify" vertical="center" wrapText="1"/>
    </xf>
    <xf numFmtId="6" fontId="0" fillId="0" borderId="57" xfId="0" applyNumberFormat="1" applyBorder="1" applyAlignment="1" applyProtection="1">
      <alignment horizontal="center" vertical="center"/>
    </xf>
    <xf numFmtId="164" fontId="44" fillId="0" borderId="0" xfId="439" applyNumberFormat="1" applyFont="1" applyProtection="1"/>
    <xf numFmtId="0" fontId="39" fillId="78" borderId="11" xfId="0" applyFont="1" applyFill="1" applyBorder="1" applyAlignment="1" applyProtection="1">
      <alignment horizontal="left" vertical="center" wrapText="1"/>
    </xf>
    <xf numFmtId="10" fontId="0" fillId="0" borderId="57" xfId="4688" applyNumberFormat="1" applyFont="1" applyFill="1" applyBorder="1" applyAlignment="1" applyProtection="1">
      <alignment horizontal="center" vertical="center"/>
    </xf>
    <xf numFmtId="10" fontId="44" fillId="0" borderId="0" xfId="4688" applyNumberFormat="1" applyFont="1" applyFill="1" applyBorder="1" applyProtection="1"/>
    <xf numFmtId="0" fontId="44" fillId="0" borderId="0" xfId="0" applyFont="1" applyAlignment="1" applyProtection="1">
      <alignment wrapText="1"/>
    </xf>
    <xf numFmtId="37" fontId="0" fillId="0" borderId="57" xfId="0" applyNumberFormat="1" applyBorder="1" applyAlignment="1" applyProtection="1">
      <alignment horizontal="center" vertical="center" wrapText="1"/>
    </xf>
    <xf numFmtId="37" fontId="68" fillId="84" borderId="57" xfId="0" applyNumberFormat="1" applyFont="1" applyFill="1" applyBorder="1" applyAlignment="1" applyProtection="1">
      <alignment horizontal="center" wrapText="1"/>
    </xf>
    <xf numFmtId="10" fontId="0" fillId="0" borderId="57" xfId="0" applyNumberFormat="1" applyBorder="1" applyAlignment="1" applyProtection="1">
      <alignment horizontal="center" vertical="center" wrapText="1"/>
    </xf>
    <xf numFmtId="43" fontId="44" fillId="0" borderId="0" xfId="439" applyFont="1" applyFill="1" applyBorder="1" applyProtection="1"/>
    <xf numFmtId="43" fontId="44" fillId="36" borderId="0" xfId="439" applyFont="1" applyFill="1" applyBorder="1" applyProtection="1"/>
    <xf numFmtId="43" fontId="44" fillId="36" borderId="0" xfId="0" applyNumberFormat="1" applyFont="1" applyFill="1" applyProtection="1"/>
    <xf numFmtId="0" fontId="57" fillId="78" borderId="57" xfId="0" applyFont="1" applyFill="1" applyBorder="1" applyAlignment="1" applyProtection="1">
      <alignment horizontal="center" wrapText="1"/>
    </xf>
    <xf numFmtId="39" fontId="44" fillId="0" borderId="0" xfId="0" applyNumberFormat="1" applyFont="1" applyProtection="1"/>
    <xf numFmtId="0" fontId="39" fillId="0" borderId="11" xfId="0" applyFont="1" applyBorder="1" applyAlignment="1" applyProtection="1">
      <alignment vertical="center" wrapText="1"/>
    </xf>
    <xf numFmtId="0" fontId="0" fillId="78" borderId="57" xfId="0" applyFill="1" applyBorder="1" applyAlignment="1" applyProtection="1">
      <alignment vertical="center" wrapText="1"/>
    </xf>
    <xf numFmtId="0" fontId="45" fillId="78" borderId="57" xfId="0" applyFont="1" applyFill="1" applyBorder="1" applyAlignment="1" applyProtection="1">
      <alignment vertical="center" wrapText="1"/>
    </xf>
    <xf numFmtId="2" fontId="44" fillId="0" borderId="0" xfId="439" applyNumberFormat="1" applyFont="1" applyFill="1" applyBorder="1" applyProtection="1"/>
    <xf numFmtId="6" fontId="0" fillId="0" borderId="57" xfId="545" applyNumberFormat="1" applyFont="1" applyFill="1" applyBorder="1" applyAlignment="1" applyProtection="1">
      <alignment horizontal="center" vertical="center"/>
    </xf>
    <xf numFmtId="0" fontId="45" fillId="78" borderId="13" xfId="0" applyFont="1" applyFill="1" applyBorder="1" applyAlignment="1" applyProtection="1">
      <alignment horizontal="center" vertical="center" wrapText="1"/>
    </xf>
    <xf numFmtId="167" fontId="44" fillId="0" borderId="0" xfId="545" applyNumberFormat="1" applyFont="1" applyFill="1" applyBorder="1" applyProtection="1"/>
    <xf numFmtId="0" fontId="0" fillId="0" borderId="57" xfId="0" applyBorder="1" applyProtection="1"/>
    <xf numFmtId="0" fontId="39" fillId="78" borderId="57" xfId="0" applyFont="1" applyFill="1" applyBorder="1" applyAlignment="1" applyProtection="1">
      <alignment horizontal="center"/>
    </xf>
    <xf numFmtId="0" fontId="39" fillId="78" borderId="57" xfId="0" applyFont="1" applyFill="1" applyBorder="1" applyAlignment="1" applyProtection="1">
      <alignment horizontal="center" wrapText="1"/>
    </xf>
    <xf numFmtId="0" fontId="0" fillId="78" borderId="88" xfId="0" applyFill="1" applyBorder="1" applyProtection="1"/>
    <xf numFmtId="0" fontId="39" fillId="78" borderId="67" xfId="0" applyFont="1" applyFill="1" applyBorder="1" applyAlignment="1" applyProtection="1">
      <alignment horizontal="center"/>
    </xf>
    <xf numFmtId="0" fontId="40" fillId="78" borderId="13" xfId="0" applyFont="1" applyFill="1" applyBorder="1" applyAlignment="1" applyProtection="1">
      <alignment horizontal="center" vertical="center"/>
    </xf>
    <xf numFmtId="0" fontId="37" fillId="78" borderId="57" xfId="0" applyFont="1" applyFill="1" applyBorder="1" applyAlignment="1" applyProtection="1">
      <alignment horizontal="justify" vertical="center"/>
    </xf>
    <xf numFmtId="0" fontId="0" fillId="0" borderId="57" xfId="0" quotePrefix="1" applyBorder="1" applyProtection="1"/>
    <xf numFmtId="0" fontId="39" fillId="78" borderId="78" xfId="0" applyFont="1" applyFill="1" applyBorder="1" applyAlignment="1" applyProtection="1">
      <alignment horizontal="center" wrapText="1"/>
    </xf>
    <xf numFmtId="0" fontId="0" fillId="78" borderId="57" xfId="0" applyFill="1" applyBorder="1" applyProtection="1"/>
    <xf numFmtId="0" fontId="45" fillId="78" borderId="13" xfId="0" applyFont="1" applyFill="1" applyBorder="1" applyAlignment="1" applyProtection="1">
      <alignment vertical="center"/>
    </xf>
    <xf numFmtId="10" fontId="181" fillId="0" borderId="57" xfId="4688" applyNumberFormat="1" applyFont="1" applyFill="1" applyBorder="1" applyAlignment="1" applyProtection="1">
      <alignment horizontal="center" vertical="center" wrapText="1"/>
    </xf>
    <xf numFmtId="10" fontId="181" fillId="0" borderId="57" xfId="0" applyNumberFormat="1" applyFont="1" applyBorder="1" applyAlignment="1" applyProtection="1">
      <alignment horizontal="center" vertical="center" wrapText="1"/>
    </xf>
    <xf numFmtId="0" fontId="39" fillId="0" borderId="57" xfId="0" applyFont="1" applyBorder="1" applyAlignment="1" applyProtection="1">
      <alignment horizontal="center" vertical="center"/>
    </xf>
    <xf numFmtId="37" fontId="181" fillId="0" borderId="57" xfId="0" applyNumberFormat="1" applyFont="1" applyBorder="1" applyAlignment="1" applyProtection="1">
      <alignment horizontal="center" vertical="center" wrapText="1"/>
    </xf>
    <xf numFmtId="0" fontId="57" fillId="0" borderId="0" xfId="0" applyFont="1" applyAlignment="1" applyProtection="1">
      <alignment wrapText="1"/>
    </xf>
    <xf numFmtId="0" fontId="0" fillId="78" borderId="57" xfId="0" applyFill="1" applyBorder="1" applyAlignment="1" applyProtection="1">
      <alignment vertical="center"/>
    </xf>
    <xf numFmtId="0" fontId="44" fillId="0" borderId="85" xfId="0" applyFont="1" applyBorder="1" applyProtection="1"/>
    <xf numFmtId="0" fontId="37" fillId="78" borderId="57" xfId="0" applyFont="1" applyFill="1" applyBorder="1" applyAlignment="1" applyProtection="1">
      <alignment vertical="center" wrapText="1"/>
    </xf>
    <xf numFmtId="0" fontId="0" fillId="1" borderId="57" xfId="0" applyFill="1" applyBorder="1" applyAlignment="1" applyProtection="1">
      <alignment horizontal="center" vertical="center" wrapText="1"/>
    </xf>
    <xf numFmtId="0" fontId="39" fillId="34" borderId="57" xfId="0" quotePrefix="1" applyFont="1" applyFill="1" applyBorder="1" applyAlignment="1" applyProtection="1">
      <alignment horizontal="center" vertical="center"/>
    </xf>
    <xf numFmtId="0" fontId="0" fillId="78" borderId="57" xfId="0" applyFill="1" applyBorder="1" applyAlignment="1" applyProtection="1">
      <alignment horizontal="center"/>
    </xf>
    <xf numFmtId="0" fontId="45" fillId="78" borderId="13" xfId="0" applyFont="1" applyFill="1" applyBorder="1" applyAlignment="1" applyProtection="1">
      <alignment vertical="center" wrapText="1"/>
    </xf>
    <xf numFmtId="0" fontId="0" fillId="0" borderId="57" xfId="0" applyBorder="1" applyAlignment="1" applyProtection="1">
      <alignment horizontal="center" vertical="center"/>
    </xf>
    <xf numFmtId="0" fontId="186" fillId="78" borderId="57" xfId="0" applyFont="1" applyFill="1" applyBorder="1" applyAlignment="1" applyProtection="1">
      <alignment vertical="center" wrapText="1"/>
    </xf>
    <xf numFmtId="37" fontId="44" fillId="0" borderId="0" xfId="0" applyNumberFormat="1" applyFont="1" applyAlignment="1" applyProtection="1">
      <alignment horizontal="center"/>
    </xf>
    <xf numFmtId="0" fontId="39" fillId="0" borderId="84" xfId="0" applyFont="1" applyBorder="1" applyAlignment="1" applyProtection="1">
      <alignment horizontal="center" vertical="center"/>
    </xf>
    <xf numFmtId="0" fontId="0" fillId="0" borderId="79" xfId="0" applyBorder="1" applyProtection="1"/>
    <xf numFmtId="0" fontId="0" fillId="0" borderId="84" xfId="0" applyBorder="1" applyProtection="1"/>
    <xf numFmtId="0" fontId="44" fillId="0" borderId="86" xfId="0" applyFont="1" applyBorder="1" applyProtection="1"/>
    <xf numFmtId="0" fontId="0" fillId="0" borderId="86" xfId="0" applyBorder="1" applyProtection="1"/>
    <xf numFmtId="181" fontId="0" fillId="36" borderId="0" xfId="0" applyNumberFormat="1" applyFill="1" applyAlignment="1">
      <alignment wrapText="1"/>
    </xf>
    <xf numFmtId="37" fontId="0" fillId="0" borderId="57" xfId="0" applyNumberFormat="1" applyFill="1" applyBorder="1" applyAlignment="1" applyProtection="1">
      <alignment horizontal="center" vertical="center" wrapText="1"/>
    </xf>
    <xf numFmtId="37" fontId="0" fillId="0" borderId="57" xfId="0" applyNumberFormat="1" applyFill="1" applyBorder="1" applyAlignment="1" applyProtection="1">
      <alignment horizontal="center" vertical="center"/>
    </xf>
    <xf numFmtId="0" fontId="69" fillId="0" borderId="0" xfId="0" applyFont="1" applyFill="1" applyAlignment="1" applyProtection="1">
      <alignment horizontal="center" vertical="center" wrapText="1"/>
    </xf>
    <xf numFmtId="0" fontId="0" fillId="0" borderId="0" xfId="0" quotePrefix="1" applyFill="1" applyAlignment="1">
      <alignment horizontal="center"/>
    </xf>
    <xf numFmtId="0" fontId="137" fillId="0" borderId="0" xfId="0" applyFont="1" applyFill="1" applyAlignment="1">
      <alignment horizontal="left" vertical="center" wrapText="1"/>
    </xf>
    <xf numFmtId="0" fontId="68" fillId="0" borderId="76" xfId="0" applyFont="1" applyFill="1" applyBorder="1" applyAlignment="1">
      <alignment vertical="center" wrapText="1"/>
    </xf>
    <xf numFmtId="0" fontId="0" fillId="24" borderId="0" xfId="0" applyFill="1" applyAlignment="1" applyProtection="1">
      <alignment wrapText="1"/>
    </xf>
    <xf numFmtId="10" fontId="44" fillId="24" borderId="0" xfId="4688" applyNumberFormat="1" applyFont="1" applyFill="1" applyAlignment="1" applyProtection="1">
      <alignment wrapText="1"/>
    </xf>
    <xf numFmtId="10" fontId="0" fillId="0" borderId="57" xfId="4688" applyNumberFormat="1" applyFont="1" applyFill="1" applyBorder="1" applyAlignment="1" applyProtection="1">
      <alignment horizontal="center" vertical="center" wrapText="1"/>
    </xf>
    <xf numFmtId="164" fontId="44" fillId="24" borderId="0" xfId="439" applyNumberFormat="1" applyFont="1" applyFill="1" applyAlignment="1" applyProtection="1">
      <alignment wrapText="1"/>
    </xf>
    <xf numFmtId="6" fontId="0" fillId="0" borderId="57" xfId="545" applyNumberFormat="1" applyFont="1" applyFill="1" applyBorder="1" applyAlignment="1" applyProtection="1">
      <alignment horizontal="center" vertical="center" wrapText="1"/>
    </xf>
    <xf numFmtId="49" fontId="44" fillId="36" borderId="10" xfId="4688" applyNumberFormat="1" applyFont="1" applyFill="1" applyBorder="1" applyAlignment="1" applyProtection="1">
      <alignment horizontal="right"/>
    </xf>
    <xf numFmtId="3" fontId="44" fillId="36" borderId="10" xfId="4688" applyNumberFormat="1" applyFont="1" applyFill="1" applyBorder="1" applyProtection="1"/>
    <xf numFmtId="0" fontId="37" fillId="78" borderId="57" xfId="0" applyFont="1" applyFill="1" applyBorder="1" applyAlignment="1" applyProtection="1">
      <alignment horizontal="left" vertical="center" wrapText="1"/>
    </xf>
    <xf numFmtId="0" fontId="40" fillId="0" borderId="0" xfId="0" applyFont="1" applyFill="1" applyBorder="1" applyAlignment="1">
      <alignment wrapText="1"/>
    </xf>
    <xf numFmtId="2" fontId="0" fillId="0" borderId="0" xfId="0" applyNumberFormat="1" applyFill="1"/>
    <xf numFmtId="0" fontId="39" fillId="34" borderId="16" xfId="0" applyFont="1" applyFill="1" applyBorder="1" applyAlignment="1" applyProtection="1">
      <alignment horizontal="justify" vertical="center" wrapText="1"/>
    </xf>
    <xf numFmtId="0" fontId="45" fillId="34" borderId="57" xfId="0" applyFont="1" applyFill="1" applyBorder="1" applyAlignment="1" applyProtection="1">
      <alignment horizontal="center" vertical="center" wrapText="1"/>
    </xf>
    <xf numFmtId="170" fontId="44" fillId="34" borderId="0" xfId="439" applyNumberFormat="1" applyFont="1" applyFill="1" applyAlignment="1" applyProtection="1">
      <alignment wrapText="1"/>
    </xf>
    <xf numFmtId="190" fontId="44" fillId="34" borderId="0" xfId="0" applyNumberFormat="1" applyFont="1" applyFill="1" applyProtection="1"/>
    <xf numFmtId="43" fontId="44" fillId="34" borderId="0" xfId="439" applyFont="1" applyFill="1" applyBorder="1" applyProtection="1"/>
    <xf numFmtId="2" fontId="0" fillId="34" borderId="57" xfId="4688" applyNumberFormat="1" applyFont="1" applyFill="1" applyBorder="1" applyAlignment="1" applyProtection="1">
      <alignment horizontal="center" vertical="center" wrapText="1"/>
    </xf>
    <xf numFmtId="2" fontId="0" fillId="34" borderId="16" xfId="0" applyNumberFormat="1" applyFill="1" applyBorder="1" applyAlignment="1" applyProtection="1">
      <alignment horizontal="center" vertical="center" wrapText="1"/>
    </xf>
    <xf numFmtId="2" fontId="0" fillId="34" borderId="57" xfId="0" applyNumberFormat="1" applyFill="1" applyBorder="1" applyAlignment="1" applyProtection="1">
      <alignment horizontal="center" vertical="center" wrapText="1"/>
    </xf>
    <xf numFmtId="0" fontId="0" fillId="21" borderId="77" xfId="0" applyFont="1" applyFill="1" applyBorder="1" applyAlignment="1" applyProtection="1">
      <alignment horizontal="center" vertical="center" wrapText="1"/>
    </xf>
    <xf numFmtId="0" fontId="39" fillId="21" borderId="77" xfId="0" applyFont="1" applyFill="1" applyBorder="1" applyAlignment="1" applyProtection="1">
      <alignment horizontal="center" wrapText="1"/>
    </xf>
    <xf numFmtId="164" fontId="69" fillId="21" borderId="100" xfId="439" applyNumberFormat="1" applyFont="1" applyFill="1" applyBorder="1" applyAlignment="1" applyProtection="1">
      <alignment horizontal="center" wrapText="1"/>
    </xf>
    <xf numFmtId="0" fontId="0" fillId="29" borderId="0" xfId="0" applyFont="1" applyFill="1" applyAlignment="1" applyProtection="1">
      <alignment horizontal="center" vertical="center" wrapText="1"/>
    </xf>
    <xf numFmtId="0" fontId="44" fillId="29" borderId="0" xfId="0" applyFont="1" applyFill="1" applyAlignment="1" applyProtection="1">
      <alignment horizontal="center" vertical="center" wrapText="1"/>
    </xf>
    <xf numFmtId="0" fontId="44" fillId="29" borderId="45" xfId="0" applyFont="1" applyFill="1" applyBorder="1" applyAlignment="1" applyProtection="1">
      <alignment horizontal="center" vertical="center" wrapText="1"/>
    </xf>
    <xf numFmtId="0" fontId="0" fillId="29" borderId="0" xfId="0" applyFill="1" applyAlignment="1">
      <alignment horizontal="center" vertical="center" wrapText="1"/>
    </xf>
    <xf numFmtId="0" fontId="0" fillId="29" borderId="45" xfId="0" applyFont="1" applyFill="1" applyBorder="1" applyAlignment="1" applyProtection="1">
      <alignment horizontal="center" vertical="center" wrapText="1"/>
    </xf>
    <xf numFmtId="0" fontId="0" fillId="29" borderId="36" xfId="0" applyNumberFormat="1" applyFont="1" applyFill="1" applyBorder="1" applyAlignment="1" applyProtection="1">
      <alignment horizontal="center" vertical="center" wrapText="1"/>
    </xf>
    <xf numFmtId="10" fontId="0" fillId="0" borderId="57" xfId="0" applyNumberFormat="1" applyFill="1" applyBorder="1" applyAlignment="1" applyProtection="1">
      <alignment horizontal="center" vertical="center" wrapText="1"/>
    </xf>
    <xf numFmtId="2" fontId="0" fillId="0" borderId="68" xfId="0" applyNumberFormat="1" applyFill="1" applyBorder="1" applyAlignment="1" applyProtection="1">
      <alignment horizontal="center" vertical="center"/>
    </xf>
    <xf numFmtId="5" fontId="0" fillId="0" borderId="57" xfId="0" applyNumberFormat="1" applyFill="1" applyBorder="1" applyAlignment="1" applyProtection="1">
      <alignment horizontal="center" vertical="center"/>
    </xf>
    <xf numFmtId="10" fontId="0" fillId="0" borderId="57" xfId="0" applyNumberFormat="1" applyFill="1" applyBorder="1" applyAlignment="1" applyProtection="1">
      <alignment horizontal="center" vertical="center"/>
    </xf>
    <xf numFmtId="2" fontId="0" fillId="0" borderId="57" xfId="0" applyNumberFormat="1" applyFill="1" applyBorder="1" applyAlignment="1" applyProtection="1">
      <alignment horizontal="center" vertical="center" wrapText="1"/>
    </xf>
    <xf numFmtId="6" fontId="0" fillId="0" borderId="57" xfId="0" applyNumberFormat="1" applyFill="1" applyBorder="1" applyAlignment="1" applyProtection="1">
      <alignment horizontal="center" vertical="center"/>
    </xf>
    <xf numFmtId="10" fontId="44" fillId="73" borderId="0" xfId="0" applyNumberFormat="1" applyFont="1" applyFill="1" applyAlignment="1" applyProtection="1">
      <alignment horizontal="center"/>
    </xf>
    <xf numFmtId="0" fontId="44" fillId="0" borderId="0" xfId="0" quotePrefix="1" applyFont="1" applyProtection="1"/>
    <xf numFmtId="168" fontId="44" fillId="0" borderId="104" xfId="0" applyNumberFormat="1" applyFont="1" applyBorder="1" applyProtection="1"/>
    <xf numFmtId="168" fontId="44" fillId="0" borderId="105" xfId="0" applyNumberFormat="1" applyFont="1" applyBorder="1" applyProtection="1"/>
    <xf numFmtId="0" fontId="44" fillId="0" borderId="106" xfId="0" applyFont="1" applyBorder="1" applyProtection="1"/>
    <xf numFmtId="0" fontId="44" fillId="0" borderId="79" xfId="0" applyFont="1" applyBorder="1" applyProtection="1"/>
    <xf numFmtId="0" fontId="44" fillId="29" borderId="10" xfId="0" applyFont="1" applyFill="1" applyBorder="1" applyProtection="1"/>
    <xf numFmtId="2" fontId="44" fillId="73" borderId="0" xfId="4688" applyNumberFormat="1" applyFont="1" applyFill="1" applyAlignment="1" applyProtection="1">
      <alignment wrapText="1"/>
    </xf>
    <xf numFmtId="2" fontId="44" fillId="24" borderId="0" xfId="4688" quotePrefix="1" applyNumberFormat="1" applyFont="1" applyFill="1" applyProtection="1"/>
    <xf numFmtId="0" fontId="44" fillId="73" borderId="10" xfId="0" applyFont="1" applyFill="1" applyBorder="1" applyProtection="1"/>
    <xf numFmtId="2" fontId="0" fillId="36" borderId="0" xfId="0" applyNumberFormat="1" applyFill="1"/>
    <xf numFmtId="43" fontId="0" fillId="0" borderId="0" xfId="0" applyNumberFormat="1"/>
    <xf numFmtId="0" fontId="0" fillId="0" borderId="57" xfId="0" applyNumberFormat="1" applyFill="1" applyBorder="1" applyAlignment="1" applyProtection="1">
      <alignment horizontal="center" vertical="center" wrapText="1"/>
    </xf>
    <xf numFmtId="0" fontId="185" fillId="34" borderId="57" xfId="0" applyFont="1" applyFill="1" applyBorder="1" applyAlignment="1">
      <alignment horizontal="left" vertical="center" wrapText="1"/>
    </xf>
    <xf numFmtId="0" fontId="39" fillId="0" borderId="57" xfId="0" quotePrefix="1" applyFont="1" applyFill="1" applyBorder="1" applyAlignment="1" applyProtection="1">
      <alignment horizontal="center" vertical="center"/>
    </xf>
    <xf numFmtId="10" fontId="39" fillId="34" borderId="57" xfId="0" applyNumberFormat="1" applyFont="1" applyFill="1" applyBorder="1" applyAlignment="1" applyProtection="1">
      <alignment horizontal="center" vertical="center" wrapText="1"/>
    </xf>
    <xf numFmtId="0" fontId="40" fillId="34" borderId="57" xfId="0" applyFont="1" applyFill="1" applyBorder="1" applyAlignment="1" applyProtection="1">
      <alignment vertical="center" wrapText="1"/>
    </xf>
    <xf numFmtId="164" fontId="44" fillId="73" borderId="0" xfId="439" applyNumberFormat="1" applyFont="1" applyFill="1" applyAlignment="1" applyProtection="1">
      <alignment wrapText="1"/>
    </xf>
    <xf numFmtId="3" fontId="0" fillId="73" borderId="0" xfId="0" applyNumberFormat="1" applyFill="1" applyAlignment="1" applyProtection="1">
      <alignment wrapText="1"/>
    </xf>
    <xf numFmtId="10" fontId="0" fillId="73" borderId="0" xfId="4688" applyNumberFormat="1" applyFont="1" applyFill="1" applyAlignment="1" applyProtection="1">
      <alignment wrapText="1"/>
    </xf>
    <xf numFmtId="1" fontId="0" fillId="36" borderId="0" xfId="0" applyNumberFormat="1" applyFill="1" applyAlignment="1">
      <alignment horizontal="center" vertical="center"/>
    </xf>
    <xf numFmtId="181" fontId="0" fillId="36" borderId="0" xfId="0" applyNumberFormat="1" applyFill="1" applyAlignment="1">
      <alignment vertical="center" wrapText="1"/>
    </xf>
    <xf numFmtId="10" fontId="44" fillId="73" borderId="0" xfId="4688" applyNumberFormat="1" applyFont="1" applyFill="1" applyAlignment="1" applyProtection="1">
      <alignment wrapText="1"/>
    </xf>
    <xf numFmtId="0" fontId="39" fillId="85" borderId="0" xfId="0" applyFont="1" applyFill="1" applyAlignment="1" applyProtection="1">
      <alignment horizontal="center" vertical="center" wrapText="1"/>
      <protection locked="0"/>
    </xf>
    <xf numFmtId="181" fontId="0" fillId="36" borderId="0" xfId="0" applyNumberFormat="1" applyFill="1" applyAlignment="1">
      <alignment vertical="center"/>
    </xf>
    <xf numFmtId="0" fontId="0" fillId="36" borderId="0" xfId="0" applyFill="1" applyAlignment="1">
      <alignment vertical="center"/>
    </xf>
    <xf numFmtId="1" fontId="0" fillId="34" borderId="25" xfId="0" applyNumberFormat="1" applyFont="1" applyFill="1" applyBorder="1" applyAlignment="1" applyProtection="1">
      <alignment horizontal="center" vertical="center" wrapText="1"/>
    </xf>
    <xf numFmtId="169" fontId="0" fillId="34" borderId="29" xfId="439" applyNumberFormat="1" applyFont="1" applyFill="1" applyBorder="1" applyAlignment="1" applyProtection="1">
      <alignment vertical="center"/>
    </xf>
    <xf numFmtId="0" fontId="45" fillId="34" borderId="13" xfId="0" applyFont="1" applyFill="1" applyBorder="1" applyAlignment="1" applyProtection="1">
      <alignment horizontal="center" vertical="center" wrapText="1"/>
    </xf>
    <xf numFmtId="0" fontId="0" fillId="34" borderId="0" xfId="0" applyFont="1" applyFill="1" applyAlignment="1" applyProtection="1">
      <alignment vertical="center" wrapText="1"/>
      <protection locked="0"/>
    </xf>
    <xf numFmtId="0" fontId="37" fillId="34" borderId="16" xfId="0" applyFont="1" applyFill="1" applyBorder="1" applyAlignment="1" applyProtection="1">
      <alignment horizontal="justify" vertical="center" wrapText="1"/>
    </xf>
    <xf numFmtId="0" fontId="0" fillId="0" borderId="10" xfId="0" applyBorder="1" applyAlignment="1">
      <alignment horizontal="center" vertical="center"/>
    </xf>
    <xf numFmtId="0" fontId="0" fillId="86" borderId="10" xfId="0" applyFill="1" applyBorder="1" applyAlignment="1">
      <alignment vertical="center" wrapText="1"/>
    </xf>
    <xf numFmtId="0" fontId="69" fillId="86" borderId="76" xfId="0" applyFont="1" applyFill="1" applyBorder="1" applyAlignment="1">
      <alignment vertical="center" wrapText="1"/>
    </xf>
    <xf numFmtId="0" fontId="68" fillId="0" borderId="76" xfId="0" applyFont="1" applyBorder="1" applyAlignment="1">
      <alignment vertical="center" wrapText="1"/>
    </xf>
    <xf numFmtId="14" fontId="44" fillId="0" borderId="69" xfId="0" applyNumberFormat="1" applyFont="1" applyBorder="1"/>
    <xf numFmtId="14" fontId="44" fillId="34" borderId="70" xfId="0" applyNumberFormat="1" applyFont="1" applyFill="1" applyBorder="1"/>
    <xf numFmtId="14" fontId="44" fillId="34" borderId="71" xfId="0" applyNumberFormat="1" applyFont="1" applyFill="1" applyBorder="1"/>
    <xf numFmtId="0" fontId="44" fillId="0" borderId="22" xfId="0" applyFont="1" applyBorder="1"/>
    <xf numFmtId="0" fontId="44" fillId="0" borderId="56" xfId="0" applyFont="1" applyBorder="1"/>
    <xf numFmtId="14" fontId="44" fillId="0" borderId="0" xfId="0" applyNumberFormat="1" applyFont="1"/>
    <xf numFmtId="14" fontId="44" fillId="0" borderId="56" xfId="0" applyNumberFormat="1" applyFont="1" applyBorder="1"/>
    <xf numFmtId="0" fontId="44" fillId="0" borderId="72" xfId="0" applyFont="1" applyBorder="1"/>
    <xf numFmtId="14" fontId="44" fillId="0" borderId="17" xfId="0" applyNumberFormat="1" applyFont="1" applyBorder="1"/>
    <xf numFmtId="14" fontId="44" fillId="0" borderId="73" xfId="0" applyNumberFormat="1" applyFont="1" applyBorder="1"/>
    <xf numFmtId="0" fontId="39" fillId="0" borderId="57" xfId="0" quotePrefix="1" applyNumberFormat="1" applyFont="1" applyBorder="1" applyAlignment="1" applyProtection="1">
      <alignment horizontal="center" vertical="center"/>
    </xf>
    <xf numFmtId="14" fontId="0" fillId="0" borderId="57" xfId="0" applyNumberFormat="1" applyBorder="1" applyAlignment="1">
      <alignment horizontal="center" vertical="center" wrapText="1"/>
    </xf>
    <xf numFmtId="0" fontId="0" fillId="1" borderId="57" xfId="0" applyFill="1" applyBorder="1" applyAlignment="1">
      <alignment horizontal="center" vertical="center" wrapText="1"/>
    </xf>
    <xf numFmtId="0" fontId="0" fillId="34" borderId="25" xfId="0" applyFill="1" applyBorder="1" applyAlignment="1">
      <alignment horizontal="left" vertical="center" wrapText="1"/>
    </xf>
    <xf numFmtId="0" fontId="41" fillId="34" borderId="25" xfId="0" applyFont="1" applyFill="1" applyBorder="1" applyAlignment="1">
      <alignment horizontal="left" vertical="center" wrapText="1"/>
    </xf>
    <xf numFmtId="14" fontId="0" fillId="0" borderId="0" xfId="0" applyNumberFormat="1" applyAlignment="1">
      <alignment horizontal="center" vertical="center"/>
    </xf>
    <xf numFmtId="49" fontId="0" fillId="78" borderId="0" xfId="0" applyNumberFormat="1" applyFill="1" applyAlignment="1">
      <alignment horizontal="center" vertical="center" wrapText="1"/>
    </xf>
    <xf numFmtId="0" fontId="0" fillId="22" borderId="0" xfId="0" applyFill="1" applyAlignment="1">
      <alignment vertical="center"/>
    </xf>
    <xf numFmtId="0" fontId="39" fillId="78" borderId="64" xfId="0" applyFont="1" applyFill="1" applyBorder="1" applyAlignment="1">
      <alignment horizontal="center" vertical="center"/>
    </xf>
    <xf numFmtId="0" fontId="41" fillId="78" borderId="23" xfId="0" applyFont="1" applyFill="1" applyBorder="1" applyAlignment="1">
      <alignment horizontal="left" vertical="center" wrapText="1"/>
    </xf>
    <xf numFmtId="14" fontId="0" fillId="78" borderId="64" xfId="439" applyNumberFormat="1" applyFont="1" applyFill="1" applyBorder="1" applyAlignment="1" applyProtection="1">
      <alignment horizontal="center" vertical="center" wrapText="1"/>
    </xf>
    <xf numFmtId="171" fontId="0" fillId="0" borderId="0" xfId="0" applyNumberFormat="1" applyFont="1" applyFill="1" applyAlignment="1" applyProtection="1">
      <alignment vertical="center" wrapText="1"/>
    </xf>
    <xf numFmtId="0" fontId="0" fillId="78" borderId="68" xfId="0" applyFill="1" applyBorder="1" applyAlignment="1" applyProtection="1">
      <alignment horizontal="left" vertical="center" wrapText="1"/>
      <protection locked="0"/>
    </xf>
    <xf numFmtId="0" fontId="45" fillId="78" borderId="57" xfId="0" quotePrefix="1" applyFont="1" applyFill="1" applyBorder="1" applyAlignment="1" applyProtection="1">
      <alignment horizontal="left" vertical="center" wrapText="1"/>
      <protection locked="0"/>
    </xf>
    <xf numFmtId="0" fontId="57" fillId="78" borderId="57" xfId="0" applyFont="1" applyFill="1" applyBorder="1" applyAlignment="1" applyProtection="1">
      <alignment horizontal="left" vertical="center" wrapText="1"/>
      <protection locked="0"/>
    </xf>
    <xf numFmtId="0" fontId="0" fillId="0" borderId="86" xfId="0" applyBorder="1" applyProtection="1">
      <protection locked="0"/>
    </xf>
    <xf numFmtId="0" fontId="57" fillId="78" borderId="57" xfId="0" applyFont="1" applyFill="1" applyBorder="1" applyAlignment="1" applyProtection="1">
      <alignment horizontal="left" wrapText="1"/>
      <protection locked="0"/>
    </xf>
    <xf numFmtId="0" fontId="0" fillId="78" borderId="57" xfId="0" applyFill="1" applyBorder="1" applyAlignment="1" applyProtection="1">
      <alignment horizontal="left" vertical="center" wrapText="1"/>
      <protection locked="0"/>
    </xf>
    <xf numFmtId="0" fontId="39" fillId="78" borderId="67" xfId="0" applyFont="1" applyFill="1" applyBorder="1" applyAlignment="1" applyProtection="1">
      <alignment horizontal="left"/>
      <protection locked="0"/>
    </xf>
    <xf numFmtId="0" fontId="0" fillId="78" borderId="87" xfId="0" applyFill="1" applyBorder="1" applyAlignment="1" applyProtection="1">
      <alignment horizontal="left"/>
      <protection locked="0"/>
    </xf>
    <xf numFmtId="0" fontId="0" fillId="0" borderId="10" xfId="0" applyFill="1" applyBorder="1" applyAlignment="1" applyProtection="1">
      <alignment vertical="center"/>
      <protection locked="0"/>
    </xf>
    <xf numFmtId="0" fontId="0" fillId="0" borderId="10" xfId="0" applyFill="1" applyBorder="1" applyProtection="1">
      <protection locked="0"/>
    </xf>
    <xf numFmtId="0" fontId="0" fillId="0" borderId="10" xfId="0" applyBorder="1" applyProtection="1">
      <protection locked="0"/>
    </xf>
    <xf numFmtId="0" fontId="0" fillId="0" borderId="0" xfId="0" applyProtection="1">
      <protection locked="0"/>
    </xf>
    <xf numFmtId="0" fontId="0" fillId="0" borderId="0" xfId="0" applyAlignment="1">
      <alignment horizontal="center" vertical="center" wrapText="1"/>
    </xf>
    <xf numFmtId="49" fontId="0" fillId="31" borderId="13" xfId="0" applyNumberFormat="1" applyFont="1" applyFill="1" applyBorder="1" applyAlignment="1" applyProtection="1">
      <alignment horizontal="left"/>
      <protection locked="0"/>
    </xf>
    <xf numFmtId="14" fontId="0" fillId="31" borderId="13" xfId="0" applyNumberFormat="1" applyFont="1" applyFill="1" applyBorder="1" applyAlignment="1" applyProtection="1">
      <alignment horizontal="left"/>
      <protection locked="0"/>
    </xf>
    <xf numFmtId="184" fontId="0" fillId="31" borderId="13" xfId="0" applyNumberFormat="1" applyFont="1" applyFill="1" applyBorder="1" applyAlignment="1" applyProtection="1">
      <alignment horizontal="left"/>
      <protection locked="0"/>
    </xf>
    <xf numFmtId="49" fontId="35" fillId="31" borderId="13" xfId="611" applyNumberFormat="1" applyFill="1" applyBorder="1" applyAlignment="1" applyProtection="1">
      <alignment horizontal="left"/>
      <protection locked="0"/>
    </xf>
    <xf numFmtId="0" fontId="44" fillId="78" borderId="0" xfId="0" applyFont="1" applyFill="1" applyAlignment="1">
      <alignment vertical="center" wrapText="1"/>
    </xf>
    <xf numFmtId="0" fontId="44" fillId="78" borderId="0" xfId="0" applyFont="1" applyFill="1" applyAlignment="1" applyProtection="1">
      <alignment horizontal="center" vertical="center"/>
      <protection locked="0"/>
    </xf>
    <xf numFmtId="0" fontId="44" fillId="78" borderId="10" xfId="0" applyFont="1" applyFill="1" applyBorder="1" applyAlignment="1">
      <alignment vertical="center" wrapText="1"/>
    </xf>
    <xf numFmtId="0" fontId="57" fillId="78" borderId="0" xfId="0" applyFont="1" applyFill="1" applyAlignment="1">
      <alignment horizontal="left" vertical="center"/>
    </xf>
    <xf numFmtId="0" fontId="0" fillId="29" borderId="10" xfId="0" applyFill="1" applyBorder="1" applyAlignment="1" applyProtection="1">
      <alignment horizontal="center" vertical="center" wrapText="1"/>
      <protection locked="0"/>
    </xf>
    <xf numFmtId="0" fontId="0" fillId="0" borderId="10" xfId="0" applyFill="1" applyBorder="1" applyAlignment="1">
      <alignment horizontal="center" wrapText="1"/>
    </xf>
    <xf numFmtId="14" fontId="0" fillId="29" borderId="10" xfId="0" applyNumberFormat="1" applyFill="1" applyBorder="1" applyAlignment="1" applyProtection="1">
      <alignment horizontal="center" vertical="center" wrapText="1"/>
      <protection locked="0"/>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196" fillId="34" borderId="13" xfId="0" applyFont="1" applyFill="1" applyBorder="1" applyAlignment="1">
      <alignment horizontal="center" vertical="center" wrapText="1"/>
    </xf>
    <xf numFmtId="0" fontId="196" fillId="34" borderId="16" xfId="0" applyFont="1" applyFill="1" applyBorder="1" applyAlignment="1">
      <alignment horizontal="center" vertical="center" wrapText="1"/>
    </xf>
    <xf numFmtId="0" fontId="196" fillId="34" borderId="11" xfId="0" applyFont="1" applyFill="1" applyBorder="1" applyAlignment="1">
      <alignment horizontal="center" vertical="center" wrapText="1"/>
    </xf>
    <xf numFmtId="0" fontId="69" fillId="34" borderId="67" xfId="0" applyFont="1" applyFill="1" applyBorder="1" applyAlignment="1">
      <alignment horizontal="center" wrapText="1"/>
    </xf>
    <xf numFmtId="0" fontId="69" fillId="34" borderId="87" xfId="0" applyFont="1" applyFill="1" applyBorder="1" applyAlignment="1">
      <alignment horizont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40" fillId="26" borderId="11" xfId="0" applyFont="1" applyFill="1" applyBorder="1" applyAlignment="1">
      <alignment horizontal="center" vertical="top" wrapText="1"/>
    </xf>
    <xf numFmtId="0" fontId="180" fillId="85" borderId="13" xfId="0" applyFont="1" applyFill="1" applyBorder="1" applyAlignment="1">
      <alignment horizontal="center" vertical="center"/>
    </xf>
    <xf numFmtId="0" fontId="180" fillId="85" borderId="16" xfId="0" applyFont="1" applyFill="1" applyBorder="1" applyAlignment="1">
      <alignment horizontal="center" vertical="center"/>
    </xf>
    <xf numFmtId="0" fontId="180" fillId="85" borderId="11" xfId="0" applyFont="1" applyFill="1" applyBorder="1" applyAlignment="1">
      <alignment horizontal="center" vertical="center"/>
    </xf>
    <xf numFmtId="0" fontId="51" fillId="26" borderId="13" xfId="0" applyFont="1" applyFill="1" applyBorder="1" applyAlignment="1">
      <alignment horizontal="center" vertical="center"/>
    </xf>
    <xf numFmtId="0" fontId="51" fillId="26" borderId="16" xfId="0" applyFont="1" applyFill="1" applyBorder="1" applyAlignment="1">
      <alignment horizontal="center" vertical="center"/>
    </xf>
    <xf numFmtId="0" fontId="51" fillId="26" borderId="11" xfId="0" applyFont="1" applyFill="1" applyBorder="1" applyAlignment="1">
      <alignment horizontal="center" vertical="center"/>
    </xf>
    <xf numFmtId="0" fontId="196" fillId="34" borderId="13" xfId="0" applyFont="1" applyFill="1" applyBorder="1" applyAlignment="1">
      <alignment horizontal="center" wrapText="1"/>
    </xf>
    <xf numFmtId="0" fontId="196" fillId="34" borderId="16" xfId="0" applyFont="1" applyFill="1" applyBorder="1" applyAlignment="1">
      <alignment horizontal="center" wrapText="1"/>
    </xf>
    <xf numFmtId="0" fontId="196" fillId="34" borderId="11" xfId="0" applyFont="1" applyFill="1" applyBorder="1" applyAlignment="1">
      <alignment horizontal="center" wrapText="1"/>
    </xf>
    <xf numFmtId="0" fontId="57" fillId="34" borderId="16" xfId="0" applyFont="1" applyFill="1" applyBorder="1" applyAlignment="1" applyProtection="1">
      <alignment horizontal="left" vertical="center" wrapText="1"/>
    </xf>
    <xf numFmtId="0" fontId="57" fillId="34" borderId="11" xfId="0" applyFont="1" applyFill="1" applyBorder="1" applyAlignment="1" applyProtection="1">
      <alignment horizontal="left" vertical="center" wrapText="1"/>
    </xf>
    <xf numFmtId="0" fontId="39" fillId="0" borderId="13" xfId="0" applyFont="1" applyBorder="1" applyAlignment="1" applyProtection="1">
      <alignment horizontal="left" vertical="center" wrapText="1"/>
    </xf>
    <xf numFmtId="0" fontId="39" fillId="0" borderId="16" xfId="0" applyFont="1" applyBorder="1" applyAlignment="1" applyProtection="1">
      <alignment horizontal="left" vertical="center" wrapText="1"/>
    </xf>
    <xf numFmtId="0" fontId="39" fillId="0" borderId="11" xfId="0" applyFont="1" applyBorder="1" applyAlignment="1" applyProtection="1">
      <alignment horizontal="left" vertical="center" wrapText="1"/>
    </xf>
    <xf numFmtId="0" fontId="39" fillId="78" borderId="11" xfId="0" applyFont="1" applyFill="1" applyBorder="1" applyAlignment="1" applyProtection="1">
      <alignment horizontal="justify" vertical="center" wrapText="1"/>
    </xf>
    <xf numFmtId="0" fontId="39" fillId="78" borderId="57" xfId="0" applyFont="1" applyFill="1" applyBorder="1" applyAlignment="1" applyProtection="1">
      <alignment horizontal="justify" vertical="center" wrapText="1"/>
    </xf>
    <xf numFmtId="0" fontId="39" fillId="78" borderId="16" xfId="0" applyFont="1" applyFill="1" applyBorder="1" applyAlignment="1" applyProtection="1">
      <alignment horizontal="center" wrapText="1"/>
    </xf>
    <xf numFmtId="0" fontId="39" fillId="78" borderId="11" xfId="0" applyFont="1" applyFill="1" applyBorder="1" applyAlignment="1" applyProtection="1">
      <alignment horizontal="center" wrapText="1"/>
    </xf>
    <xf numFmtId="0" fontId="39" fillId="78" borderId="16" xfId="0" applyFont="1" applyFill="1" applyBorder="1" applyAlignment="1" applyProtection="1">
      <alignment horizontal="justify" vertical="center" wrapText="1"/>
    </xf>
    <xf numFmtId="0" fontId="39" fillId="0" borderId="16" xfId="0" applyFont="1" applyBorder="1" applyAlignment="1" applyProtection="1">
      <alignment horizontal="center" wrapText="1"/>
    </xf>
    <xf numFmtId="0" fontId="39" fillId="0" borderId="11" xfId="0" applyFont="1" applyBorder="1" applyAlignment="1" applyProtection="1">
      <alignment horizontal="center" wrapText="1"/>
    </xf>
    <xf numFmtId="0" fontId="57" fillId="78" borderId="16" xfId="0" applyFont="1" applyFill="1" applyBorder="1" applyAlignment="1" applyProtection="1">
      <alignment horizontal="left" wrapText="1"/>
    </xf>
    <xf numFmtId="0" fontId="57" fillId="34" borderId="11" xfId="0" applyFont="1" applyFill="1" applyBorder="1" applyAlignment="1">
      <alignment horizontal="justify" vertical="center" wrapText="1"/>
    </xf>
    <xf numFmtId="0" fontId="57" fillId="34" borderId="57" xfId="0" applyFont="1" applyFill="1" applyBorder="1" applyAlignment="1">
      <alignment horizontal="justify" vertical="center" wrapText="1"/>
    </xf>
    <xf numFmtId="0" fontId="57" fillId="0" borderId="38" xfId="0" applyFont="1" applyBorder="1" applyAlignment="1" applyProtection="1">
      <alignment horizontal="center" wrapText="1"/>
    </xf>
    <xf numFmtId="0" fontId="57" fillId="0" borderId="39" xfId="0" applyFont="1" applyBorder="1" applyAlignment="1" applyProtection="1">
      <alignment horizontal="center" wrapText="1"/>
    </xf>
    <xf numFmtId="0" fontId="57" fillId="0" borderId="0" xfId="0" applyFont="1" applyAlignment="1" applyProtection="1">
      <alignment horizontal="center" wrapText="1"/>
    </xf>
    <xf numFmtId="0" fontId="57" fillId="0" borderId="60" xfId="0" applyFont="1" applyBorder="1" applyAlignment="1" applyProtection="1">
      <alignment horizontal="center" wrapText="1"/>
    </xf>
    <xf numFmtId="0" fontId="57" fillId="34" borderId="57" xfId="0" applyFont="1" applyFill="1" applyBorder="1" applyAlignment="1" applyProtection="1">
      <alignment horizontal="left" vertical="center" wrapText="1"/>
    </xf>
    <xf numFmtId="0" fontId="57" fillId="78" borderId="11" xfId="0" applyFont="1" applyFill="1" applyBorder="1" applyAlignment="1" applyProtection="1">
      <alignment horizontal="left" wrapText="1"/>
    </xf>
    <xf numFmtId="0" fontId="57" fillId="78" borderId="57" xfId="0" applyFont="1" applyFill="1" applyBorder="1" applyAlignment="1" applyProtection="1">
      <alignment horizontal="left" wrapText="1"/>
    </xf>
    <xf numFmtId="0" fontId="161" fillId="0" borderId="40" xfId="0" applyFont="1" applyBorder="1" applyAlignment="1" applyProtection="1">
      <alignment horizontal="center" vertical="center"/>
    </xf>
    <xf numFmtId="0" fontId="161" fillId="0" borderId="41" xfId="0" applyFont="1" applyBorder="1" applyAlignment="1" applyProtection="1">
      <alignment horizontal="center" vertical="center"/>
    </xf>
    <xf numFmtId="0" fontId="161" fillId="0" borderId="16" xfId="0" applyFont="1" applyBorder="1" applyAlignment="1" applyProtection="1">
      <alignment horizontal="center" vertical="center"/>
    </xf>
    <xf numFmtId="0" fontId="161" fillId="0" borderId="11" xfId="0" applyFont="1" applyBorder="1" applyAlignment="1" applyProtection="1">
      <alignment horizontal="center" vertical="center"/>
    </xf>
    <xf numFmtId="0" fontId="57" fillId="34" borderId="13" xfId="0" applyFont="1" applyFill="1" applyBorder="1" applyAlignment="1" applyProtection="1">
      <alignment horizontal="justify" vertical="center" wrapText="1"/>
    </xf>
    <xf numFmtId="0" fontId="57" fillId="34" borderId="16" xfId="0" applyFont="1" applyFill="1" applyBorder="1" applyAlignment="1" applyProtection="1">
      <alignment horizontal="justify" vertical="center" wrapText="1"/>
    </xf>
    <xf numFmtId="0" fontId="57" fillId="34" borderId="11" xfId="0" applyFont="1" applyFill="1" applyBorder="1" applyAlignment="1" applyProtection="1">
      <alignment horizontal="justify" vertical="center" wrapText="1"/>
    </xf>
    <xf numFmtId="0" fontId="48" fillId="0" borderId="95" xfId="0" applyFont="1" applyBorder="1" applyAlignment="1" applyProtection="1">
      <alignment horizontal="center" vertical="center" wrapText="1"/>
    </xf>
    <xf numFmtId="0" fontId="48" fillId="0" borderId="96" xfId="0" applyFont="1" applyBorder="1" applyAlignment="1" applyProtection="1">
      <alignment horizontal="center" vertical="center" wrapText="1"/>
    </xf>
    <xf numFmtId="0" fontId="48" fillId="0" borderId="92"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42" xfId="0" applyFont="1" applyBorder="1" applyAlignment="1" applyProtection="1">
      <alignment horizontal="center" vertical="center"/>
    </xf>
    <xf numFmtId="0" fontId="39" fillId="0" borderId="87" xfId="0" applyFont="1" applyBorder="1" applyAlignment="1" applyProtection="1">
      <alignment horizontal="center" wrapText="1"/>
    </xf>
    <xf numFmtId="0" fontId="39" fillId="0" borderId="68" xfId="0" applyFont="1" applyBorder="1" applyAlignment="1" applyProtection="1">
      <alignment horizontal="center"/>
    </xf>
    <xf numFmtId="0" fontId="48" fillId="0" borderId="97" xfId="0" applyFont="1" applyBorder="1" applyAlignment="1" applyProtection="1">
      <alignment horizontal="center" vertical="center"/>
    </xf>
    <xf numFmtId="0" fontId="48" fillId="0" borderId="98" xfId="0" applyFont="1" applyBorder="1" applyAlignment="1" applyProtection="1">
      <alignment horizontal="center" vertical="center"/>
    </xf>
    <xf numFmtId="0" fontId="48" fillId="0" borderId="99" xfId="0" applyFont="1" applyBorder="1" applyAlignment="1" applyProtection="1">
      <alignment horizontal="center" vertical="center"/>
    </xf>
    <xf numFmtId="0" fontId="130" fillId="73" borderId="67" xfId="0" applyFont="1" applyFill="1" applyBorder="1" applyAlignment="1" applyProtection="1">
      <alignment horizontal="center" vertical="center" wrapText="1"/>
    </xf>
    <xf numFmtId="0" fontId="130" fillId="73" borderId="87" xfId="0" applyFont="1" applyFill="1" applyBorder="1" applyAlignment="1" applyProtection="1">
      <alignment horizontal="center" vertical="center" wrapText="1"/>
    </xf>
    <xf numFmtId="0" fontId="130" fillId="73" borderId="68" xfId="0" applyFont="1" applyFill="1" applyBorder="1" applyAlignment="1" applyProtection="1">
      <alignment horizontal="center" vertical="center" wrapText="1"/>
    </xf>
    <xf numFmtId="0" fontId="57" fillId="78" borderId="67" xfId="0" applyFont="1" applyFill="1" applyBorder="1" applyAlignment="1" applyProtection="1">
      <alignment horizontal="center" vertical="center" wrapText="1"/>
    </xf>
    <xf numFmtId="0" fontId="57" fillId="78" borderId="87" xfId="0" applyFont="1" applyFill="1" applyBorder="1" applyAlignment="1" applyProtection="1">
      <alignment horizontal="center" vertical="center" wrapText="1"/>
    </xf>
    <xf numFmtId="0" fontId="57" fillId="78" borderId="68" xfId="0" applyFont="1" applyFill="1" applyBorder="1" applyAlignment="1" applyProtection="1">
      <alignment horizontal="center" vertical="center" wrapText="1"/>
    </xf>
    <xf numFmtId="0" fontId="40" fillId="0" borderId="38" xfId="682" applyFont="1" applyBorder="1" applyAlignment="1" applyProtection="1">
      <alignment horizontal="justify" vertical="justify" wrapText="1"/>
    </xf>
    <xf numFmtId="0" fontId="40" fillId="0" borderId="39" xfId="682" applyFont="1" applyBorder="1" applyAlignment="1" applyProtection="1">
      <alignment horizontal="justify" vertical="justify" wrapText="1"/>
    </xf>
    <xf numFmtId="0" fontId="40" fillId="0" borderId="41" xfId="682" applyFont="1" applyBorder="1" applyAlignment="1" applyProtection="1">
      <alignment horizontal="justify" vertical="justify" wrapText="1"/>
    </xf>
    <xf numFmtId="0" fontId="40" fillId="0" borderId="42" xfId="682" applyFont="1" applyBorder="1" applyAlignment="1" applyProtection="1">
      <alignment horizontal="justify" vertical="justify" wrapText="1"/>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37" fillId="78" borderId="67" xfId="0" applyFont="1" applyFill="1" applyBorder="1" applyAlignment="1" applyProtection="1">
      <alignment horizontal="justify" vertical="center" wrapText="1"/>
    </xf>
    <xf numFmtId="0" fontId="37" fillId="78" borderId="68" xfId="0" applyFont="1" applyFill="1" applyBorder="1" applyAlignment="1" applyProtection="1">
      <alignment horizontal="justify" vertical="center"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57" fillId="78" borderId="11" xfId="0" applyFont="1" applyFill="1" applyBorder="1" applyAlignment="1" applyProtection="1">
      <alignment horizontal="left" vertical="center" wrapText="1"/>
    </xf>
    <xf numFmtId="0" fontId="57" fillId="78" borderId="57" xfId="0" applyFont="1" applyFill="1" applyBorder="1" applyAlignment="1" applyProtection="1">
      <alignment horizontal="left" vertical="center" wrapText="1"/>
    </xf>
    <xf numFmtId="0" fontId="57"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justify" vertical="center" wrapText="1"/>
    </xf>
    <xf numFmtId="0" fontId="0" fillId="78" borderId="16" xfId="0" applyFill="1" applyBorder="1" applyAlignment="1" applyProtection="1">
      <alignment horizontal="center"/>
    </xf>
    <xf numFmtId="0" fontId="0" fillId="78" borderId="11" xfId="0" applyFill="1" applyBorder="1" applyAlignment="1" applyProtection="1">
      <alignment horizontal="center"/>
    </xf>
    <xf numFmtId="0" fontId="57" fillId="34" borderId="13" xfId="0" applyFont="1" applyFill="1" applyBorder="1" applyAlignment="1" applyProtection="1">
      <alignment horizontal="left" vertical="center" wrapText="1"/>
    </xf>
    <xf numFmtId="0" fontId="57" fillId="78" borderId="90" xfId="0" applyFont="1" applyFill="1" applyBorder="1" applyAlignment="1" applyProtection="1">
      <alignment horizontal="left"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pplyProtection="1">
      <alignment horizontal="left" vertical="top" wrapText="1"/>
      <protection locked="0"/>
    </xf>
    <xf numFmtId="0" fontId="44" fillId="0" borderId="38" xfId="26000" applyFont="1" applyBorder="1" applyAlignment="1" applyProtection="1">
      <alignment horizontal="left" vertical="top" wrapText="1"/>
      <protection locked="0"/>
    </xf>
    <xf numFmtId="0" fontId="44" fillId="0" borderId="39" xfId="26000" applyFont="1" applyBorder="1" applyAlignment="1" applyProtection="1">
      <alignment horizontal="left" vertical="top" wrapText="1"/>
      <protection locked="0"/>
    </xf>
    <xf numFmtId="0" fontId="44" fillId="0" borderId="15" xfId="26000" applyFont="1" applyBorder="1" applyAlignment="1" applyProtection="1">
      <alignment horizontal="left" vertical="top" wrapText="1"/>
      <protection locked="0"/>
    </xf>
    <xf numFmtId="0" fontId="44" fillId="0" borderId="0" xfId="26000" applyFont="1" applyAlignment="1" applyProtection="1">
      <alignment horizontal="left" vertical="top" wrapText="1"/>
      <protection locked="0"/>
    </xf>
    <xf numFmtId="0" fontId="44" fillId="0" borderId="60" xfId="26000" applyFont="1" applyBorder="1" applyAlignment="1" applyProtection="1">
      <alignment horizontal="left" vertical="top" wrapText="1"/>
      <protection locked="0"/>
    </xf>
    <xf numFmtId="0" fontId="44" fillId="0" borderId="40" xfId="26000" applyFont="1" applyBorder="1" applyAlignment="1" applyProtection="1">
      <alignment horizontal="left" vertical="top" wrapText="1"/>
      <protection locked="0"/>
    </xf>
    <xf numFmtId="0" fontId="44" fillId="0" borderId="41" xfId="26000" applyFont="1" applyBorder="1" applyAlignment="1" applyProtection="1">
      <alignment horizontal="left" vertical="top" wrapText="1"/>
      <protection locked="0"/>
    </xf>
    <xf numFmtId="0" fontId="44" fillId="0" borderId="42" xfId="26000" applyFont="1" applyBorder="1" applyAlignment="1" applyProtection="1">
      <alignment horizontal="left" vertical="top" wrapText="1"/>
      <protection locked="0"/>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20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18 2" xfId="32023" xr:uid="{AA8B7EEC-41A8-47AC-B764-E6867CEAAA1F}"/>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1 2" xfId="32024" xr:uid="{6BE0BF21-9BDE-45C1-AC91-84D8CFBDE3FE}"/>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5 5" xfId="32004" xr:uid="{8377B691-2AFC-443B-8FCA-8EB296436BAE}"/>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7 8" xfId="31987" xr:uid="{B489DFF5-F3EE-4CCC-A360-9EC5DC833894}"/>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2 2" xfId="32021" xr:uid="{765B09F7-C3B9-41DD-9C24-5666249D136A}"/>
    <cellStyle name="Normal 23 3" xfId="31722" xr:uid="{23061F0C-4409-4E5F-A960-26EABC21E703}"/>
    <cellStyle name="Normal 23 4" xfId="32017" xr:uid="{468AB7C1-4BEE-44C9-8B86-5065562C55FA}"/>
    <cellStyle name="Normal 24" xfId="31724" xr:uid="{4AD80940-F9FE-4312-92C2-BB9034C34D3B}"/>
    <cellStyle name="Normal 24 2" xfId="32022" xr:uid="{89DE89C1-34EC-490A-8341-093FB1E461B4}"/>
    <cellStyle name="Normal 25" xfId="30098" xr:uid="{07506169-A6FD-44A0-8C52-1A1EF451F172}"/>
    <cellStyle name="Normal 26" xfId="30103" xr:uid="{7027CCDA-B9FD-43DE-A40A-182DF76F28F4}"/>
    <cellStyle name="Normal 27" xfId="31723" xr:uid="{4196B5BA-5EA7-4D8D-9D66-857889BD5159}"/>
    <cellStyle name="Normal 28" xfId="32025" xr:uid="{F9D2FC86-2EC0-4BC4-9CA1-1693550E0CE1}"/>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4 3 5" xfId="31870" xr:uid="{C61C880B-D90D-409E-986D-7EFE86A94CD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3 3 5" xfId="31871" xr:uid="{36337922-F1B8-43FE-89D9-33A4E0A700EA}"/>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5 5" xfId="31809" xr:uid="{7A8BF9CE-A0AF-4AF4-91F4-02CA6D3FC1D7}"/>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6 5" xfId="31931" xr:uid="{9B487A6D-6B05-4F07-839D-A99EB2D5F8AC}"/>
    <cellStyle name="Normal 3 2 3 3 2 3 7" xfId="30118" xr:uid="{3A8EA0EB-6553-4DE0-BA6D-E554B6EEBC52}"/>
    <cellStyle name="Normal 3 2 3 3 2 3 7 2" xfId="30479" xr:uid="{12261BA5-6EBE-49C8-858C-4433B97E2B8F}"/>
    <cellStyle name="Normal 3 2 3 3 2 3 8" xfId="31752" xr:uid="{69E5398B-AE39-4ABD-B746-7A6A37786D71}"/>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3 5" xfId="32005" xr:uid="{AF9F9127-55D5-4F95-9D50-B99CB789E817}"/>
    <cellStyle name="Normal 3 2 3 3 2 4 3 4" xfId="30354" xr:uid="{93657840-58F4-4379-9A8A-0046F497FB51}"/>
    <cellStyle name="Normal 3 2 3 3 2 4 3 4 2" xfId="31696" xr:uid="{A40DE0E8-AD45-4E9B-94C0-51490D3093FE}"/>
    <cellStyle name="Normal 3 2 3 3 2 4 3 5" xfId="31988" xr:uid="{15D7EF1A-FCD0-454A-B1AA-E84DD50EE774}"/>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5 5" xfId="31808" xr:uid="{178690E6-34A2-4393-B592-31E0DF3C1227}"/>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6 5" xfId="31930" xr:uid="{B73035D1-2067-401B-A00F-AFA787D13CFA}"/>
    <cellStyle name="Normal 3 2 3 3 2 7" xfId="30117" xr:uid="{019B4B8F-7996-40B8-8487-A11E7446390C}"/>
    <cellStyle name="Normal 3 2 3 3 2 7 2" xfId="30478" xr:uid="{A9A1F17C-F870-4AC2-99F8-4C92612CB29A}"/>
    <cellStyle name="Normal 3 2 3 3 2 8" xfId="31751" xr:uid="{225D7D5A-C0D2-4CCD-9EFC-161282D45CC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3 5" xfId="31872" xr:uid="{16662624-3757-45D7-917F-C0AB933E36AC}"/>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4 5" xfId="31811" xr:uid="{6DDB7F6F-104A-41B1-A645-952E20BC8075}"/>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5 5" xfId="31810" xr:uid="{0135E4C7-4A36-4A8B-A0C0-D404DF1C677A}"/>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6 5" xfId="31932" xr:uid="{7DD74C05-B182-49F2-B496-B67D994D90D1}"/>
    <cellStyle name="Normal 3 2 3 3 4 7" xfId="30119" xr:uid="{21708935-4338-4B04-A5B4-2B12A5C766F5}"/>
    <cellStyle name="Normal 3 2 3 3 4 7 2" xfId="30480" xr:uid="{F378E57F-2EEC-4F55-AB97-A5FA15FB5A75}"/>
    <cellStyle name="Normal 3 2 3 3 4 8" xfId="31753" xr:uid="{B6B99ECF-27B7-4452-8592-01D11A877DA9}"/>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3 6" xfId="31873" xr:uid="{285638F6-359F-43E0-B0FA-229C700DA1DE}"/>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3 3 5" xfId="31874" xr:uid="{383A3E76-D426-4C8C-924F-5A95A0836014}"/>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5 5" xfId="31813" xr:uid="{C0EC41AE-F027-4EAC-B2AF-195D477BE1A7}"/>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6 5" xfId="31934" xr:uid="{E03EEF01-1839-44E6-AD63-1C456D0962DD}"/>
    <cellStyle name="Normal 3 2 3 4 3 7" xfId="30121" xr:uid="{B13A17FC-0920-42D9-BFD0-704A408A0A4C}"/>
    <cellStyle name="Normal 3 2 3 4 3 7 2" xfId="30482" xr:uid="{10C38449-8AAA-4472-A41E-21A90DBA3EF1}"/>
    <cellStyle name="Normal 3 2 3 4 3 8" xfId="31755" xr:uid="{9272ABCD-863B-4473-80D4-56123FB3553F}"/>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4 3 5" xfId="31875" xr:uid="{D1969DFF-FD25-47BB-8FE0-91FB97DD3A5E}"/>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5 5" xfId="31812" xr:uid="{5460A817-A72C-4666-9CEA-0FD1254CA438}"/>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6 5" xfId="31933" xr:uid="{DA36F331-6C62-4D5F-BA3C-170EE4CAD920}"/>
    <cellStyle name="Normal 3 2 3 4 7" xfId="30120" xr:uid="{2902EA16-525C-4490-96D7-08F0557F0425}"/>
    <cellStyle name="Normal 3 2 3 4 7 2" xfId="30481" xr:uid="{DF6E23B2-6945-41B0-8306-2F702DBA91A9}"/>
    <cellStyle name="Normal 3 2 3 4 8" xfId="31754" xr:uid="{B4D2B4EA-080E-4556-BD60-5C1D2BE5D3E3}"/>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800" xr:uid="{4C93E45A-7811-489F-9771-78A6D448C1C8}"/>
    <cellStyle name="Normal 3 2 3 6" xfId="30112" xr:uid="{2DA27080-57C7-488E-9E66-228C66F3BB6F}"/>
    <cellStyle name="Normal 3 2 3 6 2" xfId="30471" xr:uid="{CBE48B84-9220-4165-B20B-487010328F48}"/>
    <cellStyle name="Normal 3 2 3 7" xfId="31744" xr:uid="{0824D4CF-5757-4ADE-8178-DAAE89865E41}"/>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3 3 5" xfId="31876" xr:uid="{4CC266E9-1346-48DA-90DE-94B12A5F54AD}"/>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5 5" xfId="31815" xr:uid="{EE17CC6F-D84C-454B-B3FF-8CA0A03963CA}"/>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6 5" xfId="31936" xr:uid="{32A90817-92D4-4099-B7D3-7EACDE6715B3}"/>
    <cellStyle name="Normal 3 2 4 3 7" xfId="30123" xr:uid="{2FC8C8CB-77C8-4CE3-9500-8BBF0E8D3D67}"/>
    <cellStyle name="Normal 3 2 4 3 7 2" xfId="30485" xr:uid="{FF9CD143-3DC5-4E78-9669-CDD5E69991DD}"/>
    <cellStyle name="Normal 3 2 4 3 8" xfId="31757" xr:uid="{3D3B0868-6B1D-44B7-9E63-7E2F85B968DE}"/>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3 5" xfId="32006" xr:uid="{4C578D2D-4D41-4FBF-B8DD-3CC7AFC62900}"/>
    <cellStyle name="Normal 3 2 4 4 2 4" xfId="30355" xr:uid="{C34059E2-DD63-4FD3-8EEB-54B190A38F45}"/>
    <cellStyle name="Normal 3 2 4 4 2 4 2" xfId="31697" xr:uid="{6DCD7FB8-B5FD-4C77-BBC6-EAED650E4CF3}"/>
    <cellStyle name="Normal 3 2 4 4 2 5" xfId="31989" xr:uid="{1497EB42-67E3-4B2E-B704-ABF78EAC0BFC}"/>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5 5" xfId="31814" xr:uid="{73C662E3-E227-488D-BAA7-C2861390EA9D}"/>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6 5" xfId="31935" xr:uid="{EE327EAE-2786-41D7-AAC9-789B35ED027F}"/>
    <cellStyle name="Normal 3 2 4 7" xfId="30122" xr:uid="{2CF31ED3-BF8A-4420-A35A-63A9374EE9CB}"/>
    <cellStyle name="Normal 3 2 4 7 2" xfId="30484" xr:uid="{E8D1DD0B-859F-4702-9615-4F14D8E78C95}"/>
    <cellStyle name="Normal 3 2 4 8" xfId="31756" xr:uid="{3BD5DD47-EE0D-4D26-9979-B292E5AEB09B}"/>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3 5" xfId="32007" xr:uid="{605697BD-0C7F-4E7F-9D2A-0112DEFD24E5}"/>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990" xr:uid="{1A6030CE-991E-4462-A676-1578F405406D}"/>
    <cellStyle name="Normal 3 2 6" xfId="30109" xr:uid="{E75C1CB2-D09F-4E20-9707-91B0AD896C89}"/>
    <cellStyle name="Normal 3 2 6 2" xfId="31495" xr:uid="{75618FDA-0DC1-449E-A37B-B4C7EE151DBA}"/>
    <cellStyle name="Normal 3 2 7" xfId="31737" xr:uid="{DAF1D4CE-0E25-49CE-8219-6D8D988E1EAC}"/>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40" xr:uid="{735DA6F3-F532-43DB-9D29-5AABCEFFA1CE}"/>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3 3 5" xfId="31877" xr:uid="{2E43C4F1-5209-48AA-B572-DA2C3C124CB7}"/>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5 5" xfId="31817" xr:uid="{2E1920E5-CEDA-4880-814E-F3E326863B8F}"/>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6 5" xfId="31938" xr:uid="{87A054C9-EC04-4351-9EF1-9720A2A3B28F}"/>
    <cellStyle name="Normal 5 2 2 3 3 2 3 7" xfId="30125" xr:uid="{DAC80EA3-45F7-49F1-A349-239CC3856162}"/>
    <cellStyle name="Normal 5 2 2 3 3 2 3 7 2" xfId="30487" xr:uid="{207BB286-D44A-4530-97B5-78C32E75393D}"/>
    <cellStyle name="Normal 5 2 2 3 3 2 3 8" xfId="31759" xr:uid="{16374957-CF05-4205-977D-4B969739F3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3 5" xfId="32008" xr:uid="{BD7CA334-159E-4D42-B581-D27959C79388}"/>
    <cellStyle name="Normal 5 2 2 3 3 2 4 3 4" xfId="30357" xr:uid="{1C60EA9A-684E-4679-89C8-749CEAB253C5}"/>
    <cellStyle name="Normal 5 2 2 3 3 2 4 3 4 2" xfId="31699" xr:uid="{AD204089-4C71-4050-991D-38E2B324F7EB}"/>
    <cellStyle name="Normal 5 2 2 3 3 2 4 3 5" xfId="31991" xr:uid="{E0EC5735-4AE9-421B-99FB-C0381648EAE9}"/>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5 5" xfId="31816" xr:uid="{5E6DBADF-3E3F-472B-A3E7-13C93AE10668}"/>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6 5" xfId="31937" xr:uid="{9240F838-1B68-40D6-9ACE-917497A6D1C1}"/>
    <cellStyle name="Normal 5 2 2 3 3 2 7" xfId="30124" xr:uid="{16F6B502-50DE-40DF-90B1-0876CC1A1C94}"/>
    <cellStyle name="Normal 5 2 2 3 3 2 7 2" xfId="30486" xr:uid="{32F471BB-0723-4682-B1A0-F64159294218}"/>
    <cellStyle name="Normal 5 2 2 3 3 2 8" xfId="31758" xr:uid="{E5504B10-F7AF-4EC8-8FCB-5A92B398FBE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3 5" xfId="31878" xr:uid="{BD64AEE5-6CA3-4187-8B37-E6F4870A713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4 5" xfId="31819" xr:uid="{E4474D66-FE38-48E2-86FD-353F0A7837A7}"/>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5 5" xfId="31818" xr:uid="{2BBCE6A9-B46F-4B5D-A278-A5920307EB44}"/>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6 5" xfId="31939" xr:uid="{1A1C441C-30CE-4CB9-9C92-EDE4E3FAE21E}"/>
    <cellStyle name="Normal 5 2 2 3 3 4 7" xfId="30126" xr:uid="{703E38E7-8BA4-47CE-A103-8E02D7643E7A}"/>
    <cellStyle name="Normal 5 2 2 3 3 4 7 2" xfId="30488" xr:uid="{2C6C969A-844E-4616-8573-0FAFBA4D69CF}"/>
    <cellStyle name="Normal 5 2 2 3 3 4 8" xfId="31760" xr:uid="{53B414DA-F311-48B0-8473-61548E75524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3 6" xfId="31879" xr:uid="{AD299762-D62E-48F2-A298-0EEAB8649842}"/>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3 3 5" xfId="31880" xr:uid="{5F368C6F-F5CF-461F-BA3C-C5A7BC3D79F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5 5" xfId="31821" xr:uid="{89504CC9-B044-4538-8115-79848BE3552E}"/>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6 5" xfId="31941" xr:uid="{E5DBA7E2-3A44-4CEE-965A-A75BF716B893}"/>
    <cellStyle name="Normal 5 2 2 3 4 3 7" xfId="30128" xr:uid="{902DB47F-C143-433C-8E02-ECCFBB8FA346}"/>
    <cellStyle name="Normal 5 2 2 3 4 3 7 2" xfId="30490" xr:uid="{56017849-602A-438E-96E0-4DE9B6F02764}"/>
    <cellStyle name="Normal 5 2 2 3 4 3 8" xfId="31762" xr:uid="{9D0AC439-C11C-4287-A27F-BAB9C894D3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4 3 5" xfId="31881" xr:uid="{4C41FAD7-5C7A-4589-B282-2779030A99DE}"/>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5 5" xfId="31820" xr:uid="{8DF821CB-A78C-498E-B597-1C93D93AFD4C}"/>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6 5" xfId="31940" xr:uid="{D2C4F953-1B75-4008-AE6F-38C4170A0D30}"/>
    <cellStyle name="Normal 5 2 2 3 4 7" xfId="30127" xr:uid="{920D9317-59AD-4444-9F3B-B0AB3DA1419C}"/>
    <cellStyle name="Normal 5 2 2 3 4 7 2" xfId="30489" xr:uid="{2D2D5388-0491-48DD-9BA0-7F231209010E}"/>
    <cellStyle name="Normal 5 2 2 3 4 8" xfId="31761" xr:uid="{921242F0-2EDD-4524-BA41-55813294BF21}"/>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801" xr:uid="{6BE66918-6C91-4F9F-A5D2-EF2F1294EF6E}"/>
    <cellStyle name="Normal 5 2 2 3 6" xfId="30104" xr:uid="{93BD7124-346B-4FA7-9E75-822A18739E86}"/>
    <cellStyle name="Normal 5 2 2 3 6 2" xfId="30472" xr:uid="{B7FC6D84-3823-4E1F-9CD2-CD3763CCF30A}"/>
    <cellStyle name="Normal 5 2 2 3 7" xfId="31745" xr:uid="{057B4325-5EC6-42D9-9B2D-E352BE37FCC4}"/>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3 3 5" xfId="31882" xr:uid="{46E5480F-E29D-460A-9999-9AAA3602A104}"/>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5 5" xfId="31823" xr:uid="{B74CAEC4-3C70-4398-9709-39AFEC9236D9}"/>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6 5" xfId="31943" xr:uid="{C04D5001-5F62-4BB5-AD2B-507BC7A6138C}"/>
    <cellStyle name="Normal 5 2 2 4 3 7" xfId="30130" xr:uid="{BDE27110-9B13-48B7-8653-B497F720F538}"/>
    <cellStyle name="Normal 5 2 2 4 3 7 2" xfId="30493" xr:uid="{FD9D9EF5-F197-45A3-BC3A-5650DE888412}"/>
    <cellStyle name="Normal 5 2 2 4 3 8" xfId="31764" xr:uid="{8D74E39C-E9F8-4494-970C-42D42ACBF958}"/>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4 3 5" xfId="31883" xr:uid="{5A636884-E186-43AF-848D-40533DDDB79C}"/>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5 5" xfId="31822" xr:uid="{BAE36E74-43C4-4028-BD44-347BA43D80DD}"/>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6 5" xfId="31942" xr:uid="{241402A0-EC53-4140-B3CB-5A2E0E265C3E}"/>
    <cellStyle name="Normal 5 2 2 4 7" xfId="30129" xr:uid="{2236E3FF-3A86-4CD1-98F1-1886F111A065}"/>
    <cellStyle name="Normal 5 2 2 4 7 2" xfId="30492" xr:uid="{45FC10F0-4741-45B2-BDBE-913619A599F3}"/>
    <cellStyle name="Normal 5 2 2 4 8" xfId="31763" xr:uid="{AA7EB73C-BBDE-4608-9B4C-41CDE22B31DF}"/>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992" xr:uid="{120DEC9F-9354-4688-A037-C84E42C97F21}"/>
    <cellStyle name="Normal 5 2 2 6" xfId="31499" xr:uid="{2BB411DD-5D15-4B7F-BAEC-F1A8EC41C4E3}"/>
    <cellStyle name="Normal 5 2 2 7" xfId="31741" xr:uid="{29AF3C1D-838A-492E-90FB-251697FC5BB9}"/>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3 3 5" xfId="31884" xr:uid="{F987242A-7FC3-4269-978F-5DE82990D9E8}"/>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5 5" xfId="31825" xr:uid="{FA92CFA6-C212-4156-99EE-6A03BE725958}"/>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6 5" xfId="31945" xr:uid="{10DE5A57-AF9B-426F-8DAA-58948AA20097}"/>
    <cellStyle name="Normal 5 2 4 3 2 3 7" xfId="30132" xr:uid="{83341974-E50B-44D0-9696-9A6A4FF79FC7}"/>
    <cellStyle name="Normal 5 2 4 3 2 3 7 2" xfId="30496" xr:uid="{62A7FCD7-3DD3-460C-A526-2E072EA83AC6}"/>
    <cellStyle name="Normal 5 2 4 3 2 3 8" xfId="31766" xr:uid="{85D1DC84-2E84-4DAD-9A80-773144FA5BF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3 5" xfId="32009" xr:uid="{A4A8B685-D2B9-4A9C-9FD7-90A499EB24BA}"/>
    <cellStyle name="Normal 5 2 4 3 2 4 3 4" xfId="30359" xr:uid="{BB7BBCD9-B969-4973-A8B6-6CB722F841E4}"/>
    <cellStyle name="Normal 5 2 4 3 2 4 3 4 2" xfId="31700" xr:uid="{F60ECDD6-7D39-47D2-80B0-FE4508F286D8}"/>
    <cellStyle name="Normal 5 2 4 3 2 4 3 5" xfId="31993" xr:uid="{44EF1CE0-41C2-405F-BA2E-FBB0AC73B3B5}"/>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5 5" xfId="31824" xr:uid="{A53769D7-EEF3-4E8F-8C88-562622BAD983}"/>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6 5" xfId="31944" xr:uid="{E00381A7-CF8F-4507-89A3-9D785BAE9134}"/>
    <cellStyle name="Normal 5 2 4 3 2 7" xfId="30131" xr:uid="{C81275DE-CA30-40D7-AD33-FAB62E0FACED}"/>
    <cellStyle name="Normal 5 2 4 3 2 7 2" xfId="30495" xr:uid="{8AAC8AE9-2926-47D6-87B5-9E837B1CDB4A}"/>
    <cellStyle name="Normal 5 2 4 3 2 8" xfId="31765" xr:uid="{5C4116CA-E0C6-4C1D-80BF-DAC6885F3B1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3 5" xfId="31885" xr:uid="{7507EE1C-BDCB-4744-ADE7-CAC7706233C1}"/>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4 5" xfId="31827" xr:uid="{4F60F246-F3AD-40E1-8F70-60FF2A30D287}"/>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5 5" xfId="31826" xr:uid="{32E8BD59-8262-43DD-B34C-28EC0BEFDACF}"/>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6 5" xfId="31946" xr:uid="{68EDFAD8-C96B-486B-8E30-969D04F2E6F6}"/>
    <cellStyle name="Normal 5 2 4 3 4 7" xfId="30133" xr:uid="{0FF9C2E0-D12A-4ABC-95BB-3755B3F83C84}"/>
    <cellStyle name="Normal 5 2 4 3 4 7 2" xfId="30497" xr:uid="{FC91A448-0B30-4A6D-BA82-B1E29BB27650}"/>
    <cellStyle name="Normal 5 2 4 3 4 8" xfId="31767" xr:uid="{F4BF3ECB-B673-4B2C-AC1B-3B48C6349E47}"/>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3 6" xfId="31886" xr:uid="{2F28F5E8-258E-478C-8BD3-1ED379DFE28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3 3 5" xfId="31887" xr:uid="{56119B9C-9AF5-4D49-928D-3177A4C0EEFB}"/>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5 5" xfId="31829" xr:uid="{64CA30EE-76C5-46A8-9618-CDFE91B3A122}"/>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6 5" xfId="31948" xr:uid="{D3BCC432-12BF-496A-92F6-084C1DDB2D60}"/>
    <cellStyle name="Normal 5 2 4 4 3 7" xfId="30135" xr:uid="{043D8D7C-0FB5-4B99-8C37-48CD2D0D46E8}"/>
    <cellStyle name="Normal 5 2 4 4 3 7 2" xfId="30499" xr:uid="{530030F0-59D0-4660-8567-AD5B7CB24B9B}"/>
    <cellStyle name="Normal 5 2 4 4 3 8" xfId="31769" xr:uid="{F5D64472-8EAE-483F-A781-BB3B5AF1E001}"/>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4 3 5" xfId="31888" xr:uid="{758C3C2E-DAD9-4A6D-BD67-598EA8A8BA3F}"/>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2 5" xfId="31986" xr:uid="{2C09AC3E-6949-405F-8308-BB0E9F0A6D8D}"/>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6 5" xfId="31828" xr:uid="{5AD8C2B0-DF03-4ECA-A5A4-2A4C3C4AF1D2}"/>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7 5" xfId="31947" xr:uid="{ECE19079-B873-4FBA-8B3F-B63A66B9D28F}"/>
    <cellStyle name="Normal 5 2 4 4 8" xfId="30134" xr:uid="{2E70D3D9-38AE-4F46-AE0C-D4B00782AB6B}"/>
    <cellStyle name="Normal 5 2 4 4 8 2" xfId="30498" xr:uid="{FF04236F-3AE0-4DDD-A3DA-183F84BE2F5D}"/>
    <cellStyle name="Normal 5 2 4 4 9" xfId="31768" xr:uid="{BA437488-0F82-4D3B-9F1C-1ECAB06CE8B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3 5" xfId="31889" xr:uid="{3CC5A012-FD9E-4C52-B3A6-39056DA0991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6 5" xfId="31802" xr:uid="{FACD236D-9B3C-4890-AFA9-563684DE12DB}"/>
    <cellStyle name="Normal 5 2 4 7" xfId="30113" xr:uid="{342BA205-8867-43D9-9B72-B399D3F5B164}"/>
    <cellStyle name="Normal 5 2 4 7 2" xfId="30473" xr:uid="{BD37669B-A0D9-4854-A41E-C8C8D8D8F3B6}"/>
    <cellStyle name="Normal 5 2 4 8" xfId="31746" xr:uid="{292E00EC-C766-4114-9DE1-CF0907AC02E3}"/>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3 3 5" xfId="31890" xr:uid="{916A65CD-70EB-43D7-9F02-B5C5CEE20509}"/>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5 5" xfId="31831" xr:uid="{1FCB7D3F-2561-44CB-A382-DCAF279AC409}"/>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6 5" xfId="31950" xr:uid="{8D59E135-AC2F-4C8D-95DF-E196267D41D7}"/>
    <cellStyle name="Normal 5 2 6 3 7" xfId="30137" xr:uid="{42B1072C-8B2A-4FA2-81EC-269C4E84A3A5}"/>
    <cellStyle name="Normal 5 2 6 3 7 2" xfId="30502" xr:uid="{54FBF52F-2716-45C2-84B6-D21E6196F530}"/>
    <cellStyle name="Normal 5 2 6 3 8" xfId="31771" xr:uid="{49C18D4C-1DD1-4E80-8DDA-1F158696D3FF}"/>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3 5" xfId="32010" xr:uid="{F29DABD2-FC4D-473E-BE41-07C25D0C2543}"/>
    <cellStyle name="Normal 5 2 6 4 2 4" xfId="30360" xr:uid="{704420A6-BB13-4C4A-98E2-F5E54ACD7C79}"/>
    <cellStyle name="Normal 5 2 6 4 2 4 2" xfId="31701" xr:uid="{BFDDA610-75E9-4FB0-AECA-C28A0E3EE21C}"/>
    <cellStyle name="Normal 5 2 6 4 2 5" xfId="31994" xr:uid="{3A9D60D4-64F0-4D74-B1FD-EBEE743E818A}"/>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5 5" xfId="31830" xr:uid="{EAEDF0E9-F29A-40F7-8554-5D892D346481}"/>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6 5" xfId="31949" xr:uid="{87933E47-02C1-4815-A61E-BE0C8E7500DF}"/>
    <cellStyle name="Normal 5 2 6 7" xfId="30136" xr:uid="{E209EADA-9019-48FA-A3B0-FD7DD812FC2D}"/>
    <cellStyle name="Normal 5 2 6 7 2" xfId="30501" xr:uid="{806443B8-0098-40D3-A0A9-566A12CC2022}"/>
    <cellStyle name="Normal 5 2 6 8" xfId="31770" xr:uid="{F4650598-2D11-4F90-9C18-87487BE0A704}"/>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4 5" xfId="31891" xr:uid="{129F469F-E454-4933-9412-0089E4D39FEB}"/>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5 5" xfId="31995" xr:uid="{F55F42EB-AD84-4B0C-8D75-6C8D9561F7F2}"/>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3 3 5" xfId="31892" xr:uid="{5969C7B7-F3B5-4254-A1EC-D0935ADF6B29}"/>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5 5" xfId="31833" xr:uid="{3D4DEA08-86D4-4B52-BF8A-847A4DD64EA9}"/>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6 5" xfId="31952" xr:uid="{D954C6A4-79C8-4082-86B4-7D22EF1E1CC0}"/>
    <cellStyle name="Normal 5 3 3 2 3 7" xfId="30139" xr:uid="{CEEC2368-E04C-4884-B7E9-1C0EF9192CCC}"/>
    <cellStyle name="Normal 5 3 3 2 3 7 2" xfId="30505" xr:uid="{40091B9F-9A6C-4CD3-B1C9-52952B51C499}"/>
    <cellStyle name="Normal 5 3 3 2 3 8" xfId="31773" xr:uid="{2B25191E-3569-4896-A99F-795C742D64A0}"/>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4 4 5" xfId="31893" xr:uid="{AD32732D-EA7E-4E42-981B-6AFA5D8F4DA4}"/>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5 5" xfId="31832" xr:uid="{2CCDF7F2-B581-4E91-87A6-32687C0B44DC}"/>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6 5" xfId="31951" xr:uid="{B77F9C38-F2D4-4E32-89DF-E504BF652154}"/>
    <cellStyle name="Normal 5 3 3 2 7" xfId="30138" xr:uid="{D531B8A8-AA54-477A-BB5E-9C4205A9F66B}"/>
    <cellStyle name="Normal 5 3 3 2 7 2" xfId="30504" xr:uid="{F0BFF427-E566-43AB-88DF-26A10FC54877}"/>
    <cellStyle name="Normal 5 3 3 2 8" xfId="31772" xr:uid="{CAB2CF16-192A-4599-B2D4-457049C4418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3 3 5" xfId="31894" xr:uid="{20BB71C6-3BBD-4DFF-81E5-88B3AF49701C}"/>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3 5" xfId="31895" xr:uid="{42548376-0F5B-4503-9132-1B2C4A09D1C9}"/>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4 5" xfId="31835" xr:uid="{F88B0801-A0D0-4052-BD35-EC66AD5F8D82}"/>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5 5" xfId="31834" xr:uid="{2F36F886-931E-43DB-818A-AF5796AAE542}"/>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6 5" xfId="31953" xr:uid="{7782B158-FDC8-477A-B562-08B9DA719FCC}"/>
    <cellStyle name="Normal 5 3 3 4 7" xfId="30140" xr:uid="{347E797A-C3DA-48FE-923F-48D6C2483068}"/>
    <cellStyle name="Normal 5 3 3 4 7 2" xfId="30506" xr:uid="{2B8EC82B-053E-4181-83D9-DD6F2D19A0F7}"/>
    <cellStyle name="Normal 5 3 3 4 8" xfId="31774" xr:uid="{3C357966-CF74-4701-9B29-FFAAB496DA32}"/>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3 6" xfId="31896" xr:uid="{53B2FB37-56CF-4F63-99AA-2BA801C7D5A3}"/>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3 6 3 5" xfId="31897" xr:uid="{37D0F6FF-D028-4AB8-BF77-2760405DC5CD}"/>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3 3 5" xfId="31898" xr:uid="{F0275AAD-8718-4F58-8AC2-9639D9C6482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5 5" xfId="31837" xr:uid="{6DD0B63B-BCBC-4E53-8390-DC94257EB32A}"/>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6 5" xfId="31955" xr:uid="{4DCCB906-EBF2-438B-9E5A-B1694AF0EF53}"/>
    <cellStyle name="Normal 5 3 4 3 7" xfId="30142" xr:uid="{8464588B-FBC9-4AEB-8137-4B7B64E1AFE0}"/>
    <cellStyle name="Normal 5 3 4 3 7 2" xfId="30508" xr:uid="{0455E1FF-3A8B-40C3-BF3A-C60A750C7BEF}"/>
    <cellStyle name="Normal 5 3 4 3 8" xfId="31776" xr:uid="{DA682CD3-43EC-4ABB-AA79-9FFA4EABEA26}"/>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4 3 5" xfId="31899" xr:uid="{00D3E093-4587-41F0-AB4B-EA0F1CD4B1EF}"/>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5 5" xfId="31836" xr:uid="{91DDD679-5478-43FA-B8FB-E6B70348975D}"/>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6 5" xfId="31954" xr:uid="{85883DA4-F313-4189-9E07-0B7A1C73CF9A}"/>
    <cellStyle name="Normal 5 3 4 7" xfId="30141" xr:uid="{C5086DE0-3D25-4310-955C-9881B5375DBB}"/>
    <cellStyle name="Normal 5 3 4 7 2" xfId="30507" xr:uid="{0691E9B7-B979-49A9-82BB-8C389DE41776}"/>
    <cellStyle name="Normal 5 3 4 8" xfId="31775" xr:uid="{715FFDD6-6568-430B-981E-3E9264DED39F}"/>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803" xr:uid="{316130DC-D2A6-4547-8B59-382E1EA1CF4F}"/>
    <cellStyle name="Normal 5 3 6" xfId="30114" xr:uid="{FF7EC34F-1D03-426F-944C-8DDEC9BD14BD}"/>
    <cellStyle name="Normal 5 3 6 2" xfId="30474" xr:uid="{C83318F6-E85A-4A71-88FC-A52912529995}"/>
    <cellStyle name="Normal 5 3 7" xfId="31747" xr:uid="{337C1941-D29F-4DFE-8FD7-B5C358B0C15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4 3 3 5" xfId="31900" xr:uid="{40F263E5-2734-4E01-AD2F-E4EBBFD5EC64}"/>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3 3 5" xfId="31901" xr:uid="{754658E2-73F9-40DD-B4CA-4C1722B5D59C}"/>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5 5" xfId="31839" xr:uid="{130F5C18-B1B8-4F58-8C05-BA4F984E60B2}"/>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6 5" xfId="31957" xr:uid="{7E2D0404-CD48-4B83-813F-1C109FF59CF1}"/>
    <cellStyle name="Normal 5 5 10 7" xfId="30144" xr:uid="{9EC4A54E-D459-477E-95C3-D8EED714DA54}"/>
    <cellStyle name="Normal 5 5 10 7 2" xfId="30510" xr:uid="{642D08F6-4146-4DCF-BE9E-E70107F064A1}"/>
    <cellStyle name="Normal 5 5 10 8" xfId="31778" xr:uid="{DE339D0D-60AE-4F49-9D53-282804968AB2}"/>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3 5" xfId="31929" xr:uid="{BD43FFDF-D321-49CF-8E57-FC0670884458}"/>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3 5" xfId="31902" xr:uid="{B49DDE4E-B474-4D82-8DE7-DE34D666ABD3}"/>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7 5" xfId="31849" xr:uid="{A34030C0-1ADE-4F6E-8588-709AA51B14BF}"/>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8 5" xfId="31966" xr:uid="{198FE584-0EBD-4846-9AFF-45C9E6F51FC7}"/>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3 6" xfId="31903" xr:uid="{7E62AF28-5138-45A1-B504-E13586E5ACC7}"/>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7 6" xfId="31838" xr:uid="{6A51634D-127A-4B22-AE22-86669FF3445A}"/>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956" xr:uid="{6F225451-E1BB-4748-84E3-8090BB6BD0E2}"/>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23 2" xfId="32019" xr:uid="{81E550AD-9039-41F4-A2D5-02CB7EC9C075}"/>
    <cellStyle name="Normal 5 5 24" xfId="31777" xr:uid="{063500B0-5BCF-4689-9FF8-33FD7D7871A1}"/>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5 7" xfId="31904" xr:uid="{03741BC8-310A-4A53-AF2C-7496C15FEEE9}"/>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6 5" xfId="31840" xr:uid="{02E3CA20-CDCC-4EF9-A465-3AFA4DE6B0FA}"/>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7 7" xfId="31958" xr:uid="{26829776-719A-46BD-A258-5673071C5FD9}"/>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996" xr:uid="{63D7B69F-D531-4296-933F-895FCFAC05FA}"/>
    <cellStyle name="Normal 5 7" xfId="30110" xr:uid="{B86EA2F7-3D8C-4453-9463-4535C564224A}"/>
    <cellStyle name="Normal 5 7 2" xfId="31496" xr:uid="{388D835E-8A46-47C8-B36E-97EC381E07D9}"/>
    <cellStyle name="Normal 5 8" xfId="31738" xr:uid="{2A11AEFC-1C32-45CA-8BBE-59875947677C}"/>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2 3 5" xfId="31905" xr:uid="{B4F14851-42A4-42D8-AD46-176C1F10B645}"/>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3 3 5" xfId="31906" xr:uid="{4DC8D91C-F9C0-4E7B-A88F-826CB688E59F}"/>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5 5" xfId="31842" xr:uid="{D0802F31-2ACA-4BC1-B9A9-A45C60546CFF}"/>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6 5" xfId="31960" xr:uid="{2E1EAF87-55A0-4572-8E1C-BFD5E308123D}"/>
    <cellStyle name="Normal 6 3 3 3 2 3 7" xfId="30146" xr:uid="{DC11676B-B130-4A24-B13D-A1AF24211213}"/>
    <cellStyle name="Normal 6 3 3 3 2 3 7 2" xfId="30513" xr:uid="{2A90FA8B-F176-40AB-B942-C645A0B2AC10}"/>
    <cellStyle name="Normal 6 3 3 3 2 3 8" xfId="31780" xr:uid="{AC73DE27-1D15-4E8C-90EF-DCE8A505F7A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3 5" xfId="32011" xr:uid="{06FC7E84-62B2-4631-875C-E016AFD26780}"/>
    <cellStyle name="Normal 6 3 3 3 2 4 3 4" xfId="30363" xr:uid="{3A82768C-6B5D-4D32-86C4-08DE35B49E64}"/>
    <cellStyle name="Normal 6 3 3 3 2 4 3 4 2" xfId="31703" xr:uid="{7FCFC7B6-2244-4C07-99E2-5744C78CE1C6}"/>
    <cellStyle name="Normal 6 3 3 3 2 4 3 5" xfId="31997" xr:uid="{6BCD8F41-81B7-4A64-B6D4-6AE476FDC704}"/>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5 5" xfId="31841" xr:uid="{16E90C34-F0D9-4A4C-8F6D-4B650C3B357C}"/>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6 5" xfId="31959" xr:uid="{AFB3293D-1D1B-4E4B-BCC4-9F86F25FDAD0}"/>
    <cellStyle name="Normal 6 3 3 3 2 7" xfId="30145" xr:uid="{80BE168A-ACEA-40EE-BC12-1FF256FF1F93}"/>
    <cellStyle name="Normal 6 3 3 3 2 7 2" xfId="30512" xr:uid="{1E65CB5E-5F31-4857-9CD1-EB4B121E79A0}"/>
    <cellStyle name="Normal 6 3 3 3 2 8" xfId="31779" xr:uid="{4C8A44DD-8075-43F2-9BD9-C440A97796EC}"/>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3 5" xfId="31907" xr:uid="{64AE5BE2-C6F0-4593-AF10-CB08CD91C41C}"/>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4 5" xfId="31844" xr:uid="{FF44EAE1-CC4B-400F-A821-0D0892824B90}"/>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5 5" xfId="31843" xr:uid="{D1D22720-42CB-4E40-B482-92A31F5815B3}"/>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6 5" xfId="31961" xr:uid="{51857C86-AF84-4E98-9557-4094E2346B70}"/>
    <cellStyle name="Normal 6 3 3 3 4 7" xfId="30147" xr:uid="{C2411ACB-20F6-4EE0-8B84-B62097023916}"/>
    <cellStyle name="Normal 6 3 3 3 4 7 2" xfId="30514" xr:uid="{BAFE7101-FEEB-42B9-BA1E-81777797EAA5}"/>
    <cellStyle name="Normal 6 3 3 3 4 8" xfId="31781" xr:uid="{2E1ED63D-1216-41C8-809E-8C7973656B24}"/>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3 6" xfId="31908" xr:uid="{69BC04FC-FEA8-4E45-8752-A42C8361048B}"/>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3 3 5" xfId="31909" xr:uid="{66977EE9-6F4B-4C05-9F60-D1EDCBE9CD5E}"/>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5 5" xfId="31846" xr:uid="{2D22FBDD-9B81-407A-A5DF-3CE283B1CAA8}"/>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6 5" xfId="31963" xr:uid="{674A6D6C-A61D-4C55-B6BD-FC47C98FA7B6}"/>
    <cellStyle name="Normal 6 3 3 4 3 7" xfId="30149" xr:uid="{5DD134DE-7771-4AC1-A6C7-CAB182204804}"/>
    <cellStyle name="Normal 6 3 3 4 3 7 2" xfId="30516" xr:uid="{F5396644-8DAF-4937-A4F1-2401EBC3517A}"/>
    <cellStyle name="Normal 6 3 3 4 3 8" xfId="31783" xr:uid="{12048E24-3C43-4435-BE8C-D5069E93FC2F}"/>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4 3 5" xfId="31910" xr:uid="{951405C8-B7DD-4C08-BFB4-871217ABAC05}"/>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5 5" xfId="31845" xr:uid="{DB32A3B8-5C37-4356-AA3C-90F98EB93FA0}"/>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6 5" xfId="31962" xr:uid="{DC78F7B7-6B26-4AC5-984F-17C8FD986577}"/>
    <cellStyle name="Normal 6 3 3 4 7" xfId="30148" xr:uid="{838F89EF-1D7F-4065-8D4C-3A4DAF9BF3DA}"/>
    <cellStyle name="Normal 6 3 3 4 7 2" xfId="30515" xr:uid="{05F24ADF-AA50-4531-B604-5CFE29E6FEC6}"/>
    <cellStyle name="Normal 6 3 3 4 8" xfId="31782" xr:uid="{FEEE74F3-2B84-4E8F-BAB1-8AF14D10129F}"/>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804" xr:uid="{B3748554-0B6A-4B8F-9DBC-D73F2A66DFC1}"/>
    <cellStyle name="Normal 6 3 3 6" xfId="30102" xr:uid="{39D311B1-3F99-4637-B6B6-3945F5B433CC}"/>
    <cellStyle name="Normal 6 3 3 6 2" xfId="30475" xr:uid="{F1B2B02C-F2EA-473E-AE49-8B217EFDE528}"/>
    <cellStyle name="Normal 6 3 3 7" xfId="31748" xr:uid="{4A82FE77-F13D-47E1-8718-69A66B938AB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3 3 5" xfId="31911" xr:uid="{ED0A0047-CDC3-4569-847C-302E6CE1CE6E}"/>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5 5" xfId="31848" xr:uid="{BB170375-6210-4D6C-9888-71D334730DE6}"/>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6 5" xfId="31965" xr:uid="{0080A4F2-C314-4612-BF76-5FBC385C3736}"/>
    <cellStyle name="Normal 6 3 4 3 7" xfId="30151" xr:uid="{7EB70341-ADA0-4143-B80B-2417C60D5EFB}"/>
    <cellStyle name="Normal 6 3 4 3 7 2" xfId="30519" xr:uid="{35C90F93-35F2-4DF2-AF1A-E04B1075095B}"/>
    <cellStyle name="Normal 6 3 4 3 8" xfId="31785" xr:uid="{01430505-97F4-473B-8E56-9B7CA08BF22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3 5" xfId="32012" xr:uid="{2A5DE39B-10E2-4CDF-9538-29E120C87514}"/>
    <cellStyle name="Normal 6 3 4 4 2 4" xfId="30364" xr:uid="{ED8C1BC9-242E-4E34-A350-F2FCEF2ABD52}"/>
    <cellStyle name="Normal 6 3 4 4 2 4 2" xfId="31704" xr:uid="{1508FF5D-6EE9-4924-B426-3723E8CF7E8F}"/>
    <cellStyle name="Normal 6 3 4 4 2 5" xfId="31998" xr:uid="{D2580A4E-D5D9-4858-8863-0FBC62EB80D7}"/>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5 5" xfId="31847" xr:uid="{6C5AA0DD-3468-4F0D-B57F-4A9120AFE14F}"/>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6 5" xfId="31964" xr:uid="{F27C1DC0-90DF-4120-8952-65B84C1CBB5C}"/>
    <cellStyle name="Normal 6 3 4 7" xfId="30150" xr:uid="{230E3327-1DCE-4021-B3F8-983D1A5A137A}"/>
    <cellStyle name="Normal 6 3 4 7 2" xfId="30518" xr:uid="{E88A4B4D-5E2F-4EF4-8F91-154A61DEACCE}"/>
    <cellStyle name="Normal 6 3 4 8" xfId="31784" xr:uid="{6D7E8ABB-FD7C-401F-A318-46987B373574}"/>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999" xr:uid="{E0EBF805-1D6B-4701-B2D1-326C63ED6BE7}"/>
    <cellStyle name="Normal 6 3 6" xfId="31500" xr:uid="{DD156CEF-7EAB-43B9-BB83-25E20C183EA0}"/>
    <cellStyle name="Normal 6 3 7" xfId="31742" xr:uid="{B400B9E4-1355-4386-B647-8830266281C1}"/>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3 3 5" xfId="31912" xr:uid="{FA306F00-B841-4355-A066-EC66918A692E}"/>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5 5" xfId="31851" xr:uid="{67AA7A16-6D9A-4F6F-8C69-9779C128EF35}"/>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6 5" xfId="31968" xr:uid="{C3B81571-3093-4248-9DDA-B5D3C700E5CD}"/>
    <cellStyle name="Normal 6 5 3 2 3 7" xfId="30153" xr:uid="{49112585-27FD-43F2-BF44-AC831E47158C}"/>
    <cellStyle name="Normal 6 5 3 2 3 7 2" xfId="30522" xr:uid="{97E9803D-6432-444E-A890-68A0602A16F1}"/>
    <cellStyle name="Normal 6 5 3 2 3 8" xfId="31787" xr:uid="{92E4056A-0E55-450E-8180-8D324919DF75}"/>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3 5" xfId="32013" xr:uid="{ED42548C-FFC3-4356-B950-BF13D0FA1BF0}"/>
    <cellStyle name="Normal 6 5 3 2 4 3 4" xfId="30366" xr:uid="{ECE487CF-3F45-4A59-B530-7A43F95E48BF}"/>
    <cellStyle name="Normal 6 5 3 2 4 3 4 2" xfId="31705" xr:uid="{08509A36-70E6-4EBD-A46D-BFCD7652D951}"/>
    <cellStyle name="Normal 6 5 3 2 4 3 5" xfId="32000" xr:uid="{524D9E0C-D4F0-412A-85C7-DB233C7F4163}"/>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5 5" xfId="31850" xr:uid="{C249B8BB-7FA6-449E-90CB-9850ACEA77F4}"/>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6 5" xfId="31967" xr:uid="{3399695D-436F-4CC2-AF84-C02327CC6E8C}"/>
    <cellStyle name="Normal 6 5 3 2 7" xfId="30152" xr:uid="{940D94C0-6359-4490-BCCE-8FEBED747550}"/>
    <cellStyle name="Normal 6 5 3 2 7 2" xfId="30521" xr:uid="{AC08ED16-3FFE-4CEE-BEF0-0022C74CD6F4}"/>
    <cellStyle name="Normal 6 5 3 2 8" xfId="31786" xr:uid="{52842E78-08C4-4D93-B418-278B236D7F7D}"/>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3 5" xfId="31913" xr:uid="{A7805F84-0B74-416D-ADFD-01F71EC45096}"/>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4 5" xfId="31853" xr:uid="{37184B02-C537-4F3D-B29D-AC1AF1DF004A}"/>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5 5" xfId="31852" xr:uid="{69C82089-5492-414A-9DDA-ADF45843FE6D}"/>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6 5" xfId="31969" xr:uid="{37B21FB9-1290-4412-A9CE-92BD2AAF5C40}"/>
    <cellStyle name="Normal 6 5 3 4 7" xfId="30154" xr:uid="{B6B1B1A2-B731-440F-A283-79585C0A73B2}"/>
    <cellStyle name="Normal 6 5 3 4 7 2" xfId="30523" xr:uid="{8E1F6B5E-F917-4E06-A35E-B3F4B762C63D}"/>
    <cellStyle name="Normal 6 5 3 4 8" xfId="31788" xr:uid="{C0022AF3-683F-4822-9FDE-2D4825BB3CEB}"/>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3 6" xfId="31914" xr:uid="{9D47DEBD-EEFE-4E64-8C27-EA9C22AC519C}"/>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3 3 5" xfId="31915" xr:uid="{823605E1-DB5C-4F59-9EE6-AE17B1CDA6F4}"/>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5 5" xfId="31855" xr:uid="{4429D6D9-8CFE-407C-B71F-35EA55399D04}"/>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6 5" xfId="31971" xr:uid="{F0527D1F-273E-49D2-A24A-A75265A92AFF}"/>
    <cellStyle name="Normal 6 5 4 3 7" xfId="30156" xr:uid="{E689BF94-8089-4EDB-8A90-EC9DD05FAEB6}"/>
    <cellStyle name="Normal 6 5 4 3 7 2" xfId="30525" xr:uid="{EFBA4820-C840-4148-BF88-6BDF2F0347D9}"/>
    <cellStyle name="Normal 6 5 4 3 8" xfId="31790" xr:uid="{A00B5BF0-4630-4B27-BCA7-9409C3E3A23A}"/>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4 3 5" xfId="31916" xr:uid="{7A555C8D-B18E-4F02-8331-898A76BDA649}"/>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5 5" xfId="31854" xr:uid="{D28721DE-819F-43F9-A414-2BEC67C0122E}"/>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6 5" xfId="31970" xr:uid="{433CF912-D1A6-4A9F-8959-3B581688C430}"/>
    <cellStyle name="Normal 6 5 4 7" xfId="30155" xr:uid="{2552D7E3-E9B3-4241-AB50-FAF890DD8E42}"/>
    <cellStyle name="Normal 6 5 4 7 2" xfId="30524" xr:uid="{4C0D5AE6-EFC9-4BFA-B323-123CB782B2A7}"/>
    <cellStyle name="Normal 6 5 4 8" xfId="31789" xr:uid="{33361614-3A2D-4D7D-BAA2-A1E6B612CF9C}"/>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805" xr:uid="{C050C015-E250-4559-AD66-78B8986C407A}"/>
    <cellStyle name="Normal 6 5 6" xfId="30115" xr:uid="{8D7A58C9-2680-41F9-B10A-5FB6EB00FD95}"/>
    <cellStyle name="Normal 6 5 6 2" xfId="30476" xr:uid="{6AC3E222-93E2-4ED5-A04F-8AD2183A95F8}"/>
    <cellStyle name="Normal 6 5 7" xfId="31749" xr:uid="{CB59BB16-5F38-4712-9C3A-9A00767CB6AD}"/>
    <cellStyle name="Normal 6 6" xfId="1313" xr:uid="{00000000-0005-0000-0000-0000F2060000}"/>
    <cellStyle name="Normal 6 6 10" xfId="30157" xr:uid="{52A1F13F-0078-432B-BBAA-5F6768E9F38E}"/>
    <cellStyle name="Normal 6 6 10 2" xfId="31504" xr:uid="{05AC218F-FBCD-4605-9DE7-01587C8CA6CF}"/>
    <cellStyle name="Normal 6 6 11" xfId="31791" xr:uid="{74FF6331-4671-4D2A-B271-7069687F8CA4}"/>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4 6" xfId="31857" xr:uid="{28903465-60C5-4A10-A8E8-F00A275D3F5A}"/>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3 4 3 5" xfId="31917" xr:uid="{3F146B55-5D43-4400-8F65-8489273F94A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3 3 5" xfId="31918" xr:uid="{960E59B8-C2E3-483C-ADDB-D1989A9218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5 5" xfId="31858" xr:uid="{173280EF-6653-42CB-8434-355231052529}"/>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6 5" xfId="31973" xr:uid="{342A6E5E-5D39-46FA-9E49-D50F18241D08}"/>
    <cellStyle name="Normal 6 6 4 7" xfId="30158" xr:uid="{5E7B4808-922D-4165-8936-0598A0A6DAFF}"/>
    <cellStyle name="Normal 6 6 4 7 2" xfId="30527" xr:uid="{D1390093-1061-4654-B29D-280509906CE5}"/>
    <cellStyle name="Normal 6 6 4 8" xfId="31792" xr:uid="{8DEA34C9-654F-4005-85CB-82FA7DFB21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2 5" xfId="31984" xr:uid="{AF73F513-87D6-47D6-9646-C04065186AB3}"/>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4 5" xfId="31868" xr:uid="{03485721-D522-4C8E-B1BE-9731A263D2A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5 5" xfId="31982" xr:uid="{6B670D1B-72F8-476C-9820-687259F35253}"/>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3 5" xfId="31919" xr:uid="{16F026D2-0DB1-46A8-8FFA-BC5B09FC2223}"/>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8 5" xfId="31856" xr:uid="{7366CA6F-6EE2-4AEC-9452-BA6A62DD4FB2}"/>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6 9 5" xfId="31972" xr:uid="{10DB9F5C-EF7E-4FBA-9689-529FC0D984FB}"/>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3 5" xfId="32014" xr:uid="{E5B9F66D-6161-48B2-803E-6760CD70079F}"/>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2001" xr:uid="{21442EBC-428C-40AE-9CDB-EDF03BE8B984}"/>
    <cellStyle name="Normal 6 8" xfId="31497" xr:uid="{87BFBF72-39C8-449B-BCD7-58E40C532503}"/>
    <cellStyle name="Normal 6 9" xfId="31739" xr:uid="{76EECAB5-253D-4568-A8DF-AA4469B54760}"/>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2015" xr:uid="{46B3987C-F377-4BA8-88FD-DD093606B7D0}"/>
    <cellStyle name="Normal 7 14 3 7" xfId="29635" xr:uid="{34C97F94-45C7-4B15-9ED5-2C3B425DF668}"/>
    <cellStyle name="Normal 7 14 3 8" xfId="30368" xr:uid="{41672123-6C8D-4359-9C8E-48BF387564A2}"/>
    <cellStyle name="Normal 7 14 3 8 2" xfId="31707" xr:uid="{E814CD8D-8D5B-49AD-88A8-8E69D7486D14}"/>
    <cellStyle name="Normal 7 14 3 9" xfId="32002" xr:uid="{BCC042FB-75E0-4775-91B4-89B2F3EE376D}"/>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22 2" xfId="32018" xr:uid="{50E47BEF-A468-48F5-A420-3B199B9330CE}"/>
    <cellStyle name="Normal 7 23" xfId="31743" xr:uid="{CEF6573A-53EC-4ADF-A172-4A2371A008E9}"/>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3 3 5" xfId="31920" xr:uid="{55361E46-5E85-436F-A87E-13321082FEED}"/>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5 5" xfId="31860" xr:uid="{9CBCCE02-47FB-4AF6-ADDB-B464771E04F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6 5" xfId="31975" xr:uid="{97F602CD-4D32-4105-B0B3-757FFCD6EBFE}"/>
    <cellStyle name="Normal 7 3 3 2 3 7" xfId="30160" xr:uid="{780A71C4-DEF8-4E6E-ACC0-3655804A98B1}"/>
    <cellStyle name="Normal 7 3 3 2 3 7 2" xfId="30530" xr:uid="{0EEE45BB-0632-4849-9B3D-03E60AC02070}"/>
    <cellStyle name="Normal 7 3 3 2 3 8" xfId="31794" xr:uid="{C144B9C8-39BD-4E83-B5B7-593FF45276F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3 5" xfId="32016" xr:uid="{BAA84678-B9E5-44F0-AACB-BC984A455A5A}"/>
    <cellStyle name="Normal 7 3 3 2 4 3 4" xfId="30369" xr:uid="{51F68BB7-1CBC-471B-8C45-133EBC2770D2}"/>
    <cellStyle name="Normal 7 3 3 2 4 3 4 2" xfId="31708" xr:uid="{9A461396-9683-439E-A844-9F185B081F12}"/>
    <cellStyle name="Normal 7 3 3 2 4 3 5" xfId="32003" xr:uid="{8F72FC01-163A-4051-8EAF-8C05A91C2A2C}"/>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5 5" xfId="31859" xr:uid="{8A5C62B8-D4CC-4179-ADE7-B7BC4D8AF4B6}"/>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6 5" xfId="31974" xr:uid="{5153D389-8175-4598-B8CE-6C4EAFCC97B3}"/>
    <cellStyle name="Normal 7 3 3 2 7" xfId="30159" xr:uid="{FA8D9B86-1118-4618-BB6D-43B775B037D2}"/>
    <cellStyle name="Normal 7 3 3 2 7 2" xfId="30529" xr:uid="{5EDFF2C5-0B36-4BC0-9185-4FF885E1700E}"/>
    <cellStyle name="Normal 7 3 3 2 8" xfId="31793" xr:uid="{32B13723-F3E1-4DA7-85FD-F0F88921FADD}"/>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3 5" xfId="31921" xr:uid="{63301C97-B84A-4E7A-8688-742EB75815D0}"/>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4 5" xfId="31862" xr:uid="{2EC07911-05C0-4CAF-B202-5092EDBBF497}"/>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5 5" xfId="31861" xr:uid="{E88DA9FC-87BB-4143-BC53-9B2399968B3D}"/>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6 5" xfId="31976" xr:uid="{7977BF5F-CF9F-4A6A-8CB8-A7B643E6B27E}"/>
    <cellStyle name="Normal 7 3 3 4 7" xfId="30161" xr:uid="{52394549-E29E-4278-9C6A-6C4AFCC85D43}"/>
    <cellStyle name="Normal 7 3 3 4 7 2" xfId="30531" xr:uid="{79991904-AF5C-4236-8DCF-6C2BEDC43AA3}"/>
    <cellStyle name="Normal 7 3 3 4 8" xfId="31795" xr:uid="{47E5FB9E-D623-43B4-A4AD-A3D134ACD5E5}"/>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3 6" xfId="31922" xr:uid="{2C59FDC7-DB25-4F03-A12F-8B0B7DE4C225}"/>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3 3 5" xfId="31923" xr:uid="{38023B3C-A0A5-4432-BF8A-CF008C9C4100}"/>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5 5" xfId="31864" xr:uid="{4DC4F957-CC23-4812-BAE0-B7E016475ED7}"/>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6 5" xfId="31978" xr:uid="{9306CA6F-2E9E-481C-8EF0-FBCD946739C3}"/>
    <cellStyle name="Normal 7 3 4 3 7" xfId="30163" xr:uid="{8FB8729F-E256-4613-98CA-4EC4024F1636}"/>
    <cellStyle name="Normal 7 3 4 3 7 2" xfId="30533" xr:uid="{D8F8BCBD-9FA9-4694-BE0E-FA68B6A82F77}"/>
    <cellStyle name="Normal 7 3 4 3 8" xfId="31797" xr:uid="{631BC5F8-D753-4365-B5B2-C7BF0ADA58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4 3 5" xfId="31924" xr:uid="{D7B6178E-619E-46EE-BDC2-A00B64BB6FB3}"/>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5 5" xfId="31863" xr:uid="{0473FE3B-B9AA-47DE-9BC9-F8D6FA07832C}"/>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6 5" xfId="31977" xr:uid="{36928D29-A131-4FEB-82EE-02A909264579}"/>
    <cellStyle name="Normal 7 3 4 7" xfId="30162" xr:uid="{547D83AB-00BA-499B-81A0-779EECACE4D6}"/>
    <cellStyle name="Normal 7 3 4 7 2" xfId="30532" xr:uid="{C34CEC2F-9910-42A5-A6D6-E9823FE39A10}"/>
    <cellStyle name="Normal 7 3 4 8" xfId="31796" xr:uid="{51DAE4A7-2976-4A42-88D1-2A39C979678A}"/>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6" xr:uid="{11E33760-64EC-4568-9ABC-E16EE221B5DD}"/>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50" xr:uid="{6F01602F-B9A8-4E34-928B-8B7B3FDA5091}"/>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3 3 5" xfId="31925" xr:uid="{5B5EBB68-0A11-442D-823C-B46CE6330393}"/>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5 5" xfId="31866" xr:uid="{3F49E6C2-1A90-4871-B579-033A0A0310AD}"/>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6 5" xfId="31980" xr:uid="{152DA5AE-C37F-47BF-B925-52D2A4AEDE56}"/>
    <cellStyle name="Normal 7 6 10 7" xfId="30165" xr:uid="{12C3815A-038F-484F-AD47-98D3CF0EAE5F}"/>
    <cellStyle name="Normal 7 6 10 7 2" xfId="30535" xr:uid="{0238211A-81EA-4FE4-8F6A-61EEA3D894FA}"/>
    <cellStyle name="Normal 7 6 10 8" xfId="31799" xr:uid="{8A9FC99B-6DCD-4262-BCF2-EB79CEDF568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2 5" xfId="31985" xr:uid="{762A2D3A-6FC8-40AA-B98E-AB71505F9243}"/>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5 5" xfId="31869" xr:uid="{A8422BAC-31C8-453B-B096-90DBB72464BC}"/>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6 5" xfId="31983" xr:uid="{3942AF52-D4AD-45BF-A526-185D948791E2}"/>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3 6" xfId="31926" xr:uid="{2FE623C4-5C9B-4719-9236-574D991686ED}"/>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7 6" xfId="31865" xr:uid="{E55F823F-4A15-4C26-9344-B1D432761C2B}"/>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979" xr:uid="{CE2C3E01-1D6B-4F77-AD4A-A2B7FE05F7FC}"/>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23 2" xfId="32020" xr:uid="{973872C4-0B51-4EC1-9087-44540FD2E4EB}"/>
    <cellStyle name="Normal 7 6 24" xfId="31798" xr:uid="{141CC0B2-AEC2-469D-8BE9-D5FE5F93FB89}"/>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5 7" xfId="31927" xr:uid="{0B7A38A3-D1DF-48EC-A2E6-D9E92519B97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6 5" xfId="31867" xr:uid="{ACF92A0E-985B-41DD-BC15-4DDAD94F98B9}"/>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7 7" xfId="31981" xr:uid="{8F3A3EFA-40F6-4219-A5AF-EC49E0730250}"/>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2 4 5" xfId="31928" xr:uid="{94C5323D-F7B6-4ECB-AD1E-3416C18ADF9C}"/>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4 5" xfId="31807" xr:uid="{64E24786-A0BE-4408-97F4-A4E6CCF6094A}"/>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1">
    <dxf>
      <fill>
        <patternFill>
          <bgColor rgb="FFFFFFCC"/>
        </patternFill>
      </fill>
    </dxf>
    <dxf>
      <font>
        <b/>
        <i val="0"/>
        <color rgb="FFFF0000"/>
      </font>
      <fill>
        <patternFill>
          <bgColor rgb="FFFFC7CE"/>
        </patternFill>
      </fill>
    </dxf>
    <dxf>
      <font>
        <color rgb="FFFF0000"/>
      </font>
      <fill>
        <patternFill>
          <bgColor rgb="FFFFFFCC"/>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ill>
        <patternFill>
          <bgColor theme="5" tint="0.79998168889431442"/>
        </patternFill>
      </fill>
    </dxf>
    <dxf>
      <font>
        <b/>
        <i val="0"/>
      </font>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1" formatCode=";;;"/>
    </dxf>
    <dxf>
      <numFmt numFmtId="191" formatCode=";;;"/>
    </dxf>
    <dxf>
      <numFmt numFmtId="191" formatCode=";;;"/>
    </dxf>
    <dxf>
      <numFmt numFmtId="191" formatCode=";;;"/>
    </dxf>
    <dxf>
      <numFmt numFmtId="19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0"/>
      <tableStyleElement type="headerRow" dxfId="119"/>
      <tableStyleElement type="firstRowStripe" dxfId="118"/>
    </tableStyle>
  </tableStyles>
  <colors>
    <mruColors>
      <color rgb="FFFFFFCC"/>
      <color rgb="FFFFC7CE"/>
      <color rgb="FFFFC4FF"/>
      <color rgb="FF0315BD"/>
      <color rgb="FFFFFFFF"/>
      <color rgb="FFCCFF66"/>
      <color rgb="FF99FF66"/>
      <color rgb="FFFDC7D6"/>
      <color rgb="FFFEE2EA"/>
      <color rgb="FFFDD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9.7797185706470544E-2"/>
          <c:y val="0.15667699698037926"/>
          <c:w val="0.87753647349015773"/>
          <c:h val="0.70688706795084866"/>
        </c:manualLayout>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948-4790-A7B9-1F8BA545F0C2}"/>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948-4790-A7B9-1F8BA545F0C2}"/>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948-4790-A7B9-1F8BA545F0C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Print'!$L$11:$N$11</c:f>
              <c:numCache>
                <c:formatCode>0.00%</c:formatCode>
                <c:ptCount val="3"/>
                <c:pt idx="0">
                  <c:v>#N/A</c:v>
                </c:pt>
                <c:pt idx="1">
                  <c:v>#N/A</c:v>
                </c:pt>
                <c:pt idx="2">
                  <c:v>0</c:v>
                </c:pt>
              </c:numCache>
            </c:numRef>
          </c:val>
          <c:extLst>
            <c:ext xmlns:c16="http://schemas.microsoft.com/office/drawing/2014/chart" uri="{C3380CC4-5D6E-409C-BE32-E72D297353CC}">
              <c16:uniqueId val="{00000000-A409-43D6-8C66-73522177D1BF}"/>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20-4E4A-9E55-9678AD123E46}"/>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20-4E4A-9E55-9678AD123E46}"/>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820-4E4A-9E55-9678AD123E4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Print'!$L$16:$N$16</c:f>
              <c:numCache>
                <c:formatCode>0.00</c:formatCode>
                <c:ptCount val="3"/>
                <c:pt idx="0">
                  <c:v>#N/A</c:v>
                </c:pt>
                <c:pt idx="1">
                  <c:v>#N/A</c:v>
                </c:pt>
                <c:pt idx="2">
                  <c:v>0</c:v>
                </c:pt>
              </c:numCache>
            </c:numRef>
          </c:val>
          <c:extLst>
            <c:ext xmlns:c16="http://schemas.microsoft.com/office/drawing/2014/chart" uri="{C3380CC4-5D6E-409C-BE32-E72D297353CC}">
              <c16:uniqueId val="{00000000-1CDB-4C76-BFFC-D1B465011A83}"/>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95-4FC6-84A4-7A5F1ECAFFDB}"/>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95-4FC6-84A4-7A5F1ECAFFDB}"/>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95-4FC6-84A4-7A5F1ECAFFD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Print'!$L$25:$N$25</c:f>
              <c:numCache>
                <c:formatCode>0.00</c:formatCode>
                <c:ptCount val="3"/>
                <c:pt idx="0">
                  <c:v>#N/A</c:v>
                </c:pt>
                <c:pt idx="1">
                  <c:v>#N/A</c:v>
                </c:pt>
                <c:pt idx="2">
                  <c:v>0</c:v>
                </c:pt>
              </c:numCache>
            </c:numRef>
          </c:val>
          <c:extLst>
            <c:ext xmlns:c16="http://schemas.microsoft.com/office/drawing/2014/chart" uri="{C3380CC4-5D6E-409C-BE32-E72D297353CC}">
              <c16:uniqueId val="{00000000-3BE2-4478-82F0-97834E674CDE}"/>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206828</xdr:colOff>
      <xdr:row>10</xdr:row>
      <xdr:rowOff>190500</xdr:rowOff>
    </xdr:from>
    <xdr:to>
      <xdr:col>4</xdr:col>
      <xdr:colOff>849086</xdr:colOff>
      <xdr:row>10</xdr:row>
      <xdr:rowOff>2906486</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195942</xdr:colOff>
      <xdr:row>15</xdr:row>
      <xdr:rowOff>68036</xdr:rowOff>
    </xdr:from>
    <xdr:to>
      <xdr:col>4</xdr:col>
      <xdr:colOff>859972</xdr:colOff>
      <xdr:row>15</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24</xdr:row>
      <xdr:rowOff>81643</xdr:rowOff>
    </xdr:from>
    <xdr:to>
      <xdr:col>4</xdr:col>
      <xdr:colOff>838201</xdr:colOff>
      <xdr:row>24</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6</xdr:col>
          <xdr:colOff>822960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4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61"/>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16.44140625" style="180" customWidth="1"/>
    <col min="7" max="16384" width="9.109375" style="180"/>
  </cols>
  <sheetData>
    <row r="1" spans="2:14" ht="9.6" customHeight="1" thickBot="1" x14ac:dyDescent="0.35">
      <c r="B1" s="162"/>
    </row>
    <row r="2" spans="2:14" ht="91.95" customHeight="1" thickBot="1" x14ac:dyDescent="0.35">
      <c r="B2" s="534" t="s">
        <v>2656</v>
      </c>
      <c r="E2"/>
    </row>
    <row r="3" spans="2:14" ht="76.2" customHeight="1" thickBot="1" x14ac:dyDescent="0.35">
      <c r="B3" s="990" t="s">
        <v>1983</v>
      </c>
      <c r="C3" s="173"/>
      <c r="D3" s="173"/>
      <c r="E3"/>
      <c r="F3"/>
    </row>
    <row r="4" spans="2:14" ht="58.95" customHeight="1" thickBot="1" x14ac:dyDescent="0.35">
      <c r="B4" s="990" t="s">
        <v>1984</v>
      </c>
      <c r="C4" s="173"/>
      <c r="D4" s="173"/>
    </row>
    <row r="5" spans="2:14" ht="61.2" customHeight="1" x14ac:dyDescent="0.3">
      <c r="B5" s="173" t="s">
        <v>1947</v>
      </c>
    </row>
    <row r="6" spans="2:14" ht="83.4" customHeight="1" x14ac:dyDescent="0.4">
      <c r="B6" s="173" t="s">
        <v>879</v>
      </c>
      <c r="F6" s="535"/>
      <c r="G6" s="535"/>
      <c r="H6" s="535"/>
      <c r="I6" s="535"/>
      <c r="J6" s="535"/>
      <c r="K6" s="535"/>
      <c r="L6" s="535"/>
      <c r="M6" s="535"/>
      <c r="N6" s="535"/>
    </row>
    <row r="7" spans="2:14" ht="58.2" customHeight="1" x14ac:dyDescent="0.3">
      <c r="B7" s="173" t="s">
        <v>880</v>
      </c>
    </row>
    <row r="8" spans="2:14" ht="117.6" customHeight="1" x14ac:dyDescent="0.3">
      <c r="B8" s="163" t="s">
        <v>881</v>
      </c>
    </row>
    <row r="9" spans="2:14" ht="25.95" customHeight="1" x14ac:dyDescent="0.3">
      <c r="B9" s="175" t="s">
        <v>455</v>
      </c>
    </row>
    <row r="10" spans="2:14" ht="49.2" customHeight="1" x14ac:dyDescent="0.3">
      <c r="B10" s="536" t="s">
        <v>882</v>
      </c>
    </row>
    <row r="11" spans="2:14" ht="42.6" customHeight="1" x14ac:dyDescent="0.3">
      <c r="B11" s="536" t="s">
        <v>456</v>
      </c>
    </row>
    <row r="12" spans="2:14" s="538" customFormat="1" ht="34.200000000000003" customHeight="1" x14ac:dyDescent="0.3">
      <c r="B12" s="537" t="s">
        <v>2636</v>
      </c>
    </row>
    <row r="13" spans="2:14" s="538" customFormat="1" ht="55.95" customHeight="1" x14ac:dyDescent="0.3">
      <c r="B13" s="539" t="s">
        <v>883</v>
      </c>
    </row>
    <row r="14" spans="2:14" ht="36" customHeight="1" x14ac:dyDescent="0.3">
      <c r="B14" s="539" t="s">
        <v>884</v>
      </c>
    </row>
    <row r="15" spans="2:14" ht="39" customHeight="1" x14ac:dyDescent="0.3">
      <c r="B15" s="540" t="s">
        <v>885</v>
      </c>
    </row>
    <row r="16" spans="2:14" ht="25.95" customHeight="1" x14ac:dyDescent="0.3">
      <c r="B16" s="175" t="s">
        <v>457</v>
      </c>
    </row>
    <row r="17" spans="2:2" x14ac:dyDescent="0.3">
      <c r="B17" s="162"/>
    </row>
    <row r="18" spans="2:2" x14ac:dyDescent="0.3">
      <c r="B18" s="541" t="s">
        <v>36</v>
      </c>
    </row>
    <row r="19" spans="2:2" ht="15.6" customHeight="1" x14ac:dyDescent="0.3">
      <c r="B19" s="542" t="s">
        <v>886</v>
      </c>
    </row>
    <row r="20" spans="2:2" x14ac:dyDescent="0.3">
      <c r="B20" s="543"/>
    </row>
    <row r="21" spans="2:2" x14ac:dyDescent="0.3">
      <c r="B21" s="541" t="s">
        <v>37</v>
      </c>
    </row>
    <row r="22" spans="2:2" ht="15.6" customHeight="1" x14ac:dyDescent="0.3">
      <c r="B22" s="544" t="s">
        <v>337</v>
      </c>
    </row>
    <row r="23" spans="2:2" ht="13.2" customHeight="1" x14ac:dyDescent="0.3">
      <c r="B23" s="162"/>
    </row>
    <row r="24" spans="2:2" ht="25.95" customHeight="1" x14ac:dyDescent="0.3">
      <c r="B24" s="175" t="s">
        <v>458</v>
      </c>
    </row>
    <row r="25" spans="2:2" s="538" customFormat="1" ht="72.599999999999994" customHeight="1" x14ac:dyDescent="0.3">
      <c r="B25" s="536" t="s">
        <v>1560</v>
      </c>
    </row>
    <row r="26" spans="2:2" s="538" customFormat="1" ht="84.6" customHeight="1" x14ac:dyDescent="0.3">
      <c r="B26" s="536" t="s">
        <v>887</v>
      </c>
    </row>
    <row r="27" spans="2:2" s="538" customFormat="1" ht="78.599999999999994" customHeight="1" x14ac:dyDescent="0.3">
      <c r="B27" s="536" t="s">
        <v>459</v>
      </c>
    </row>
    <row r="28" spans="2:2" ht="15" x14ac:dyDescent="0.3">
      <c r="B28" s="165" t="s">
        <v>888</v>
      </c>
    </row>
    <row r="29" spans="2:2" ht="8.4" customHeight="1" x14ac:dyDescent="0.3">
      <c r="B29" s="164"/>
    </row>
    <row r="30" spans="2:2" ht="25.95" customHeight="1" x14ac:dyDescent="0.3">
      <c r="B30" s="175" t="s">
        <v>889</v>
      </c>
    </row>
    <row r="31" spans="2:2" ht="28.95" customHeight="1" x14ac:dyDescent="0.3">
      <c r="B31" s="176" t="s">
        <v>1636</v>
      </c>
    </row>
    <row r="32" spans="2:2" ht="31.95" customHeight="1" x14ac:dyDescent="0.3">
      <c r="B32" s="176" t="s">
        <v>1639</v>
      </c>
    </row>
    <row r="33" spans="2:7" ht="30.6" customHeight="1" x14ac:dyDescent="0.3">
      <c r="B33" s="545" t="s">
        <v>1638</v>
      </c>
    </row>
    <row r="34" spans="2:7" ht="25.2" customHeight="1" x14ac:dyDescent="0.3">
      <c r="B34" s="545" t="s">
        <v>1946</v>
      </c>
    </row>
    <row r="35" spans="2:7" ht="27.6" customHeight="1" x14ac:dyDescent="0.3">
      <c r="B35" s="545" t="s">
        <v>1637</v>
      </c>
    </row>
    <row r="36" spans="2:7" ht="31.95" customHeight="1" x14ac:dyDescent="0.3">
      <c r="B36" s="546" t="s">
        <v>890</v>
      </c>
    </row>
    <row r="37" spans="2:7" ht="60" customHeight="1" x14ac:dyDescent="0.3">
      <c r="B37" s="176" t="s">
        <v>1642</v>
      </c>
    </row>
    <row r="38" spans="2:7" ht="60" customHeight="1" x14ac:dyDescent="0.3">
      <c r="B38" s="671" t="s">
        <v>1643</v>
      </c>
    </row>
    <row r="39" spans="2:7" ht="25.95" customHeight="1" x14ac:dyDescent="0.3">
      <c r="B39" s="176" t="s">
        <v>891</v>
      </c>
    </row>
    <row r="40" spans="2:7" ht="12" customHeight="1" x14ac:dyDescent="0.3">
      <c r="B40" s="176"/>
    </row>
    <row r="41" spans="2:7" ht="25.95" customHeight="1" x14ac:dyDescent="0.3">
      <c r="B41" s="175" t="s">
        <v>1640</v>
      </c>
    </row>
    <row r="42" spans="2:7" x14ac:dyDescent="0.3">
      <c r="B42" s="174"/>
      <c r="G42" s="547"/>
    </row>
    <row r="43" spans="2:7" ht="43.2" customHeight="1" x14ac:dyDescent="0.3">
      <c r="B43" s="548" t="s">
        <v>892</v>
      </c>
    </row>
    <row r="44" spans="2:7" ht="19.95" customHeight="1" x14ac:dyDescent="0.3">
      <c r="B44" s="549" t="s">
        <v>885</v>
      </c>
    </row>
    <row r="45" spans="2:7" ht="11.4" customHeight="1" x14ac:dyDescent="0.3">
      <c r="B45" s="177"/>
    </row>
    <row r="46" spans="2:7" ht="15" x14ac:dyDescent="0.3">
      <c r="B46" s="178"/>
    </row>
    <row r="47" spans="2:7" ht="7.2" customHeight="1" x14ac:dyDescent="0.3">
      <c r="B47" s="176"/>
    </row>
    <row r="48" spans="2:7" ht="25.95" customHeight="1" x14ac:dyDescent="0.3">
      <c r="B48" s="175" t="s">
        <v>1641</v>
      </c>
    </row>
    <row r="49" spans="2:2" ht="35.4" customHeight="1" x14ac:dyDescent="0.3">
      <c r="B49" s="548" t="s">
        <v>1658</v>
      </c>
    </row>
    <row r="50" spans="2:2" ht="15" x14ac:dyDescent="0.3">
      <c r="B50" s="178"/>
    </row>
    <row r="61" spans="2:2" ht="44.25" customHeight="1" x14ac:dyDescent="0.3"/>
  </sheetData>
  <sheetProtection algorithmName="SHA-512" hashValue="LsBCvsCcH0OiohH2JVz5guwU1gYk4QRJKaUKbTIcXgs+n0c3YfFZELsgYUhPDma4xkUS3/tjYWMkZh6qBobsSQ==" saltValue="SHNQ/anNkr+79pri/nlrEQ==" spinCount="100000" sheet="1" formatCells="0" formatColumns="0" formatRows="0"/>
  <hyperlinks>
    <hyperlink ref="B19" r:id="rId1" xr:uid="{C1F6514A-E8A6-43E5-A86A-05C7A391046B}"/>
    <hyperlink ref="B22" r:id="rId2" xr:uid="{B1541227-3D45-4870-904D-604AA0D245A4}"/>
    <hyperlink ref="B44" r:id="rId3" xr:uid="{4A9D302D-DF03-4083-B0C5-61ACF65C0239}"/>
    <hyperlink ref="B15"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sheetView>
  </sheetViews>
  <sheetFormatPr defaultColWidth="9.109375" defaultRowHeight="14.4" x14ac:dyDescent="0.3"/>
  <cols>
    <col min="1" max="1" width="45.109375" style="584" customWidth="1"/>
    <col min="2" max="2" width="36.44140625" style="584" customWidth="1"/>
    <col min="3" max="3" width="12.33203125" style="584" customWidth="1"/>
    <col min="4" max="4" width="1.33203125" style="584" customWidth="1"/>
    <col min="5" max="5" width="42.44140625" style="584" customWidth="1"/>
    <col min="6" max="6" width="19.88671875" style="584" customWidth="1"/>
    <col min="7" max="7" width="21.6640625" style="584" customWidth="1"/>
    <col min="8" max="8" width="6.6640625" style="584" customWidth="1"/>
    <col min="9" max="9" width="6.33203125" style="613" customWidth="1"/>
    <col min="10" max="10" width="11.6640625" style="613" hidden="1" customWidth="1"/>
    <col min="11" max="11" width="12" style="613" hidden="1" customWidth="1"/>
    <col min="12" max="12" width="17.109375" style="613" hidden="1" customWidth="1"/>
    <col min="13" max="13" width="15.109375" style="613" hidden="1" customWidth="1"/>
    <col min="14" max="14" width="15.5546875" style="613" hidden="1" customWidth="1"/>
    <col min="15" max="15" width="37.88671875" style="622" hidden="1" customWidth="1"/>
    <col min="16" max="16" width="15.109375" style="622" hidden="1" customWidth="1"/>
    <col min="17" max="17" width="26.6640625" style="613" customWidth="1"/>
    <col min="18" max="18" width="9.109375" style="613"/>
    <col min="19" max="19" width="11.44140625" style="613" customWidth="1"/>
    <col min="20" max="47" width="9.109375" style="613"/>
    <col min="48" max="16384" width="9.109375" style="584"/>
  </cols>
  <sheetData>
    <row r="1" spans="1:569" x14ac:dyDescent="0.3">
      <c r="A1" s="582"/>
      <c r="B1" s="596" t="str">
        <f>+'Unit Data from Audit Worksheet'!D2</f>
        <v>Select Unit Name from Drop Down List</v>
      </c>
      <c r="C1" s="583"/>
      <c r="D1" s="583"/>
      <c r="E1" s="639" t="s">
        <v>1528</v>
      </c>
      <c r="H1" s="583"/>
      <c r="J1" s="613" t="s">
        <v>1500</v>
      </c>
      <c r="K1" s="613" t="s">
        <v>1501</v>
      </c>
      <c r="M1" s="618" t="s">
        <v>1503</v>
      </c>
      <c r="N1" s="618" t="s">
        <v>1503</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row>
    <row r="2" spans="1:569" x14ac:dyDescent="0.3">
      <c r="A2" s="582" t="s">
        <v>1522</v>
      </c>
      <c r="B2" s="582" t="e">
        <f>+'Unit Data from Audit Worksheet'!D3</f>
        <v>#N/A</v>
      </c>
      <c r="C2" s="583"/>
      <c r="D2" s="583"/>
      <c r="E2" s="640" t="s">
        <v>1527</v>
      </c>
      <c r="H2" s="583"/>
      <c r="M2" s="619" t="s">
        <v>1504</v>
      </c>
      <c r="N2" s="619" t="s">
        <v>1508</v>
      </c>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row>
    <row r="3" spans="1:569" x14ac:dyDescent="0.3">
      <c r="A3" s="582" t="e">
        <f>IF(LEN(VLOOKUP(B1,$L$4:$O$555,4,FALSE))=0,"",(VLOOKUP(B1,$L$4:$O$555,4,FALSE)))</f>
        <v>#N/A</v>
      </c>
      <c r="B3" s="582" t="s">
        <v>1523</v>
      </c>
      <c r="C3" s="583"/>
      <c r="D3" s="583"/>
      <c r="H3" s="583"/>
      <c r="J3" s="613" t="s">
        <v>385</v>
      </c>
      <c r="K3" s="613" t="s">
        <v>385</v>
      </c>
      <c r="M3" s="620" t="s">
        <v>1505</v>
      </c>
      <c r="N3" s="620" t="s">
        <v>1507</v>
      </c>
    </row>
    <row r="4" spans="1:569" x14ac:dyDescent="0.3">
      <c r="A4" s="1170" t="s">
        <v>565</v>
      </c>
      <c r="B4" s="1170"/>
      <c r="C4" s="1170"/>
      <c r="D4" s="583"/>
      <c r="E4" s="1171" t="s">
        <v>566</v>
      </c>
      <c r="F4" s="1171"/>
      <c r="G4" s="583"/>
      <c r="H4" s="583"/>
      <c r="L4" s="613" t="s">
        <v>476</v>
      </c>
      <c r="M4" s="613" t="s">
        <v>464</v>
      </c>
      <c r="N4" s="613" t="s">
        <v>464</v>
      </c>
      <c r="O4" s="613"/>
    </row>
    <row r="5" spans="1:569" ht="15" thickBot="1" x14ac:dyDescent="0.35">
      <c r="A5" s="585"/>
      <c r="B5" s="586"/>
      <c r="C5" s="585"/>
      <c r="D5" s="587"/>
      <c r="E5" s="585"/>
      <c r="F5" s="586"/>
      <c r="G5" s="586"/>
      <c r="H5" s="583"/>
      <c r="K5" s="622"/>
      <c r="L5" s="613" t="s">
        <v>1156</v>
      </c>
      <c r="M5" s="613" t="s">
        <v>464</v>
      </c>
      <c r="N5" s="613" t="s">
        <v>464</v>
      </c>
      <c r="O5" s="613"/>
    </row>
    <row r="6" spans="1:569" ht="15" thickBot="1" x14ac:dyDescent="0.35">
      <c r="A6" s="588" t="s">
        <v>567</v>
      </c>
      <c r="B6" s="589" t="e">
        <f>VLOOKUP(B1,$L$4:$M$555,2,FALSE)</f>
        <v>#N/A</v>
      </c>
      <c r="C6" s="589"/>
      <c r="D6" s="589"/>
      <c r="H6" s="589"/>
      <c r="L6" s="613" t="s">
        <v>1157</v>
      </c>
      <c r="M6" s="613" t="s">
        <v>464</v>
      </c>
      <c r="N6" s="613" t="s">
        <v>464</v>
      </c>
      <c r="O6" s="613"/>
    </row>
    <row r="7" spans="1:569" ht="15" thickBot="1" x14ac:dyDescent="0.35">
      <c r="A7" s="583" t="s">
        <v>666</v>
      </c>
      <c r="B7" s="254" t="e">
        <f>HLOOKUP(B1,'PY1 Data(H)'!D1:CZ282,127,FALSE)+HLOOKUP(B1,'PY1 Data(H)'!D1:CZ282,70,FALSE)</f>
        <v>#N/A</v>
      </c>
      <c r="C7" s="255"/>
      <c r="D7" s="255"/>
      <c r="E7" s="583" t="s">
        <v>571</v>
      </c>
      <c r="F7" s="642">
        <f>Import!L135</f>
        <v>0</v>
      </c>
      <c r="G7" s="589"/>
      <c r="H7" s="583"/>
      <c r="J7" s="613">
        <v>527</v>
      </c>
      <c r="K7" s="622">
        <v>366</v>
      </c>
      <c r="L7" s="616" t="s">
        <v>1158</v>
      </c>
      <c r="M7" s="616" t="s">
        <v>464</v>
      </c>
      <c r="N7" s="616">
        <v>0.05</v>
      </c>
      <c r="O7" s="613" t="s">
        <v>1524</v>
      </c>
    </row>
    <row r="8" spans="1:569" ht="15" thickBot="1" x14ac:dyDescent="0.35">
      <c r="A8" s="583" t="s">
        <v>569</v>
      </c>
      <c r="B8" s="636" t="e">
        <f>IF(B6="N/A","N/A",B6*B7)</f>
        <v>#N/A</v>
      </c>
      <c r="C8" s="256"/>
      <c r="D8" s="256"/>
      <c r="E8" s="638" t="s">
        <v>1160</v>
      </c>
      <c r="F8" s="642">
        <f>Import!L195</f>
        <v>0</v>
      </c>
      <c r="G8" s="582"/>
      <c r="H8" s="583"/>
      <c r="J8" s="621">
        <v>356</v>
      </c>
      <c r="K8" s="613">
        <v>1051</v>
      </c>
      <c r="L8" s="613" t="s">
        <v>1159</v>
      </c>
      <c r="M8" s="613" t="s">
        <v>464</v>
      </c>
      <c r="N8" s="613" t="s">
        <v>464</v>
      </c>
      <c r="O8" s="613"/>
    </row>
    <row r="9" spans="1:569" ht="15" thickBot="1" x14ac:dyDescent="0.35">
      <c r="A9" s="583"/>
      <c r="B9" s="583"/>
      <c r="C9" s="583"/>
      <c r="D9" s="583"/>
      <c r="E9" s="583"/>
      <c r="F9" s="583"/>
      <c r="G9" s="583"/>
      <c r="H9" s="583"/>
      <c r="L9" s="613" t="s">
        <v>477</v>
      </c>
      <c r="M9" s="613" t="s">
        <v>464</v>
      </c>
      <c r="N9" s="613" t="s">
        <v>464</v>
      </c>
      <c r="O9" s="613"/>
    </row>
    <row r="10" spans="1:569" ht="15" thickBot="1" x14ac:dyDescent="0.35">
      <c r="A10" s="588" t="s">
        <v>570</v>
      </c>
      <c r="B10" s="589" t="e">
        <f>VLOOKUP(B1,$L$4:$N$555,3,FALSE)</f>
        <v>#N/A</v>
      </c>
      <c r="C10" s="589"/>
      <c r="D10" s="589"/>
      <c r="E10" s="589"/>
      <c r="F10" s="589"/>
      <c r="G10" s="589"/>
      <c r="H10" s="589"/>
      <c r="L10" s="613" t="s">
        <v>1161</v>
      </c>
      <c r="M10" s="613" t="s">
        <v>464</v>
      </c>
      <c r="N10" s="613" t="s">
        <v>464</v>
      </c>
      <c r="O10" s="613"/>
    </row>
    <row r="11" spans="1:569" ht="15" thickBot="1" x14ac:dyDescent="0.35">
      <c r="A11" s="583" t="s">
        <v>667</v>
      </c>
      <c r="B11" s="590" t="e">
        <f>HLOOKUP(B1,'PY1 Data(H)'!D1:CZ282,35,FALSE)</f>
        <v>#N/A</v>
      </c>
      <c r="C11" s="591"/>
      <c r="D11" s="591"/>
      <c r="E11" s="637" t="s">
        <v>1526</v>
      </c>
      <c r="F11" s="636">
        <f>F7-F8</f>
        <v>0</v>
      </c>
      <c r="G11" s="583"/>
      <c r="H11" s="583"/>
      <c r="J11" s="613">
        <v>93</v>
      </c>
      <c r="L11" s="613" t="s">
        <v>1162</v>
      </c>
      <c r="M11" s="613" t="s">
        <v>464</v>
      </c>
      <c r="N11" s="613" t="s">
        <v>464</v>
      </c>
      <c r="O11" s="613"/>
    </row>
    <row r="12" spans="1:569" ht="15" thickBot="1" x14ac:dyDescent="0.35">
      <c r="A12" s="583" t="s">
        <v>569</v>
      </c>
      <c r="B12" s="636" t="e">
        <f>IF(B10="N/A","N/A",B10*B11)</f>
        <v>#N/A</v>
      </c>
      <c r="C12" s="256"/>
      <c r="D12" s="256"/>
      <c r="G12" s="583"/>
      <c r="H12" s="583"/>
      <c r="L12" s="615" t="s">
        <v>1163</v>
      </c>
      <c r="M12" s="615">
        <v>0.03</v>
      </c>
      <c r="N12" s="615">
        <v>0.05</v>
      </c>
      <c r="O12" s="613" t="s">
        <v>1529</v>
      </c>
      <c r="P12" s="622" t="s">
        <v>1525</v>
      </c>
    </row>
    <row r="13" spans="1:569" x14ac:dyDescent="0.3">
      <c r="A13" s="583"/>
      <c r="B13" s="592"/>
      <c r="C13" s="583"/>
      <c r="D13" s="583"/>
      <c r="E13" s="583"/>
      <c r="F13" s="583"/>
      <c r="G13" s="583"/>
      <c r="H13" s="583"/>
      <c r="L13" s="613" t="s">
        <v>1164</v>
      </c>
      <c r="M13" s="613" t="s">
        <v>464</v>
      </c>
      <c r="N13" s="613" t="s">
        <v>464</v>
      </c>
      <c r="O13" s="613"/>
    </row>
    <row r="14" spans="1:569" x14ac:dyDescent="0.3">
      <c r="A14" s="585"/>
      <c r="B14" s="586"/>
      <c r="C14" s="585"/>
      <c r="D14" s="587"/>
      <c r="E14" s="585"/>
      <c r="F14" s="586"/>
      <c r="G14" s="586"/>
      <c r="H14" s="257"/>
      <c r="L14" s="613" t="s">
        <v>1165</v>
      </c>
      <c r="M14" s="613" t="s">
        <v>464</v>
      </c>
      <c r="N14" s="613" t="s">
        <v>464</v>
      </c>
      <c r="O14" s="613"/>
    </row>
    <row r="15" spans="1:569" ht="15" thickBot="1" x14ac:dyDescent="0.35">
      <c r="A15" s="593" t="s">
        <v>572</v>
      </c>
      <c r="B15" s="583"/>
      <c r="C15" s="583"/>
      <c r="D15" s="583"/>
      <c r="E15" s="593" t="s">
        <v>572</v>
      </c>
      <c r="F15" s="582" t="s">
        <v>573</v>
      </c>
      <c r="G15" s="582" t="s">
        <v>574</v>
      </c>
      <c r="H15" s="583"/>
      <c r="L15" s="613" t="s">
        <v>1166</v>
      </c>
      <c r="M15" s="613" t="s">
        <v>464</v>
      </c>
      <c r="N15" s="613" t="s">
        <v>464</v>
      </c>
      <c r="O15" s="613"/>
    </row>
    <row r="16" spans="1:569" ht="15" thickBot="1" x14ac:dyDescent="0.35">
      <c r="A16" s="583" t="s">
        <v>568</v>
      </c>
      <c r="B16" s="254" t="e">
        <f>+B7</f>
        <v>#N/A</v>
      </c>
      <c r="C16" s="255"/>
      <c r="D16" s="255"/>
      <c r="E16" s="583" t="s">
        <v>575</v>
      </c>
      <c r="F16" s="643">
        <f>Import!L194</f>
        <v>0</v>
      </c>
      <c r="G16" s="601" t="e">
        <f>+B18</f>
        <v>#N/A</v>
      </c>
      <c r="H16" s="583"/>
      <c r="K16" s="613">
        <v>990</v>
      </c>
      <c r="L16" s="613" t="s">
        <v>1167</v>
      </c>
      <c r="M16" s="613" t="s">
        <v>464</v>
      </c>
      <c r="N16" s="613" t="s">
        <v>464</v>
      </c>
      <c r="O16" s="613"/>
    </row>
    <row r="17" spans="1:16" ht="15" thickBot="1" x14ac:dyDescent="0.35">
      <c r="A17" s="583" t="s">
        <v>576</v>
      </c>
      <c r="B17" s="672">
        <f>Import!L209</f>
        <v>0</v>
      </c>
      <c r="C17" s="583"/>
      <c r="D17" s="583"/>
      <c r="E17" s="583"/>
      <c r="F17" s="602"/>
      <c r="G17" s="602"/>
      <c r="H17" s="583"/>
      <c r="J17" s="613">
        <v>648</v>
      </c>
      <c r="L17" s="613" t="s">
        <v>1168</v>
      </c>
      <c r="M17" s="613" t="s">
        <v>464</v>
      </c>
      <c r="N17" s="613" t="s">
        <v>464</v>
      </c>
      <c r="O17" s="613"/>
    </row>
    <row r="18" spans="1:16" ht="29.4" thickBot="1" x14ac:dyDescent="0.35">
      <c r="A18" s="583" t="s">
        <v>569</v>
      </c>
      <c r="B18" s="600" t="e">
        <f>ROUND((B16/100)*B17,0)</f>
        <v>#N/A</v>
      </c>
      <c r="C18" s="258"/>
      <c r="D18" s="256"/>
      <c r="E18" s="594" t="s">
        <v>1170</v>
      </c>
      <c r="F18" s="600">
        <f>IF(F16=0,F11-F16,F11-MAX(F16,G16))</f>
        <v>0</v>
      </c>
      <c r="G18" s="602"/>
      <c r="H18" s="583"/>
      <c r="L18" s="613" t="s">
        <v>479</v>
      </c>
      <c r="M18" s="613" t="s">
        <v>464</v>
      </c>
      <c r="N18" s="613" t="s">
        <v>464</v>
      </c>
      <c r="O18" s="613"/>
    </row>
    <row r="19" spans="1:16" x14ac:dyDescent="0.3">
      <c r="A19" s="583"/>
      <c r="B19" s="583"/>
      <c r="C19" s="583"/>
      <c r="D19" s="595"/>
      <c r="E19" s="583"/>
      <c r="F19" s="529"/>
      <c r="G19" s="258"/>
      <c r="H19" s="583"/>
      <c r="L19" s="613" t="s">
        <v>1169</v>
      </c>
      <c r="M19" s="613" t="s">
        <v>464</v>
      </c>
      <c r="N19" s="613" t="s">
        <v>464</v>
      </c>
      <c r="O19" s="613"/>
    </row>
    <row r="20" spans="1:16" x14ac:dyDescent="0.3">
      <c r="A20" s="585"/>
      <c r="B20" s="586"/>
      <c r="C20" s="585"/>
      <c r="D20" s="583"/>
      <c r="E20" s="585"/>
      <c r="F20" s="586"/>
      <c r="G20" s="586"/>
      <c r="H20" s="583"/>
      <c r="L20" s="613" t="s">
        <v>1171</v>
      </c>
      <c r="M20" s="613" t="s">
        <v>464</v>
      </c>
      <c r="N20" s="613" t="s">
        <v>464</v>
      </c>
      <c r="O20" s="613"/>
    </row>
    <row r="21" spans="1:16" ht="15" thickBot="1" x14ac:dyDescent="0.35">
      <c r="A21" s="583"/>
      <c r="B21" s="583"/>
      <c r="C21" s="583"/>
      <c r="D21" s="583"/>
      <c r="E21" s="593" t="s">
        <v>577</v>
      </c>
      <c r="F21" s="593"/>
      <c r="G21" s="593"/>
      <c r="H21" s="583"/>
      <c r="L21" s="613" t="s">
        <v>817</v>
      </c>
      <c r="M21" s="613" t="s">
        <v>464</v>
      </c>
      <c r="N21" s="613" t="s">
        <v>464</v>
      </c>
      <c r="O21" s="613"/>
    </row>
    <row r="22" spans="1:16" ht="15" thickBot="1" x14ac:dyDescent="0.35">
      <c r="A22" s="583"/>
      <c r="B22" s="644"/>
      <c r="C22" s="583"/>
      <c r="D22" s="587"/>
      <c r="E22" s="583" t="s">
        <v>578</v>
      </c>
      <c r="F22" s="603" t="e">
        <f>MAX(B8,B12)</f>
        <v>#N/A</v>
      </c>
      <c r="G22" s="595"/>
      <c r="H22" s="256"/>
      <c r="L22" s="613" t="s">
        <v>1172</v>
      </c>
      <c r="M22" s="613" t="s">
        <v>464</v>
      </c>
      <c r="N22" s="613" t="s">
        <v>464</v>
      </c>
      <c r="O22" s="613"/>
    </row>
    <row r="23" spans="1:16" ht="15" thickBot="1" x14ac:dyDescent="0.35">
      <c r="A23" s="583"/>
      <c r="B23" s="644"/>
      <c r="C23" s="583"/>
      <c r="D23" s="593"/>
      <c r="E23" s="583"/>
      <c r="F23" s="657"/>
      <c r="G23" s="595"/>
      <c r="H23" s="256"/>
      <c r="L23" s="613" t="s">
        <v>1173</v>
      </c>
      <c r="M23" s="613" t="s">
        <v>464</v>
      </c>
      <c r="N23" s="613" t="s">
        <v>464</v>
      </c>
      <c r="O23" s="613"/>
    </row>
    <row r="24" spans="1:16" ht="15" thickBot="1" x14ac:dyDescent="0.35">
      <c r="B24" s="641"/>
      <c r="D24" s="595"/>
      <c r="E24" s="583" t="s">
        <v>579</v>
      </c>
      <c r="F24" s="604">
        <f>IF(F7=0,0,IF(F18&lt;=F22,"Yes", "No, unit exceeds limit by:"))</f>
        <v>0</v>
      </c>
      <c r="G24" s="583"/>
      <c r="H24" s="583"/>
      <c r="L24" s="615" t="s">
        <v>818</v>
      </c>
      <c r="M24" s="615">
        <v>0.03</v>
      </c>
      <c r="N24" s="615">
        <v>0.05</v>
      </c>
      <c r="O24" s="613" t="s">
        <v>1529</v>
      </c>
      <c r="P24" s="622" t="s">
        <v>1525</v>
      </c>
    </row>
    <row r="25" spans="1:16" ht="15" thickBot="1" x14ac:dyDescent="0.35">
      <c r="B25" s="641"/>
      <c r="C25" s="583"/>
      <c r="D25" s="595"/>
      <c r="E25" s="583"/>
      <c r="F25" s="604" t="e">
        <f>IF(F18-F22&lt;=0,0,F18-F22)</f>
        <v>#N/A</v>
      </c>
      <c r="G25" s="259"/>
      <c r="H25" s="593"/>
      <c r="L25" s="613" t="s">
        <v>480</v>
      </c>
      <c r="M25" s="613" t="s">
        <v>464</v>
      </c>
      <c r="N25" s="613" t="s">
        <v>464</v>
      </c>
      <c r="O25" s="613"/>
    </row>
    <row r="26" spans="1:16" ht="15" thickBot="1" x14ac:dyDescent="0.35">
      <c r="B26" s="641"/>
      <c r="C26" s="583"/>
      <c r="D26" s="596"/>
      <c r="E26" s="583"/>
      <c r="F26" s="602"/>
      <c r="G26" s="583"/>
      <c r="H26" s="583"/>
      <c r="L26" s="613" t="s">
        <v>819</v>
      </c>
      <c r="M26" s="613" t="s">
        <v>464</v>
      </c>
      <c r="N26" s="613" t="s">
        <v>464</v>
      </c>
      <c r="O26" s="613"/>
    </row>
    <row r="27" spans="1:16" x14ac:dyDescent="0.3">
      <c r="A27" s="583"/>
      <c r="B27" s="644"/>
      <c r="C27" s="583"/>
      <c r="D27" s="596"/>
      <c r="E27" s="597" t="s">
        <v>580</v>
      </c>
      <c r="F27" s="605">
        <f>IF(F16=0,0,F16-G16)</f>
        <v>0</v>
      </c>
      <c r="G27" s="583"/>
      <c r="H27" s="583"/>
      <c r="L27" s="613" t="s">
        <v>1174</v>
      </c>
      <c r="M27" s="613" t="s">
        <v>464</v>
      </c>
      <c r="N27" s="613" t="s">
        <v>464</v>
      </c>
      <c r="O27" s="613"/>
    </row>
    <row r="28" spans="1:16" ht="33.75" customHeight="1" thickBot="1" x14ac:dyDescent="0.35">
      <c r="A28" s="583"/>
      <c r="B28" s="644"/>
      <c r="C28" s="583"/>
      <c r="D28" s="583"/>
      <c r="E28" s="583"/>
      <c r="F28" s="260" t="str">
        <f>IF(F27=0,"","Investigate")</f>
        <v/>
      </c>
      <c r="G28" s="583"/>
      <c r="H28" s="583"/>
      <c r="L28" s="613" t="s">
        <v>1175</v>
      </c>
      <c r="M28" s="613" t="s">
        <v>464</v>
      </c>
      <c r="N28" s="613" t="s">
        <v>464</v>
      </c>
      <c r="O28" s="613"/>
    </row>
    <row r="29" spans="1:16" x14ac:dyDescent="0.3">
      <c r="A29" s="587"/>
      <c r="B29" s="583"/>
      <c r="C29" s="583"/>
      <c r="D29" s="583"/>
      <c r="E29" s="587" t="s">
        <v>581</v>
      </c>
      <c r="F29" s="583"/>
      <c r="G29" s="583"/>
      <c r="H29" s="583"/>
      <c r="L29" s="613" t="s">
        <v>1176</v>
      </c>
      <c r="M29" s="613" t="s">
        <v>464</v>
      </c>
      <c r="N29" s="613" t="s">
        <v>464</v>
      </c>
      <c r="O29" s="613"/>
    </row>
    <row r="30" spans="1:16" ht="14.4" customHeight="1" x14ac:dyDescent="0.3">
      <c r="A30" s="598"/>
      <c r="B30" s="598"/>
      <c r="C30" s="598"/>
      <c r="D30" s="583"/>
      <c r="E30" s="1172" t="s">
        <v>1561</v>
      </c>
      <c r="F30" s="1173"/>
      <c r="G30" s="1174"/>
      <c r="H30" s="583"/>
      <c r="L30" s="613" t="s">
        <v>481</v>
      </c>
      <c r="M30" s="613" t="s">
        <v>464</v>
      </c>
      <c r="N30" s="613" t="s">
        <v>464</v>
      </c>
      <c r="O30" s="613"/>
    </row>
    <row r="31" spans="1:16" x14ac:dyDescent="0.3">
      <c r="A31" s="583"/>
      <c r="B31" s="583"/>
      <c r="C31" s="598"/>
      <c r="D31" s="583"/>
      <c r="E31" s="1175"/>
      <c r="F31" s="1176"/>
      <c r="G31" s="1177"/>
      <c r="H31" s="583"/>
      <c r="L31" s="613" t="s">
        <v>1177</v>
      </c>
      <c r="M31" s="613" t="s">
        <v>464</v>
      </c>
      <c r="N31" s="613" t="s">
        <v>464</v>
      </c>
      <c r="O31" s="613"/>
    </row>
    <row r="32" spans="1:16" x14ac:dyDescent="0.3">
      <c r="A32" s="598"/>
      <c r="B32" s="598"/>
      <c r="C32" s="598"/>
      <c r="D32" s="583"/>
      <c r="E32" s="1175"/>
      <c r="F32" s="1176"/>
      <c r="G32" s="1177"/>
      <c r="L32" s="613" t="s">
        <v>1178</v>
      </c>
      <c r="M32" s="613" t="s">
        <v>464</v>
      </c>
      <c r="N32" s="613" t="s">
        <v>464</v>
      </c>
      <c r="O32" s="613"/>
    </row>
    <row r="33" spans="1:16" ht="30" customHeight="1" x14ac:dyDescent="0.3">
      <c r="A33" s="598"/>
      <c r="B33" s="598"/>
      <c r="C33" s="598"/>
      <c r="D33" s="583"/>
      <c r="E33" s="1178"/>
      <c r="F33" s="1179"/>
      <c r="G33" s="1180"/>
      <c r="L33" s="613" t="s">
        <v>1179</v>
      </c>
      <c r="M33" s="613" t="s">
        <v>464</v>
      </c>
      <c r="N33" s="613" t="s">
        <v>464</v>
      </c>
      <c r="O33" s="613"/>
    </row>
    <row r="34" spans="1:16" x14ac:dyDescent="0.3">
      <c r="A34" s="598"/>
      <c r="B34" s="598"/>
      <c r="C34" s="598"/>
      <c r="D34" s="583"/>
      <c r="E34" s="599"/>
      <c r="F34" s="599"/>
      <c r="G34" s="599"/>
      <c r="L34" s="613" t="s">
        <v>1180</v>
      </c>
      <c r="M34" s="613" t="s">
        <v>464</v>
      </c>
      <c r="N34" s="613" t="s">
        <v>464</v>
      </c>
      <c r="O34" s="613"/>
    </row>
    <row r="35" spans="1:16" x14ac:dyDescent="0.3">
      <c r="A35" s="598"/>
      <c r="B35" s="598"/>
      <c r="C35" s="598"/>
      <c r="D35" s="583"/>
      <c r="E35" s="1172" t="s">
        <v>1492</v>
      </c>
      <c r="F35" s="1173"/>
      <c r="G35" s="1174"/>
      <c r="L35" s="615" t="s">
        <v>482</v>
      </c>
      <c r="M35" s="615">
        <v>0.03</v>
      </c>
      <c r="N35" s="615">
        <v>0.05</v>
      </c>
      <c r="O35" s="613" t="s">
        <v>1529</v>
      </c>
      <c r="P35" s="622" t="s">
        <v>1525</v>
      </c>
    </row>
    <row r="36" spans="1:16" x14ac:dyDescent="0.3">
      <c r="A36" s="583"/>
      <c r="B36" s="583"/>
      <c r="C36" s="583"/>
      <c r="D36" s="583"/>
      <c r="E36" s="1175"/>
      <c r="F36" s="1181"/>
      <c r="G36" s="1177"/>
      <c r="L36" s="613" t="s">
        <v>820</v>
      </c>
      <c r="M36" s="613" t="s">
        <v>464</v>
      </c>
      <c r="N36" s="613" t="s">
        <v>464</v>
      </c>
      <c r="O36" s="613"/>
    </row>
    <row r="37" spans="1:16" x14ac:dyDescent="0.3">
      <c r="A37" s="583"/>
      <c r="B37" s="583"/>
      <c r="C37" s="583"/>
      <c r="D37" s="583"/>
      <c r="E37" s="1178"/>
      <c r="F37" s="1179"/>
      <c r="G37" s="1180"/>
      <c r="L37" s="613" t="s">
        <v>483</v>
      </c>
      <c r="M37" s="613" t="s">
        <v>464</v>
      </c>
      <c r="N37" s="613" t="s">
        <v>464</v>
      </c>
      <c r="O37" s="613"/>
    </row>
    <row r="38" spans="1:16" x14ac:dyDescent="0.3">
      <c r="A38" s="583"/>
      <c r="B38" s="583"/>
      <c r="C38" s="583"/>
      <c r="D38" s="583"/>
      <c r="E38" s="583"/>
      <c r="F38" s="583"/>
      <c r="G38" s="583"/>
      <c r="L38" s="613" t="s">
        <v>1182</v>
      </c>
      <c r="M38" s="613" t="s">
        <v>464</v>
      </c>
      <c r="N38" s="613" t="s">
        <v>464</v>
      </c>
      <c r="O38" s="613"/>
    </row>
    <row r="39" spans="1:16" ht="15" thickBot="1" x14ac:dyDescent="0.35">
      <c r="C39" s="583"/>
      <c r="D39" s="583"/>
      <c r="E39" s="1182" t="s">
        <v>582</v>
      </c>
      <c r="F39" s="1182"/>
      <c r="G39" s="1182"/>
      <c r="L39" s="615" t="s">
        <v>1183</v>
      </c>
      <c r="M39" s="615">
        <v>0.03</v>
      </c>
      <c r="N39" s="615">
        <v>0.05</v>
      </c>
      <c r="O39" s="613" t="s">
        <v>1529</v>
      </c>
      <c r="P39" s="622" t="s">
        <v>1525</v>
      </c>
    </row>
    <row r="40" spans="1:16" x14ac:dyDescent="0.3">
      <c r="A40" s="583"/>
      <c r="B40" s="583"/>
      <c r="C40" s="583"/>
      <c r="D40" s="583"/>
      <c r="E40" s="1161"/>
      <c r="F40" s="1162"/>
      <c r="G40" s="1163"/>
      <c r="L40" s="613" t="s">
        <v>1184</v>
      </c>
      <c r="M40" s="613" t="s">
        <v>464</v>
      </c>
      <c r="N40" s="613" t="s">
        <v>464</v>
      </c>
      <c r="O40" s="613"/>
    </row>
    <row r="41" spans="1:16" x14ac:dyDescent="0.3">
      <c r="A41" s="583"/>
      <c r="B41" s="583"/>
      <c r="C41" s="583"/>
      <c r="D41" s="583"/>
      <c r="E41" s="1164"/>
      <c r="F41" s="1165"/>
      <c r="G41" s="1166"/>
      <c r="L41" s="613" t="s">
        <v>1185</v>
      </c>
      <c r="M41" s="613" t="s">
        <v>464</v>
      </c>
      <c r="N41" s="613" t="s">
        <v>464</v>
      </c>
      <c r="O41" s="613"/>
    </row>
    <row r="42" spans="1:16" x14ac:dyDescent="0.3">
      <c r="A42" s="583"/>
      <c r="B42" s="583"/>
      <c r="C42" s="583"/>
      <c r="D42" s="583"/>
      <c r="E42" s="1164"/>
      <c r="F42" s="1165"/>
      <c r="G42" s="1166"/>
      <c r="L42" s="613" t="s">
        <v>1181</v>
      </c>
      <c r="M42" s="613" t="s">
        <v>464</v>
      </c>
      <c r="N42" s="613" t="s">
        <v>464</v>
      </c>
      <c r="O42" s="613"/>
    </row>
    <row r="43" spans="1:16" x14ac:dyDescent="0.3">
      <c r="A43" s="583"/>
      <c r="B43" s="583"/>
      <c r="C43" s="583"/>
      <c r="D43" s="583"/>
      <c r="E43" s="1164"/>
      <c r="F43" s="1165"/>
      <c r="G43" s="1166"/>
      <c r="L43" s="613" t="s">
        <v>485</v>
      </c>
      <c r="M43" s="613" t="s">
        <v>464</v>
      </c>
      <c r="N43" s="613" t="s">
        <v>464</v>
      </c>
      <c r="O43" s="613"/>
    </row>
    <row r="44" spans="1:16" x14ac:dyDescent="0.3">
      <c r="D44" s="583"/>
      <c r="E44" s="1164"/>
      <c r="F44" s="1165"/>
      <c r="G44" s="1166"/>
      <c r="L44" s="613" t="s">
        <v>1186</v>
      </c>
      <c r="M44" s="613" t="s">
        <v>464</v>
      </c>
      <c r="N44" s="613" t="s">
        <v>464</v>
      </c>
      <c r="O44" s="613"/>
    </row>
    <row r="45" spans="1:16" x14ac:dyDescent="0.3">
      <c r="D45" s="583"/>
      <c r="E45" s="1164"/>
      <c r="F45" s="1165"/>
      <c r="G45" s="1166"/>
      <c r="L45" s="613" t="s">
        <v>1187</v>
      </c>
      <c r="M45" s="613" t="s">
        <v>464</v>
      </c>
      <c r="N45" s="613" t="s">
        <v>464</v>
      </c>
      <c r="O45" s="613"/>
    </row>
    <row r="46" spans="1:16" x14ac:dyDescent="0.3">
      <c r="E46" s="1164"/>
      <c r="F46" s="1165"/>
      <c r="G46" s="1166"/>
      <c r="L46" s="613" t="s">
        <v>1188</v>
      </c>
      <c r="M46" s="613" t="s">
        <v>464</v>
      </c>
      <c r="N46" s="613" t="s">
        <v>464</v>
      </c>
      <c r="O46" s="613"/>
    </row>
    <row r="47" spans="1:16" x14ac:dyDescent="0.3">
      <c r="E47" s="1164"/>
      <c r="F47" s="1165"/>
      <c r="G47" s="1166"/>
      <c r="L47" s="613" t="s">
        <v>486</v>
      </c>
      <c r="M47" s="613" t="s">
        <v>464</v>
      </c>
      <c r="N47" s="613" t="s">
        <v>464</v>
      </c>
      <c r="O47" s="613" t="s">
        <v>1622</v>
      </c>
    </row>
    <row r="48" spans="1:16" x14ac:dyDescent="0.3">
      <c r="E48" s="1164"/>
      <c r="F48" s="1165"/>
      <c r="G48" s="1166"/>
      <c r="L48" s="613" t="s">
        <v>1189</v>
      </c>
      <c r="M48" s="613" t="s">
        <v>464</v>
      </c>
      <c r="N48" s="613" t="s">
        <v>464</v>
      </c>
      <c r="O48" s="613"/>
    </row>
    <row r="49" spans="5:15" x14ac:dyDescent="0.3">
      <c r="E49" s="1164"/>
      <c r="F49" s="1165"/>
      <c r="G49" s="1166"/>
      <c r="L49" s="613" t="s">
        <v>1190</v>
      </c>
      <c r="M49" s="613" t="s">
        <v>464</v>
      </c>
      <c r="N49" s="613" t="s">
        <v>464</v>
      </c>
      <c r="O49" s="613"/>
    </row>
    <row r="50" spans="5:15" x14ac:dyDescent="0.3">
      <c r="E50" s="1164"/>
      <c r="F50" s="1165"/>
      <c r="G50" s="1166"/>
      <c r="L50" s="613" t="s">
        <v>1191</v>
      </c>
      <c r="M50" s="613" t="s">
        <v>464</v>
      </c>
      <c r="N50" s="613" t="s">
        <v>464</v>
      </c>
      <c r="O50" s="613"/>
    </row>
    <row r="51" spans="5:15" ht="15" thickBot="1" x14ac:dyDescent="0.35">
      <c r="E51" s="1167"/>
      <c r="F51" s="1168"/>
      <c r="G51" s="1169"/>
      <c r="L51" s="613" t="s">
        <v>487</v>
      </c>
      <c r="M51" s="613" t="s">
        <v>464</v>
      </c>
      <c r="N51" s="613" t="s">
        <v>464</v>
      </c>
      <c r="O51" s="613"/>
    </row>
    <row r="52" spans="5:15" x14ac:dyDescent="0.3">
      <c r="L52" s="613" t="s">
        <v>1192</v>
      </c>
      <c r="M52" s="613" t="s">
        <v>464</v>
      </c>
      <c r="N52" s="613" t="s">
        <v>464</v>
      </c>
      <c r="O52" s="613"/>
    </row>
    <row r="53" spans="5:15" x14ac:dyDescent="0.3">
      <c r="L53" s="613" t="s">
        <v>1194</v>
      </c>
      <c r="M53" s="613" t="s">
        <v>464</v>
      </c>
      <c r="N53" s="613" t="s">
        <v>464</v>
      </c>
      <c r="O53" s="613"/>
    </row>
    <row r="54" spans="5:15" x14ac:dyDescent="0.3">
      <c r="L54" s="613" t="s">
        <v>1193</v>
      </c>
      <c r="M54" s="613" t="s">
        <v>464</v>
      </c>
      <c r="N54" s="613" t="s">
        <v>464</v>
      </c>
      <c r="O54" s="613"/>
    </row>
    <row r="55" spans="5:15" x14ac:dyDescent="0.3">
      <c r="L55" s="613" t="s">
        <v>1195</v>
      </c>
      <c r="M55" s="613" t="s">
        <v>464</v>
      </c>
      <c r="N55" s="613" t="s">
        <v>464</v>
      </c>
      <c r="O55" s="613"/>
    </row>
    <row r="56" spans="5:15" x14ac:dyDescent="0.3">
      <c r="L56" s="613" t="s">
        <v>488</v>
      </c>
      <c r="M56" s="613" t="s">
        <v>464</v>
      </c>
      <c r="N56" s="613" t="s">
        <v>464</v>
      </c>
      <c r="O56" s="613"/>
    </row>
    <row r="57" spans="5:15" x14ac:dyDescent="0.3">
      <c r="L57" s="613" t="s">
        <v>1196</v>
      </c>
      <c r="M57" s="613" t="s">
        <v>464</v>
      </c>
      <c r="N57" s="613" t="s">
        <v>464</v>
      </c>
      <c r="O57" s="613"/>
    </row>
    <row r="58" spans="5:15" x14ac:dyDescent="0.3">
      <c r="L58" s="613" t="s">
        <v>1197</v>
      </c>
      <c r="M58" s="613" t="s">
        <v>464</v>
      </c>
      <c r="N58" s="613" t="s">
        <v>464</v>
      </c>
      <c r="O58" s="613"/>
    </row>
    <row r="59" spans="5:15" x14ac:dyDescent="0.3">
      <c r="L59" s="616" t="s">
        <v>1198</v>
      </c>
      <c r="M59" s="616">
        <v>0.15</v>
      </c>
      <c r="N59" s="616" t="s">
        <v>464</v>
      </c>
      <c r="O59" s="613" t="s">
        <v>1524</v>
      </c>
    </row>
    <row r="60" spans="5:15" x14ac:dyDescent="0.3">
      <c r="L60" s="613" t="s">
        <v>489</v>
      </c>
      <c r="M60" s="613" t="s">
        <v>464</v>
      </c>
      <c r="N60" s="613" t="s">
        <v>464</v>
      </c>
      <c r="O60" s="613"/>
    </row>
    <row r="61" spans="5:15" x14ac:dyDescent="0.3">
      <c r="L61" s="613" t="s">
        <v>1199</v>
      </c>
      <c r="M61" s="613" t="s">
        <v>464</v>
      </c>
      <c r="N61" s="613" t="s">
        <v>464</v>
      </c>
      <c r="O61" s="613"/>
    </row>
    <row r="62" spans="5:15" x14ac:dyDescent="0.3">
      <c r="L62" s="613" t="s">
        <v>1200</v>
      </c>
      <c r="M62" s="613" t="s">
        <v>464</v>
      </c>
      <c r="N62" s="613" t="s">
        <v>464</v>
      </c>
      <c r="O62" s="613"/>
    </row>
    <row r="63" spans="5:15" x14ac:dyDescent="0.3">
      <c r="L63" s="613" t="s">
        <v>1201</v>
      </c>
      <c r="M63" s="613" t="s">
        <v>464</v>
      </c>
      <c r="N63" s="613" t="s">
        <v>464</v>
      </c>
      <c r="O63" s="613"/>
    </row>
    <row r="64" spans="5:15" x14ac:dyDescent="0.3">
      <c r="L64" s="613" t="s">
        <v>1202</v>
      </c>
      <c r="M64" s="613" t="s">
        <v>464</v>
      </c>
      <c r="N64" s="613" t="s">
        <v>464</v>
      </c>
      <c r="O64" s="613"/>
    </row>
    <row r="65" spans="12:15" x14ac:dyDescent="0.3">
      <c r="L65" s="613" t="s">
        <v>1203</v>
      </c>
      <c r="M65" s="613" t="s">
        <v>464</v>
      </c>
      <c r="N65" s="613" t="s">
        <v>464</v>
      </c>
      <c r="O65" s="613"/>
    </row>
    <row r="66" spans="12:15" x14ac:dyDescent="0.3">
      <c r="L66" s="613" t="s">
        <v>821</v>
      </c>
      <c r="M66" s="613" t="s">
        <v>464</v>
      </c>
      <c r="N66" s="613" t="s">
        <v>464</v>
      </c>
      <c r="O66" s="613"/>
    </row>
    <row r="67" spans="12:15" x14ac:dyDescent="0.3">
      <c r="L67" s="613" t="s">
        <v>1204</v>
      </c>
      <c r="M67" s="613" t="s">
        <v>464</v>
      </c>
      <c r="N67" s="613" t="s">
        <v>464</v>
      </c>
      <c r="O67" s="613"/>
    </row>
    <row r="68" spans="12:15" x14ac:dyDescent="0.3">
      <c r="L68" s="613" t="s">
        <v>1205</v>
      </c>
      <c r="M68" s="613" t="s">
        <v>464</v>
      </c>
      <c r="N68" s="613" t="s">
        <v>464</v>
      </c>
      <c r="O68" s="613"/>
    </row>
    <row r="69" spans="12:15" x14ac:dyDescent="0.3">
      <c r="L69" s="613" t="s">
        <v>1206</v>
      </c>
      <c r="M69" s="613" t="s">
        <v>464</v>
      </c>
      <c r="N69" s="613" t="s">
        <v>464</v>
      </c>
      <c r="O69" s="613"/>
    </row>
    <row r="70" spans="12:15" x14ac:dyDescent="0.3">
      <c r="L70" s="613" t="s">
        <v>1207</v>
      </c>
      <c r="M70" s="613" t="s">
        <v>464</v>
      </c>
      <c r="N70" s="613" t="s">
        <v>464</v>
      </c>
      <c r="O70" s="613"/>
    </row>
    <row r="71" spans="12:15" x14ac:dyDescent="0.3">
      <c r="L71" s="613" t="s">
        <v>1208</v>
      </c>
      <c r="M71" s="613" t="s">
        <v>464</v>
      </c>
      <c r="N71" s="613" t="s">
        <v>464</v>
      </c>
      <c r="O71" s="613"/>
    </row>
    <row r="72" spans="12:15" x14ac:dyDescent="0.3">
      <c r="L72" s="613" t="s">
        <v>1209</v>
      </c>
      <c r="M72" s="613" t="s">
        <v>464</v>
      </c>
      <c r="N72" s="613" t="s">
        <v>464</v>
      </c>
      <c r="O72" s="613"/>
    </row>
    <row r="73" spans="12:15" x14ac:dyDescent="0.3">
      <c r="L73" s="613" t="s">
        <v>1210</v>
      </c>
      <c r="M73" s="613" t="s">
        <v>464</v>
      </c>
      <c r="N73" s="613" t="s">
        <v>464</v>
      </c>
      <c r="O73" s="613"/>
    </row>
    <row r="74" spans="12:15" x14ac:dyDescent="0.3">
      <c r="L74" s="613" t="s">
        <v>1211</v>
      </c>
      <c r="M74" s="613" t="s">
        <v>464</v>
      </c>
      <c r="N74" s="613" t="s">
        <v>464</v>
      </c>
      <c r="O74" s="613"/>
    </row>
    <row r="75" spans="12:15" x14ac:dyDescent="0.3">
      <c r="L75" s="613" t="s">
        <v>1212</v>
      </c>
      <c r="M75" s="613" t="s">
        <v>464</v>
      </c>
      <c r="N75" s="613" t="s">
        <v>464</v>
      </c>
      <c r="O75" s="613"/>
    </row>
    <row r="76" spans="12:15" x14ac:dyDescent="0.3">
      <c r="L76" s="613" t="s">
        <v>1213</v>
      </c>
      <c r="M76" s="613" t="s">
        <v>464</v>
      </c>
      <c r="N76" s="613" t="s">
        <v>464</v>
      </c>
      <c r="O76" s="613"/>
    </row>
    <row r="77" spans="12:15" x14ac:dyDescent="0.3">
      <c r="L77" s="613" t="s">
        <v>1214</v>
      </c>
      <c r="M77" s="613" t="s">
        <v>464</v>
      </c>
      <c r="N77" s="613" t="s">
        <v>464</v>
      </c>
      <c r="O77" s="613"/>
    </row>
    <row r="78" spans="12:15" x14ac:dyDescent="0.3">
      <c r="L78" s="613" t="s">
        <v>1215</v>
      </c>
      <c r="M78" s="613" t="s">
        <v>464</v>
      </c>
      <c r="N78" s="613" t="s">
        <v>464</v>
      </c>
      <c r="O78" s="613"/>
    </row>
    <row r="79" spans="12:15" x14ac:dyDescent="0.3">
      <c r="L79" s="613" t="s">
        <v>1216</v>
      </c>
      <c r="M79" s="613" t="s">
        <v>464</v>
      </c>
      <c r="N79" s="613" t="s">
        <v>464</v>
      </c>
      <c r="O79" s="613"/>
    </row>
    <row r="80" spans="12:15" x14ac:dyDescent="0.3">
      <c r="L80" s="613" t="s">
        <v>1217</v>
      </c>
      <c r="M80" s="613" t="s">
        <v>464</v>
      </c>
      <c r="N80" s="613" t="s">
        <v>464</v>
      </c>
      <c r="O80" s="613"/>
    </row>
    <row r="81" spans="12:15" x14ac:dyDescent="0.3">
      <c r="L81" s="613" t="s">
        <v>1218</v>
      </c>
      <c r="M81" s="613" t="s">
        <v>464</v>
      </c>
      <c r="N81" s="613" t="s">
        <v>464</v>
      </c>
      <c r="O81" s="613"/>
    </row>
    <row r="82" spans="12:15" x14ac:dyDescent="0.3">
      <c r="L82" s="613" t="s">
        <v>1219</v>
      </c>
      <c r="M82" s="613" t="s">
        <v>464</v>
      </c>
      <c r="N82" s="613" t="s">
        <v>464</v>
      </c>
      <c r="O82" s="613"/>
    </row>
    <row r="83" spans="12:15" x14ac:dyDescent="0.3">
      <c r="L83" s="613" t="s">
        <v>822</v>
      </c>
      <c r="M83" s="613" t="s">
        <v>464</v>
      </c>
      <c r="N83" s="613" t="s">
        <v>464</v>
      </c>
      <c r="O83" s="613"/>
    </row>
    <row r="84" spans="12:15" x14ac:dyDescent="0.3">
      <c r="L84" s="613" t="s">
        <v>490</v>
      </c>
      <c r="M84" s="613" t="s">
        <v>464</v>
      </c>
      <c r="N84" s="613" t="s">
        <v>464</v>
      </c>
      <c r="O84" s="613"/>
    </row>
    <row r="85" spans="12:15" x14ac:dyDescent="0.3">
      <c r="L85" s="613" t="s">
        <v>1220</v>
      </c>
      <c r="M85" s="613" t="s">
        <v>464</v>
      </c>
      <c r="N85" s="613" t="s">
        <v>464</v>
      </c>
      <c r="O85" s="613"/>
    </row>
    <row r="86" spans="12:15" x14ac:dyDescent="0.3">
      <c r="L86" s="613" t="s">
        <v>1221</v>
      </c>
      <c r="M86" s="613" t="s">
        <v>464</v>
      </c>
      <c r="N86" s="613" t="s">
        <v>464</v>
      </c>
      <c r="O86" s="613"/>
    </row>
    <row r="87" spans="12:15" x14ac:dyDescent="0.3">
      <c r="L87" s="613" t="s">
        <v>1222</v>
      </c>
      <c r="M87" s="613" t="s">
        <v>464</v>
      </c>
      <c r="N87" s="613" t="s">
        <v>464</v>
      </c>
      <c r="O87" s="613"/>
    </row>
    <row r="88" spans="12:15" x14ac:dyDescent="0.3">
      <c r="L88" s="613" t="s">
        <v>1223</v>
      </c>
      <c r="M88" s="613" t="s">
        <v>464</v>
      </c>
      <c r="N88" s="613" t="s">
        <v>464</v>
      </c>
      <c r="O88" s="613"/>
    </row>
    <row r="89" spans="12:15" x14ac:dyDescent="0.3">
      <c r="L89" s="613" t="s">
        <v>491</v>
      </c>
      <c r="M89" s="613" t="s">
        <v>464</v>
      </c>
      <c r="N89" s="613" t="s">
        <v>464</v>
      </c>
      <c r="O89" s="613"/>
    </row>
    <row r="90" spans="12:15" x14ac:dyDescent="0.3">
      <c r="L90" s="613" t="s">
        <v>1224</v>
      </c>
      <c r="M90" s="613" t="s">
        <v>464</v>
      </c>
      <c r="N90" s="613" t="s">
        <v>464</v>
      </c>
      <c r="O90" s="613"/>
    </row>
    <row r="91" spans="12:15" x14ac:dyDescent="0.3">
      <c r="L91" s="613" t="s">
        <v>394</v>
      </c>
      <c r="M91" s="613" t="s">
        <v>464</v>
      </c>
      <c r="N91" s="613" t="s">
        <v>464</v>
      </c>
      <c r="O91" s="613"/>
    </row>
    <row r="92" spans="12:15" x14ac:dyDescent="0.3">
      <c r="L92" s="613" t="s">
        <v>395</v>
      </c>
      <c r="M92" s="613" t="s">
        <v>464</v>
      </c>
      <c r="N92" s="613" t="s">
        <v>464</v>
      </c>
      <c r="O92" s="613"/>
    </row>
    <row r="93" spans="12:15" x14ac:dyDescent="0.3">
      <c r="L93" s="616" t="s">
        <v>1225</v>
      </c>
      <c r="M93" s="616">
        <v>0.05</v>
      </c>
      <c r="N93" s="616" t="s">
        <v>464</v>
      </c>
      <c r="O93" s="613" t="s">
        <v>1524</v>
      </c>
    </row>
    <row r="94" spans="12:15" x14ac:dyDescent="0.3">
      <c r="L94" s="613" t="s">
        <v>492</v>
      </c>
      <c r="M94" s="613" t="s">
        <v>464</v>
      </c>
      <c r="N94" s="613" t="s">
        <v>464</v>
      </c>
      <c r="O94" s="613"/>
    </row>
    <row r="95" spans="12:15" x14ac:dyDescent="0.3">
      <c r="L95" s="613" t="s">
        <v>1226</v>
      </c>
      <c r="M95" s="613" t="s">
        <v>464</v>
      </c>
      <c r="N95" s="613" t="s">
        <v>464</v>
      </c>
      <c r="O95" s="613"/>
    </row>
    <row r="96" spans="12:15" x14ac:dyDescent="0.3">
      <c r="L96" s="613" t="s">
        <v>823</v>
      </c>
      <c r="M96" s="613" t="s">
        <v>464</v>
      </c>
      <c r="N96" s="613" t="s">
        <v>464</v>
      </c>
      <c r="O96" s="613"/>
    </row>
    <row r="97" spans="12:16" x14ac:dyDescent="0.3">
      <c r="L97" s="613" t="s">
        <v>1227</v>
      </c>
      <c r="M97" s="613" t="s">
        <v>464</v>
      </c>
      <c r="N97" s="613" t="s">
        <v>464</v>
      </c>
      <c r="O97" s="613"/>
    </row>
    <row r="98" spans="12:16" x14ac:dyDescent="0.3">
      <c r="L98" s="613" t="s">
        <v>824</v>
      </c>
      <c r="M98" s="613" t="s">
        <v>464</v>
      </c>
      <c r="N98" s="613" t="s">
        <v>464</v>
      </c>
      <c r="O98" s="613"/>
    </row>
    <row r="99" spans="12:16" x14ac:dyDescent="0.3">
      <c r="L99" s="615" t="s">
        <v>1228</v>
      </c>
      <c r="M99" s="615">
        <v>0.03</v>
      </c>
      <c r="N99" s="615">
        <v>0.05</v>
      </c>
      <c r="O99" s="613" t="s">
        <v>1529</v>
      </c>
      <c r="P99" s="622" t="s">
        <v>1525</v>
      </c>
    </row>
    <row r="100" spans="12:16" x14ac:dyDescent="0.3">
      <c r="L100" s="613" t="s">
        <v>1229</v>
      </c>
      <c r="M100" s="613" t="s">
        <v>464</v>
      </c>
      <c r="N100" s="613" t="s">
        <v>464</v>
      </c>
      <c r="O100" s="613"/>
    </row>
    <row r="101" spans="12:16" x14ac:dyDescent="0.3">
      <c r="L101" s="613" t="s">
        <v>1230</v>
      </c>
      <c r="M101" s="613" t="s">
        <v>464</v>
      </c>
      <c r="N101" s="613" t="s">
        <v>464</v>
      </c>
      <c r="O101" s="613"/>
    </row>
    <row r="102" spans="12:16" x14ac:dyDescent="0.3">
      <c r="L102" s="613" t="s">
        <v>1231</v>
      </c>
      <c r="M102" s="613" t="s">
        <v>464</v>
      </c>
      <c r="N102" s="613" t="s">
        <v>464</v>
      </c>
      <c r="O102" s="613"/>
    </row>
    <row r="103" spans="12:16" x14ac:dyDescent="0.3">
      <c r="L103" s="613" t="s">
        <v>1232</v>
      </c>
      <c r="M103" s="613" t="s">
        <v>464</v>
      </c>
      <c r="N103" s="613" t="s">
        <v>464</v>
      </c>
      <c r="O103" s="613"/>
    </row>
    <row r="104" spans="12:16" x14ac:dyDescent="0.3">
      <c r="L104" s="613" t="s">
        <v>1233</v>
      </c>
      <c r="M104" s="613" t="s">
        <v>464</v>
      </c>
      <c r="N104" s="613" t="s">
        <v>464</v>
      </c>
      <c r="O104" s="613"/>
    </row>
    <row r="105" spans="12:16" x14ac:dyDescent="0.3">
      <c r="L105" s="613" t="s">
        <v>825</v>
      </c>
      <c r="M105" s="613" t="s">
        <v>464</v>
      </c>
      <c r="N105" s="613" t="s">
        <v>464</v>
      </c>
      <c r="O105" s="613"/>
    </row>
    <row r="106" spans="12:16" x14ac:dyDescent="0.3">
      <c r="L106" s="613" t="s">
        <v>494</v>
      </c>
      <c r="M106" s="613" t="s">
        <v>464</v>
      </c>
      <c r="N106" s="613" t="s">
        <v>464</v>
      </c>
      <c r="O106" s="613"/>
    </row>
    <row r="107" spans="12:16" x14ac:dyDescent="0.3">
      <c r="L107" s="613" t="s">
        <v>495</v>
      </c>
      <c r="M107" s="613" t="s">
        <v>464</v>
      </c>
      <c r="N107" s="613" t="s">
        <v>464</v>
      </c>
      <c r="O107" s="613"/>
    </row>
    <row r="108" spans="12:16" x14ac:dyDescent="0.3">
      <c r="L108" s="613" t="s">
        <v>1234</v>
      </c>
      <c r="M108" s="613" t="s">
        <v>464</v>
      </c>
      <c r="N108" s="613" t="s">
        <v>464</v>
      </c>
      <c r="O108" s="613"/>
    </row>
    <row r="109" spans="12:16" x14ac:dyDescent="0.3">
      <c r="L109" s="613" t="s">
        <v>1235</v>
      </c>
      <c r="M109" s="613" t="s">
        <v>464</v>
      </c>
      <c r="N109" s="613" t="s">
        <v>464</v>
      </c>
      <c r="O109" s="613"/>
    </row>
    <row r="110" spans="12:16" x14ac:dyDescent="0.3">
      <c r="L110" s="613" t="s">
        <v>1236</v>
      </c>
      <c r="M110" s="613" t="s">
        <v>464</v>
      </c>
      <c r="N110" s="613" t="s">
        <v>464</v>
      </c>
      <c r="O110" s="613" t="s">
        <v>1622</v>
      </c>
    </row>
    <row r="111" spans="12:16" x14ac:dyDescent="0.3">
      <c r="L111" s="613" t="s">
        <v>826</v>
      </c>
      <c r="M111" s="613" t="s">
        <v>464</v>
      </c>
      <c r="N111" s="613" t="s">
        <v>464</v>
      </c>
      <c r="O111" s="613"/>
    </row>
    <row r="112" spans="12:16" x14ac:dyDescent="0.3">
      <c r="L112" s="613" t="s">
        <v>1237</v>
      </c>
      <c r="M112" s="613" t="s">
        <v>464</v>
      </c>
      <c r="N112" s="613" t="s">
        <v>464</v>
      </c>
      <c r="O112" s="613"/>
    </row>
    <row r="113" spans="12:15" x14ac:dyDescent="0.3">
      <c r="L113" s="613" t="s">
        <v>1238</v>
      </c>
      <c r="M113" s="613" t="s">
        <v>464</v>
      </c>
      <c r="N113" s="613" t="s">
        <v>464</v>
      </c>
      <c r="O113" s="613"/>
    </row>
    <row r="114" spans="12:15" x14ac:dyDescent="0.3">
      <c r="L114" s="613" t="s">
        <v>1239</v>
      </c>
      <c r="M114" s="613" t="s">
        <v>464</v>
      </c>
      <c r="N114" s="613" t="s">
        <v>464</v>
      </c>
      <c r="O114" s="613"/>
    </row>
    <row r="115" spans="12:15" x14ac:dyDescent="0.3">
      <c r="L115" s="613" t="s">
        <v>1240</v>
      </c>
      <c r="M115" s="613" t="s">
        <v>464</v>
      </c>
      <c r="N115" s="613" t="s">
        <v>464</v>
      </c>
      <c r="O115" s="613"/>
    </row>
    <row r="116" spans="12:15" x14ac:dyDescent="0.3">
      <c r="L116" s="616" t="s">
        <v>1241</v>
      </c>
      <c r="M116" s="616">
        <v>0.03</v>
      </c>
      <c r="N116" s="616" t="s">
        <v>464</v>
      </c>
      <c r="O116" s="613" t="s">
        <v>1524</v>
      </c>
    </row>
    <row r="117" spans="12:15" x14ac:dyDescent="0.3">
      <c r="L117" s="613" t="s">
        <v>1242</v>
      </c>
      <c r="M117" s="613" t="s">
        <v>464</v>
      </c>
      <c r="N117" s="613" t="s">
        <v>464</v>
      </c>
      <c r="O117" s="613"/>
    </row>
    <row r="118" spans="12:15" x14ac:dyDescent="0.3">
      <c r="L118" s="613" t="s">
        <v>1243</v>
      </c>
      <c r="M118" s="613" t="s">
        <v>464</v>
      </c>
      <c r="N118" s="613" t="s">
        <v>464</v>
      </c>
      <c r="O118" s="613"/>
    </row>
    <row r="119" spans="12:15" x14ac:dyDescent="0.3">
      <c r="L119" s="613" t="s">
        <v>1244</v>
      </c>
      <c r="M119" s="613" t="s">
        <v>464</v>
      </c>
      <c r="N119" s="613" t="s">
        <v>464</v>
      </c>
      <c r="O119" s="613"/>
    </row>
    <row r="120" spans="12:15" x14ac:dyDescent="0.3">
      <c r="L120" s="613" t="s">
        <v>827</v>
      </c>
      <c r="M120" s="613" t="s">
        <v>464</v>
      </c>
      <c r="N120" s="613" t="s">
        <v>464</v>
      </c>
      <c r="O120" s="613"/>
    </row>
    <row r="121" spans="12:15" x14ac:dyDescent="0.3">
      <c r="L121" s="613" t="s">
        <v>1245</v>
      </c>
      <c r="M121" s="613" t="s">
        <v>464</v>
      </c>
      <c r="N121" s="613" t="s">
        <v>464</v>
      </c>
      <c r="O121" s="613"/>
    </row>
    <row r="122" spans="12:15" x14ac:dyDescent="0.3">
      <c r="L122" s="613" t="s">
        <v>828</v>
      </c>
      <c r="M122" s="613" t="s">
        <v>464</v>
      </c>
      <c r="N122" s="613" t="s">
        <v>464</v>
      </c>
      <c r="O122" s="613" t="s">
        <v>1622</v>
      </c>
    </row>
    <row r="123" spans="12:15" x14ac:dyDescent="0.3">
      <c r="L123" s="613" t="s">
        <v>1246</v>
      </c>
      <c r="M123" s="613" t="s">
        <v>464</v>
      </c>
      <c r="N123" s="613" t="s">
        <v>464</v>
      </c>
      <c r="O123" s="613"/>
    </row>
    <row r="124" spans="12:15" x14ac:dyDescent="0.3">
      <c r="L124" s="613" t="s">
        <v>1247</v>
      </c>
      <c r="M124" s="613" t="s">
        <v>464</v>
      </c>
      <c r="N124" s="613" t="s">
        <v>464</v>
      </c>
      <c r="O124" s="613"/>
    </row>
    <row r="125" spans="12:15" x14ac:dyDescent="0.3">
      <c r="L125" s="613" t="s">
        <v>1248</v>
      </c>
      <c r="M125" s="613" t="s">
        <v>464</v>
      </c>
      <c r="N125" s="613" t="s">
        <v>464</v>
      </c>
      <c r="O125" s="613"/>
    </row>
    <row r="126" spans="12:15" x14ac:dyDescent="0.3">
      <c r="L126" s="613" t="s">
        <v>1249</v>
      </c>
      <c r="M126" s="613" t="s">
        <v>464</v>
      </c>
      <c r="N126" s="613" t="s">
        <v>464</v>
      </c>
      <c r="O126" s="613"/>
    </row>
    <row r="127" spans="12:15" x14ac:dyDescent="0.3">
      <c r="L127" s="613" t="s">
        <v>496</v>
      </c>
      <c r="M127" s="613" t="s">
        <v>464</v>
      </c>
      <c r="N127" s="613" t="s">
        <v>464</v>
      </c>
      <c r="O127" s="613"/>
    </row>
    <row r="128" spans="12:15" x14ac:dyDescent="0.3">
      <c r="L128" s="613" t="s">
        <v>1250</v>
      </c>
      <c r="M128" s="613" t="s">
        <v>464</v>
      </c>
      <c r="N128" s="613" t="s">
        <v>464</v>
      </c>
      <c r="O128" s="613"/>
    </row>
    <row r="129" spans="12:16" x14ac:dyDescent="0.3">
      <c r="L129" s="613" t="s">
        <v>1251</v>
      </c>
      <c r="M129" s="613" t="s">
        <v>464</v>
      </c>
      <c r="N129" s="613" t="s">
        <v>464</v>
      </c>
      <c r="O129" s="613"/>
    </row>
    <row r="130" spans="12:16" x14ac:dyDescent="0.3">
      <c r="L130" s="613" t="s">
        <v>497</v>
      </c>
      <c r="M130" s="613" t="s">
        <v>464</v>
      </c>
      <c r="N130" s="613" t="s">
        <v>464</v>
      </c>
      <c r="O130" s="613"/>
    </row>
    <row r="131" spans="12:16" x14ac:dyDescent="0.3">
      <c r="L131" s="616" t="s">
        <v>1252</v>
      </c>
      <c r="M131" s="616">
        <v>0.03</v>
      </c>
      <c r="N131" s="616" t="s">
        <v>464</v>
      </c>
      <c r="O131" s="613" t="s">
        <v>1524</v>
      </c>
    </row>
    <row r="132" spans="12:16" x14ac:dyDescent="0.3">
      <c r="L132" s="613" t="s">
        <v>1253</v>
      </c>
      <c r="M132" s="613" t="s">
        <v>464</v>
      </c>
      <c r="N132" s="613" t="s">
        <v>464</v>
      </c>
      <c r="O132" s="613"/>
    </row>
    <row r="133" spans="12:16" x14ac:dyDescent="0.3">
      <c r="L133" s="613" t="s">
        <v>1254</v>
      </c>
      <c r="M133" s="613" t="s">
        <v>464</v>
      </c>
      <c r="N133" s="613" t="s">
        <v>464</v>
      </c>
      <c r="O133" s="613"/>
    </row>
    <row r="134" spans="12:16" x14ac:dyDescent="0.3">
      <c r="L134" s="613" t="s">
        <v>1255</v>
      </c>
      <c r="M134" s="613" t="s">
        <v>464</v>
      </c>
      <c r="N134" s="613" t="s">
        <v>464</v>
      </c>
      <c r="O134" s="613"/>
    </row>
    <row r="135" spans="12:16" x14ac:dyDescent="0.3">
      <c r="L135" s="613" t="s">
        <v>389</v>
      </c>
      <c r="M135" s="613" t="s">
        <v>464</v>
      </c>
      <c r="N135" s="613" t="s">
        <v>464</v>
      </c>
      <c r="O135" s="613"/>
    </row>
    <row r="136" spans="12:16" x14ac:dyDescent="0.3">
      <c r="L136" s="613" t="s">
        <v>498</v>
      </c>
      <c r="M136" s="613" t="s">
        <v>464</v>
      </c>
      <c r="N136" s="613" t="s">
        <v>464</v>
      </c>
      <c r="O136" s="613"/>
    </row>
    <row r="137" spans="12:16" x14ac:dyDescent="0.3">
      <c r="L137" s="613" t="s">
        <v>1256</v>
      </c>
      <c r="M137" s="613" t="s">
        <v>464</v>
      </c>
      <c r="N137" s="613" t="s">
        <v>464</v>
      </c>
      <c r="O137" s="613"/>
    </row>
    <row r="138" spans="12:16" x14ac:dyDescent="0.3">
      <c r="L138" s="613" t="s">
        <v>1257</v>
      </c>
      <c r="M138" s="613" t="s">
        <v>464</v>
      </c>
      <c r="N138" s="613" t="s">
        <v>464</v>
      </c>
      <c r="O138" s="613"/>
    </row>
    <row r="139" spans="12:16" x14ac:dyDescent="0.3">
      <c r="L139" s="613" t="s">
        <v>499</v>
      </c>
      <c r="M139" s="613" t="s">
        <v>464</v>
      </c>
      <c r="N139" s="613" t="s">
        <v>464</v>
      </c>
      <c r="O139" s="613"/>
    </row>
    <row r="140" spans="12:16" x14ac:dyDescent="0.3">
      <c r="L140" s="613" t="s">
        <v>500</v>
      </c>
      <c r="M140" s="613" t="s">
        <v>464</v>
      </c>
      <c r="N140" s="613" t="s">
        <v>464</v>
      </c>
      <c r="O140" s="613"/>
    </row>
    <row r="141" spans="12:16" x14ac:dyDescent="0.3">
      <c r="L141" s="613" t="s">
        <v>1258</v>
      </c>
      <c r="M141" s="613" t="s">
        <v>464</v>
      </c>
      <c r="N141" s="613" t="s">
        <v>464</v>
      </c>
      <c r="O141" s="613"/>
    </row>
    <row r="142" spans="12:16" x14ac:dyDescent="0.3">
      <c r="L142" s="613" t="s">
        <v>1259</v>
      </c>
      <c r="M142" s="613" t="s">
        <v>464</v>
      </c>
      <c r="N142" s="613" t="s">
        <v>464</v>
      </c>
      <c r="O142" s="613"/>
    </row>
    <row r="143" spans="12:16" x14ac:dyDescent="0.3">
      <c r="L143" s="615" t="s">
        <v>1260</v>
      </c>
      <c r="M143" s="615">
        <v>0.03</v>
      </c>
      <c r="N143" s="615">
        <v>0.05</v>
      </c>
      <c r="O143" s="613" t="s">
        <v>1529</v>
      </c>
      <c r="P143" s="622" t="s">
        <v>1525</v>
      </c>
    </row>
    <row r="144" spans="12:16" x14ac:dyDescent="0.3">
      <c r="L144" s="615" t="s">
        <v>829</v>
      </c>
      <c r="M144" s="615">
        <v>0.03</v>
      </c>
      <c r="N144" s="615">
        <v>0.05</v>
      </c>
      <c r="O144" s="613" t="s">
        <v>1529</v>
      </c>
      <c r="P144" s="622" t="s">
        <v>1525</v>
      </c>
    </row>
    <row r="145" spans="12:15" x14ac:dyDescent="0.3">
      <c r="L145" s="613" t="s">
        <v>1261</v>
      </c>
      <c r="M145" s="613" t="s">
        <v>464</v>
      </c>
      <c r="N145" s="613" t="s">
        <v>464</v>
      </c>
      <c r="O145" s="613"/>
    </row>
    <row r="146" spans="12:15" x14ac:dyDescent="0.3">
      <c r="L146" s="613" t="s">
        <v>1262</v>
      </c>
      <c r="M146" s="613" t="s">
        <v>464</v>
      </c>
      <c r="N146" s="613" t="s">
        <v>464</v>
      </c>
      <c r="O146" s="613"/>
    </row>
    <row r="147" spans="12:15" x14ac:dyDescent="0.3">
      <c r="L147" s="613" t="s">
        <v>1263</v>
      </c>
      <c r="M147" s="613" t="s">
        <v>464</v>
      </c>
      <c r="N147" s="613" t="s">
        <v>464</v>
      </c>
      <c r="O147" s="613"/>
    </row>
    <row r="148" spans="12:15" x14ac:dyDescent="0.3">
      <c r="L148" s="613" t="s">
        <v>1264</v>
      </c>
      <c r="M148" s="613" t="s">
        <v>464</v>
      </c>
      <c r="N148" s="613" t="s">
        <v>464</v>
      </c>
      <c r="O148" s="613"/>
    </row>
    <row r="149" spans="12:15" x14ac:dyDescent="0.3">
      <c r="L149" s="613" t="s">
        <v>502</v>
      </c>
      <c r="M149" s="613" t="s">
        <v>464</v>
      </c>
      <c r="N149" s="613" t="s">
        <v>464</v>
      </c>
      <c r="O149" s="613"/>
    </row>
    <row r="150" spans="12:15" x14ac:dyDescent="0.3">
      <c r="L150" s="613" t="s">
        <v>503</v>
      </c>
      <c r="M150" s="613" t="s">
        <v>464</v>
      </c>
      <c r="N150" s="613" t="s">
        <v>464</v>
      </c>
      <c r="O150" s="613"/>
    </row>
    <row r="151" spans="12:15" x14ac:dyDescent="0.3">
      <c r="L151" s="613" t="s">
        <v>1265</v>
      </c>
      <c r="M151" s="613" t="s">
        <v>464</v>
      </c>
      <c r="N151" s="613" t="s">
        <v>464</v>
      </c>
      <c r="O151" s="613"/>
    </row>
    <row r="152" spans="12:15" x14ac:dyDescent="0.3">
      <c r="L152" s="613" t="s">
        <v>1266</v>
      </c>
      <c r="M152" s="613" t="s">
        <v>464</v>
      </c>
      <c r="N152" s="613" t="s">
        <v>464</v>
      </c>
      <c r="O152" s="613"/>
    </row>
    <row r="153" spans="12:15" x14ac:dyDescent="0.3">
      <c r="L153" s="613" t="s">
        <v>504</v>
      </c>
      <c r="M153" s="613" t="s">
        <v>464</v>
      </c>
      <c r="N153" s="613" t="s">
        <v>464</v>
      </c>
      <c r="O153" s="613" t="s">
        <v>1622</v>
      </c>
    </row>
    <row r="154" spans="12:15" x14ac:dyDescent="0.3">
      <c r="L154" s="613" t="s">
        <v>830</v>
      </c>
      <c r="M154" s="613" t="s">
        <v>464</v>
      </c>
      <c r="N154" s="613" t="s">
        <v>464</v>
      </c>
      <c r="O154" s="613"/>
    </row>
    <row r="155" spans="12:15" x14ac:dyDescent="0.3">
      <c r="L155" s="613" t="s">
        <v>831</v>
      </c>
      <c r="M155" s="613" t="s">
        <v>464</v>
      </c>
      <c r="N155" s="613" t="s">
        <v>464</v>
      </c>
      <c r="O155" s="613"/>
    </row>
    <row r="156" spans="12:15" x14ac:dyDescent="0.3">
      <c r="L156" s="613" t="s">
        <v>506</v>
      </c>
      <c r="M156" s="613" t="s">
        <v>464</v>
      </c>
      <c r="N156" s="613" t="s">
        <v>464</v>
      </c>
      <c r="O156" s="613"/>
    </row>
    <row r="157" spans="12:15" x14ac:dyDescent="0.3">
      <c r="L157" s="613" t="s">
        <v>507</v>
      </c>
      <c r="M157" s="613" t="s">
        <v>464</v>
      </c>
      <c r="N157" s="613" t="s">
        <v>464</v>
      </c>
      <c r="O157" s="613"/>
    </row>
    <row r="158" spans="12:15" x14ac:dyDescent="0.3">
      <c r="L158" s="613" t="s">
        <v>508</v>
      </c>
      <c r="M158" s="613" t="s">
        <v>464</v>
      </c>
      <c r="N158" s="613" t="s">
        <v>464</v>
      </c>
      <c r="O158" s="613"/>
    </row>
    <row r="159" spans="12:15" x14ac:dyDescent="0.3">
      <c r="L159" s="613" t="s">
        <v>1267</v>
      </c>
      <c r="M159" s="613" t="s">
        <v>464</v>
      </c>
      <c r="N159" s="613" t="s">
        <v>464</v>
      </c>
      <c r="O159" s="613"/>
    </row>
    <row r="160" spans="12:15" x14ac:dyDescent="0.3">
      <c r="L160" s="613" t="s">
        <v>1268</v>
      </c>
      <c r="M160" s="613" t="s">
        <v>464</v>
      </c>
      <c r="N160" s="613" t="s">
        <v>464</v>
      </c>
      <c r="O160" s="613"/>
    </row>
    <row r="161" spans="12:16" x14ac:dyDescent="0.3">
      <c r="L161" s="613" t="s">
        <v>1269</v>
      </c>
      <c r="M161" s="613" t="s">
        <v>464</v>
      </c>
      <c r="N161" s="613" t="s">
        <v>464</v>
      </c>
      <c r="O161" s="613"/>
    </row>
    <row r="162" spans="12:16" x14ac:dyDescent="0.3">
      <c r="L162" s="613" t="s">
        <v>1270</v>
      </c>
      <c r="M162" s="613" t="s">
        <v>464</v>
      </c>
      <c r="N162" s="613" t="s">
        <v>464</v>
      </c>
      <c r="O162" s="613"/>
    </row>
    <row r="163" spans="12:16" x14ac:dyDescent="0.3">
      <c r="L163" s="613" t="s">
        <v>1271</v>
      </c>
      <c r="M163" s="613" t="s">
        <v>464</v>
      </c>
      <c r="N163" s="613" t="s">
        <v>464</v>
      </c>
      <c r="O163" s="613"/>
    </row>
    <row r="164" spans="12:16" x14ac:dyDescent="0.3">
      <c r="L164" s="613" t="s">
        <v>1272</v>
      </c>
      <c r="M164" s="613" t="s">
        <v>464</v>
      </c>
      <c r="N164" s="613" t="s">
        <v>464</v>
      </c>
      <c r="O164" s="613"/>
    </row>
    <row r="165" spans="12:16" x14ac:dyDescent="0.3">
      <c r="L165" s="615" t="s">
        <v>1273</v>
      </c>
      <c r="M165" s="615">
        <v>0.03</v>
      </c>
      <c r="N165" s="615">
        <v>0.05</v>
      </c>
      <c r="O165" s="613" t="s">
        <v>1529</v>
      </c>
      <c r="P165" s="622" t="s">
        <v>1525</v>
      </c>
    </row>
    <row r="166" spans="12:16" x14ac:dyDescent="0.3">
      <c r="L166" s="613" t="s">
        <v>1274</v>
      </c>
      <c r="M166" s="613" t="s">
        <v>464</v>
      </c>
      <c r="N166" s="613" t="s">
        <v>464</v>
      </c>
      <c r="O166" s="613" t="s">
        <v>1622</v>
      </c>
    </row>
    <row r="167" spans="12:16" x14ac:dyDescent="0.3">
      <c r="L167" s="613" t="s">
        <v>1275</v>
      </c>
      <c r="M167" s="613" t="s">
        <v>464</v>
      </c>
      <c r="N167" s="613" t="s">
        <v>464</v>
      </c>
      <c r="O167" s="613"/>
    </row>
    <row r="168" spans="12:16" x14ac:dyDescent="0.3">
      <c r="L168" s="613" t="s">
        <v>1276</v>
      </c>
      <c r="M168" s="613" t="s">
        <v>464</v>
      </c>
      <c r="N168" s="613" t="s">
        <v>464</v>
      </c>
      <c r="O168" s="613"/>
    </row>
    <row r="169" spans="12:16" x14ac:dyDescent="0.3">
      <c r="L169" s="613" t="s">
        <v>509</v>
      </c>
      <c r="M169" s="613" t="s">
        <v>464</v>
      </c>
      <c r="N169" s="613" t="s">
        <v>464</v>
      </c>
      <c r="O169" s="613"/>
    </row>
    <row r="170" spans="12:16" x14ac:dyDescent="0.3">
      <c r="L170" s="613" t="s">
        <v>1277</v>
      </c>
      <c r="M170" s="613" t="s">
        <v>464</v>
      </c>
      <c r="N170" s="613" t="s">
        <v>464</v>
      </c>
      <c r="O170" s="613" t="s">
        <v>1622</v>
      </c>
    </row>
    <row r="171" spans="12:16" x14ac:dyDescent="0.3">
      <c r="L171" s="613" t="s">
        <v>1278</v>
      </c>
      <c r="M171" s="613" t="s">
        <v>464</v>
      </c>
      <c r="N171" s="613" t="s">
        <v>464</v>
      </c>
      <c r="O171" s="613"/>
    </row>
    <row r="172" spans="12:16" x14ac:dyDescent="0.3">
      <c r="L172" s="613" t="s">
        <v>1279</v>
      </c>
      <c r="M172" s="613" t="s">
        <v>464</v>
      </c>
      <c r="N172" s="613" t="s">
        <v>464</v>
      </c>
      <c r="O172" s="613" t="s">
        <v>1622</v>
      </c>
    </row>
    <row r="173" spans="12:16" x14ac:dyDescent="0.3">
      <c r="L173" s="613" t="s">
        <v>510</v>
      </c>
      <c r="M173" s="613" t="s">
        <v>464</v>
      </c>
      <c r="N173" s="613" t="s">
        <v>464</v>
      </c>
      <c r="O173" s="613"/>
    </row>
    <row r="174" spans="12:16" x14ac:dyDescent="0.3">
      <c r="L174" s="613" t="s">
        <v>1280</v>
      </c>
      <c r="M174" s="613" t="s">
        <v>464</v>
      </c>
      <c r="N174" s="613" t="s">
        <v>464</v>
      </c>
      <c r="O174" s="613"/>
    </row>
    <row r="175" spans="12:16" x14ac:dyDescent="0.3">
      <c r="L175" s="613" t="s">
        <v>1281</v>
      </c>
      <c r="M175" s="613" t="s">
        <v>464</v>
      </c>
      <c r="N175" s="613" t="s">
        <v>464</v>
      </c>
      <c r="O175" s="613"/>
    </row>
    <row r="176" spans="12:16" x14ac:dyDescent="0.3">
      <c r="L176" s="613" t="s">
        <v>1282</v>
      </c>
      <c r="M176" s="613" t="s">
        <v>464</v>
      </c>
      <c r="N176" s="613" t="s">
        <v>464</v>
      </c>
      <c r="O176" s="613"/>
    </row>
    <row r="177" spans="12:16" x14ac:dyDescent="0.3">
      <c r="L177" s="613" t="s">
        <v>511</v>
      </c>
      <c r="M177" s="613" t="s">
        <v>464</v>
      </c>
      <c r="N177" s="613" t="s">
        <v>464</v>
      </c>
      <c r="O177" s="613"/>
    </row>
    <row r="178" spans="12:16" x14ac:dyDescent="0.3">
      <c r="L178" s="615" t="s">
        <v>512</v>
      </c>
      <c r="M178" s="615">
        <v>0.03</v>
      </c>
      <c r="N178" s="615">
        <v>0.05</v>
      </c>
      <c r="O178" s="613" t="s">
        <v>1529</v>
      </c>
      <c r="P178" s="622" t="s">
        <v>1525</v>
      </c>
    </row>
    <row r="179" spans="12:16" x14ac:dyDescent="0.3">
      <c r="L179" s="613" t="s">
        <v>1283</v>
      </c>
      <c r="M179" s="613" t="s">
        <v>464</v>
      </c>
      <c r="N179" s="613" t="s">
        <v>464</v>
      </c>
      <c r="O179" s="613"/>
    </row>
    <row r="180" spans="12:16" x14ac:dyDescent="0.3">
      <c r="L180" s="613" t="s">
        <v>1284</v>
      </c>
      <c r="M180" s="613" t="s">
        <v>464</v>
      </c>
      <c r="N180" s="613" t="s">
        <v>464</v>
      </c>
      <c r="O180" s="613"/>
    </row>
    <row r="181" spans="12:16" x14ac:dyDescent="0.3">
      <c r="L181" s="613" t="s">
        <v>1285</v>
      </c>
      <c r="M181" s="613" t="s">
        <v>464</v>
      </c>
      <c r="N181" s="613" t="s">
        <v>464</v>
      </c>
      <c r="O181" s="613"/>
    </row>
    <row r="182" spans="12:16" x14ac:dyDescent="0.3">
      <c r="L182" s="613" t="s">
        <v>1286</v>
      </c>
      <c r="M182" s="613" t="s">
        <v>464</v>
      </c>
      <c r="N182" s="613" t="s">
        <v>464</v>
      </c>
      <c r="O182" s="613"/>
    </row>
    <row r="183" spans="12:16" x14ac:dyDescent="0.3">
      <c r="L183" s="613" t="s">
        <v>1287</v>
      </c>
      <c r="M183" s="613" t="s">
        <v>464</v>
      </c>
      <c r="N183" s="613" t="s">
        <v>464</v>
      </c>
      <c r="O183" s="613"/>
    </row>
    <row r="184" spans="12:16" x14ac:dyDescent="0.3">
      <c r="L184" s="613" t="s">
        <v>390</v>
      </c>
      <c r="M184" s="613" t="s">
        <v>464</v>
      </c>
      <c r="N184" s="613" t="s">
        <v>464</v>
      </c>
      <c r="O184" s="613"/>
    </row>
    <row r="185" spans="12:16" x14ac:dyDescent="0.3">
      <c r="L185" s="616" t="s">
        <v>1288</v>
      </c>
      <c r="M185" s="616">
        <v>0.03</v>
      </c>
      <c r="N185" s="616" t="s">
        <v>464</v>
      </c>
      <c r="O185" s="613" t="s">
        <v>1524</v>
      </c>
    </row>
    <row r="186" spans="12:16" x14ac:dyDescent="0.3">
      <c r="L186" s="613" t="s">
        <v>1289</v>
      </c>
      <c r="M186" s="613" t="s">
        <v>464</v>
      </c>
      <c r="N186" s="613" t="s">
        <v>464</v>
      </c>
      <c r="O186" s="613"/>
    </row>
    <row r="187" spans="12:16" x14ac:dyDescent="0.3">
      <c r="L187" s="613" t="s">
        <v>832</v>
      </c>
      <c r="M187" s="613" t="s">
        <v>464</v>
      </c>
      <c r="N187" s="613" t="s">
        <v>464</v>
      </c>
      <c r="O187" s="613"/>
    </row>
    <row r="188" spans="12:16" x14ac:dyDescent="0.3">
      <c r="L188" s="613" t="s">
        <v>1290</v>
      </c>
      <c r="M188" s="613" t="s">
        <v>464</v>
      </c>
      <c r="N188" s="613" t="s">
        <v>464</v>
      </c>
      <c r="O188" s="613"/>
    </row>
    <row r="189" spans="12:16" x14ac:dyDescent="0.3">
      <c r="L189" s="613" t="s">
        <v>513</v>
      </c>
      <c r="M189" s="613" t="s">
        <v>464</v>
      </c>
      <c r="N189" s="613" t="s">
        <v>464</v>
      </c>
      <c r="O189" s="613"/>
    </row>
    <row r="190" spans="12:16" x14ac:dyDescent="0.3">
      <c r="L190" s="613" t="s">
        <v>1291</v>
      </c>
      <c r="M190" s="613" t="s">
        <v>464</v>
      </c>
      <c r="N190" s="613" t="s">
        <v>464</v>
      </c>
      <c r="O190" s="613"/>
    </row>
    <row r="191" spans="12:16" x14ac:dyDescent="0.3">
      <c r="L191" s="613" t="s">
        <v>514</v>
      </c>
      <c r="M191" s="613" t="s">
        <v>464</v>
      </c>
      <c r="N191" s="613" t="s">
        <v>464</v>
      </c>
      <c r="O191" s="613"/>
    </row>
    <row r="192" spans="12:16" x14ac:dyDescent="0.3">
      <c r="L192" s="613" t="s">
        <v>1292</v>
      </c>
      <c r="M192" s="613" t="s">
        <v>464</v>
      </c>
      <c r="N192" s="613" t="s">
        <v>464</v>
      </c>
      <c r="O192" s="613"/>
    </row>
    <row r="193" spans="12:16" x14ac:dyDescent="0.3">
      <c r="L193" s="613" t="s">
        <v>1132</v>
      </c>
      <c r="M193" s="613" t="s">
        <v>464</v>
      </c>
      <c r="N193" s="613" t="s">
        <v>464</v>
      </c>
      <c r="O193" s="613"/>
    </row>
    <row r="194" spans="12:16" x14ac:dyDescent="0.3">
      <c r="L194" s="613" t="s">
        <v>1293</v>
      </c>
      <c r="M194" s="613" t="s">
        <v>464</v>
      </c>
      <c r="N194" s="613" t="s">
        <v>464</v>
      </c>
      <c r="O194" s="613"/>
    </row>
    <row r="195" spans="12:16" x14ac:dyDescent="0.3">
      <c r="L195" s="616" t="s">
        <v>1294</v>
      </c>
      <c r="M195" s="616">
        <v>0.03</v>
      </c>
      <c r="N195" s="616" t="s">
        <v>464</v>
      </c>
      <c r="O195" s="613" t="s">
        <v>1524</v>
      </c>
    </row>
    <row r="196" spans="12:16" x14ac:dyDescent="0.3">
      <c r="L196" s="613" t="s">
        <v>1295</v>
      </c>
      <c r="M196" s="613" t="s">
        <v>464</v>
      </c>
      <c r="N196" s="613" t="s">
        <v>464</v>
      </c>
      <c r="O196" s="613"/>
    </row>
    <row r="197" spans="12:16" x14ac:dyDescent="0.3">
      <c r="L197" s="613" t="s">
        <v>1296</v>
      </c>
      <c r="M197" s="613" t="s">
        <v>464</v>
      </c>
      <c r="N197" s="613" t="s">
        <v>464</v>
      </c>
      <c r="O197" s="613"/>
    </row>
    <row r="198" spans="12:16" x14ac:dyDescent="0.3">
      <c r="L198" s="613" t="s">
        <v>833</v>
      </c>
      <c r="M198" s="613" t="s">
        <v>464</v>
      </c>
      <c r="N198" s="613" t="s">
        <v>464</v>
      </c>
      <c r="O198" s="613"/>
    </row>
    <row r="199" spans="12:16" x14ac:dyDescent="0.3">
      <c r="L199" s="613" t="s">
        <v>515</v>
      </c>
      <c r="M199" s="613" t="s">
        <v>464</v>
      </c>
      <c r="N199" s="613" t="s">
        <v>464</v>
      </c>
      <c r="O199" s="613"/>
    </row>
    <row r="200" spans="12:16" x14ac:dyDescent="0.3">
      <c r="L200" s="613" t="s">
        <v>396</v>
      </c>
      <c r="M200" s="613" t="s">
        <v>464</v>
      </c>
      <c r="N200" s="613" t="s">
        <v>464</v>
      </c>
      <c r="O200" s="613"/>
    </row>
    <row r="201" spans="12:16" x14ac:dyDescent="0.3">
      <c r="L201" s="615" t="s">
        <v>397</v>
      </c>
      <c r="M201" s="615">
        <v>0.03</v>
      </c>
      <c r="N201" s="615">
        <v>0.05</v>
      </c>
      <c r="O201" s="613" t="s">
        <v>1529</v>
      </c>
      <c r="P201" s="622" t="s">
        <v>1525</v>
      </c>
    </row>
    <row r="202" spans="12:16" x14ac:dyDescent="0.3">
      <c r="L202" s="613" t="s">
        <v>1297</v>
      </c>
      <c r="M202" s="613" t="s">
        <v>464</v>
      </c>
      <c r="N202" s="613" t="s">
        <v>464</v>
      </c>
      <c r="O202" s="613"/>
    </row>
    <row r="203" spans="12:16" x14ac:dyDescent="0.3">
      <c r="L203" s="613" t="s">
        <v>1298</v>
      </c>
      <c r="M203" s="613" t="s">
        <v>464</v>
      </c>
      <c r="N203" s="613" t="s">
        <v>464</v>
      </c>
      <c r="O203" s="613"/>
    </row>
    <row r="204" spans="12:16" x14ac:dyDescent="0.3">
      <c r="L204" s="613" t="s">
        <v>516</v>
      </c>
      <c r="M204" s="613" t="s">
        <v>464</v>
      </c>
      <c r="N204" s="613" t="s">
        <v>464</v>
      </c>
      <c r="O204" s="613"/>
    </row>
    <row r="205" spans="12:16" x14ac:dyDescent="0.3">
      <c r="L205" s="613" t="s">
        <v>517</v>
      </c>
      <c r="M205" s="613" t="s">
        <v>464</v>
      </c>
      <c r="N205" s="613" t="s">
        <v>464</v>
      </c>
      <c r="O205" s="613"/>
    </row>
    <row r="206" spans="12:16" x14ac:dyDescent="0.3">
      <c r="L206" s="615" t="s">
        <v>518</v>
      </c>
      <c r="M206" s="615">
        <v>0.03</v>
      </c>
      <c r="N206" s="615">
        <v>0.05</v>
      </c>
      <c r="O206" s="613" t="s">
        <v>1529</v>
      </c>
      <c r="P206" s="622" t="s">
        <v>1525</v>
      </c>
    </row>
    <row r="207" spans="12:16" x14ac:dyDescent="0.3">
      <c r="L207" s="613" t="s">
        <v>519</v>
      </c>
      <c r="M207" s="613" t="s">
        <v>464</v>
      </c>
      <c r="N207" s="613" t="s">
        <v>464</v>
      </c>
      <c r="O207" s="613"/>
    </row>
    <row r="208" spans="12:16" x14ac:dyDescent="0.3">
      <c r="L208" s="613" t="s">
        <v>1299</v>
      </c>
      <c r="M208" s="613" t="s">
        <v>464</v>
      </c>
      <c r="N208" s="613" t="s">
        <v>464</v>
      </c>
      <c r="O208" s="613"/>
    </row>
    <row r="209" spans="12:16" x14ac:dyDescent="0.3">
      <c r="L209" s="613" t="s">
        <v>1300</v>
      </c>
      <c r="M209" s="613" t="s">
        <v>464</v>
      </c>
      <c r="N209" s="613" t="s">
        <v>464</v>
      </c>
      <c r="O209" s="613"/>
    </row>
    <row r="210" spans="12:16" x14ac:dyDescent="0.3">
      <c r="L210" s="613" t="s">
        <v>1301</v>
      </c>
      <c r="M210" s="613" t="s">
        <v>464</v>
      </c>
      <c r="N210" s="613" t="s">
        <v>464</v>
      </c>
      <c r="O210" s="613"/>
    </row>
    <row r="211" spans="12:16" x14ac:dyDescent="0.3">
      <c r="L211" s="613" t="s">
        <v>1302</v>
      </c>
      <c r="M211" s="613" t="s">
        <v>464</v>
      </c>
      <c r="N211" s="613" t="s">
        <v>464</v>
      </c>
      <c r="O211" s="613"/>
    </row>
    <row r="212" spans="12:16" x14ac:dyDescent="0.3">
      <c r="L212" s="613" t="s">
        <v>834</v>
      </c>
      <c r="M212" s="613" t="s">
        <v>464</v>
      </c>
      <c r="N212" s="613" t="s">
        <v>464</v>
      </c>
      <c r="O212" s="613"/>
    </row>
    <row r="213" spans="12:16" x14ac:dyDescent="0.3">
      <c r="L213" s="613" t="s">
        <v>1303</v>
      </c>
      <c r="M213" s="613" t="s">
        <v>464</v>
      </c>
      <c r="N213" s="613" t="s">
        <v>464</v>
      </c>
      <c r="O213" s="613"/>
    </row>
    <row r="214" spans="12:16" x14ac:dyDescent="0.3">
      <c r="L214" s="613" t="s">
        <v>835</v>
      </c>
      <c r="M214" s="613" t="s">
        <v>464</v>
      </c>
      <c r="N214" s="613" t="s">
        <v>464</v>
      </c>
      <c r="O214" s="613"/>
    </row>
    <row r="215" spans="12:16" x14ac:dyDescent="0.3">
      <c r="L215" s="613" t="s">
        <v>1304</v>
      </c>
      <c r="M215" s="613" t="s">
        <v>464</v>
      </c>
      <c r="N215" s="613" t="s">
        <v>464</v>
      </c>
      <c r="O215" s="613"/>
    </row>
    <row r="216" spans="12:16" x14ac:dyDescent="0.3">
      <c r="L216" s="613" t="s">
        <v>1305</v>
      </c>
      <c r="M216" s="613" t="s">
        <v>464</v>
      </c>
      <c r="N216" s="613" t="s">
        <v>464</v>
      </c>
      <c r="O216" s="613"/>
    </row>
    <row r="217" spans="12:16" x14ac:dyDescent="0.3">
      <c r="L217" s="613" t="s">
        <v>391</v>
      </c>
      <c r="M217" s="613" t="s">
        <v>464</v>
      </c>
      <c r="N217" s="613" t="s">
        <v>464</v>
      </c>
      <c r="O217" s="613"/>
    </row>
    <row r="218" spans="12:16" x14ac:dyDescent="0.3">
      <c r="L218" s="613" t="s">
        <v>1306</v>
      </c>
      <c r="M218" s="613" t="s">
        <v>464</v>
      </c>
      <c r="N218" s="613" t="s">
        <v>464</v>
      </c>
      <c r="O218" s="613"/>
    </row>
    <row r="219" spans="12:16" x14ac:dyDescent="0.3">
      <c r="L219" s="615" t="s">
        <v>836</v>
      </c>
      <c r="M219" s="615">
        <v>0.03</v>
      </c>
      <c r="N219" s="615">
        <v>0.05</v>
      </c>
      <c r="O219" s="613" t="s">
        <v>1529</v>
      </c>
      <c r="P219" s="622" t="s">
        <v>1525</v>
      </c>
    </row>
    <row r="220" spans="12:16" x14ac:dyDescent="0.3">
      <c r="L220" s="613" t="s">
        <v>1307</v>
      </c>
      <c r="M220" s="613" t="s">
        <v>464</v>
      </c>
      <c r="N220" s="613" t="s">
        <v>464</v>
      </c>
      <c r="O220" s="613"/>
    </row>
    <row r="221" spans="12:16" x14ac:dyDescent="0.3">
      <c r="L221" s="616" t="s">
        <v>398</v>
      </c>
      <c r="M221" s="616" t="s">
        <v>464</v>
      </c>
      <c r="N221" s="616" t="s">
        <v>464</v>
      </c>
      <c r="O221" s="613" t="s">
        <v>1524</v>
      </c>
    </row>
    <row r="222" spans="12:16" x14ac:dyDescent="0.3">
      <c r="L222" s="613" t="s">
        <v>1308</v>
      </c>
      <c r="M222" s="613" t="s">
        <v>464</v>
      </c>
      <c r="N222" s="613" t="s">
        <v>464</v>
      </c>
      <c r="O222" s="613"/>
    </row>
    <row r="223" spans="12:16" x14ac:dyDescent="0.3">
      <c r="L223" s="613" t="s">
        <v>1309</v>
      </c>
      <c r="M223" s="613" t="s">
        <v>464</v>
      </c>
      <c r="N223" s="613" t="s">
        <v>464</v>
      </c>
      <c r="O223" s="613" t="s">
        <v>1622</v>
      </c>
    </row>
    <row r="224" spans="12:16" x14ac:dyDescent="0.3">
      <c r="L224" s="613" t="s">
        <v>1310</v>
      </c>
      <c r="M224" s="613" t="s">
        <v>464</v>
      </c>
      <c r="N224" s="613" t="s">
        <v>464</v>
      </c>
      <c r="O224" s="613"/>
    </row>
    <row r="225" spans="12:16" x14ac:dyDescent="0.3">
      <c r="L225" s="613" t="s">
        <v>1311</v>
      </c>
      <c r="M225" s="613" t="s">
        <v>464</v>
      </c>
      <c r="N225" s="613" t="s">
        <v>464</v>
      </c>
      <c r="O225" s="613"/>
    </row>
    <row r="226" spans="12:16" x14ac:dyDescent="0.3">
      <c r="L226" s="615" t="s">
        <v>1312</v>
      </c>
      <c r="M226" s="615">
        <v>0.03</v>
      </c>
      <c r="N226" s="615">
        <v>0.05</v>
      </c>
      <c r="O226" s="613" t="s">
        <v>1529</v>
      </c>
      <c r="P226" s="622" t="s">
        <v>1525</v>
      </c>
    </row>
    <row r="227" spans="12:16" x14ac:dyDescent="0.3">
      <c r="L227" s="613" t="s">
        <v>520</v>
      </c>
      <c r="M227" s="613" t="s">
        <v>464</v>
      </c>
      <c r="N227" s="613" t="s">
        <v>464</v>
      </c>
      <c r="O227" s="613"/>
    </row>
    <row r="228" spans="12:16" x14ac:dyDescent="0.3">
      <c r="L228" s="613" t="s">
        <v>1313</v>
      </c>
      <c r="M228" s="613" t="s">
        <v>464</v>
      </c>
      <c r="N228" s="613" t="s">
        <v>464</v>
      </c>
      <c r="O228" s="613"/>
    </row>
    <row r="229" spans="12:16" x14ac:dyDescent="0.3">
      <c r="L229" s="613" t="s">
        <v>521</v>
      </c>
      <c r="M229" s="613" t="s">
        <v>464</v>
      </c>
      <c r="N229" s="613" t="s">
        <v>464</v>
      </c>
      <c r="O229" s="613"/>
    </row>
    <row r="230" spans="12:16" x14ac:dyDescent="0.3">
      <c r="L230" s="613" t="s">
        <v>1314</v>
      </c>
      <c r="M230" s="613" t="s">
        <v>464</v>
      </c>
      <c r="N230" s="613" t="s">
        <v>464</v>
      </c>
      <c r="O230" s="613"/>
    </row>
    <row r="231" spans="12:16" x14ac:dyDescent="0.3">
      <c r="L231" s="615" t="s">
        <v>522</v>
      </c>
      <c r="M231" s="615">
        <v>0.03</v>
      </c>
      <c r="N231" s="615">
        <v>0.05</v>
      </c>
      <c r="O231" s="613" t="s">
        <v>1529</v>
      </c>
      <c r="P231" s="622" t="s">
        <v>1525</v>
      </c>
    </row>
    <row r="232" spans="12:16" x14ac:dyDescent="0.3">
      <c r="L232" s="613" t="s">
        <v>1315</v>
      </c>
      <c r="M232" s="613" t="s">
        <v>464</v>
      </c>
      <c r="N232" s="613" t="s">
        <v>464</v>
      </c>
      <c r="O232" s="613"/>
    </row>
    <row r="233" spans="12:16" x14ac:dyDescent="0.3">
      <c r="L233" s="613" t="s">
        <v>1316</v>
      </c>
      <c r="M233" s="613" t="s">
        <v>464</v>
      </c>
      <c r="N233" s="613" t="s">
        <v>464</v>
      </c>
      <c r="O233" s="613"/>
    </row>
    <row r="234" spans="12:16" x14ac:dyDescent="0.3">
      <c r="L234" s="613" t="s">
        <v>1133</v>
      </c>
      <c r="M234" s="613" t="s">
        <v>464</v>
      </c>
      <c r="N234" s="613" t="s">
        <v>464</v>
      </c>
      <c r="O234" s="613"/>
    </row>
    <row r="235" spans="12:16" x14ac:dyDescent="0.3">
      <c r="L235" s="616" t="s">
        <v>1317</v>
      </c>
      <c r="M235" s="616" t="s">
        <v>464</v>
      </c>
      <c r="N235" s="616" t="s">
        <v>464</v>
      </c>
      <c r="O235" s="613" t="s">
        <v>1524</v>
      </c>
    </row>
    <row r="236" spans="12:16" x14ac:dyDescent="0.3">
      <c r="L236" s="613" t="s">
        <v>436</v>
      </c>
      <c r="M236" s="613" t="s">
        <v>464</v>
      </c>
      <c r="N236" s="613" t="s">
        <v>464</v>
      </c>
      <c r="O236" s="613"/>
    </row>
    <row r="237" spans="12:16" x14ac:dyDescent="0.3">
      <c r="L237" s="613" t="s">
        <v>1318</v>
      </c>
      <c r="M237" s="613" t="s">
        <v>464</v>
      </c>
      <c r="N237" s="613" t="s">
        <v>464</v>
      </c>
      <c r="O237" s="613"/>
    </row>
    <row r="238" spans="12:16" x14ac:dyDescent="0.3">
      <c r="L238" s="613" t="s">
        <v>437</v>
      </c>
      <c r="M238" s="613" t="s">
        <v>464</v>
      </c>
      <c r="N238" s="613" t="s">
        <v>464</v>
      </c>
      <c r="O238" s="613"/>
    </row>
    <row r="239" spans="12:16" x14ac:dyDescent="0.3">
      <c r="L239" s="613" t="s">
        <v>1319</v>
      </c>
      <c r="M239" s="613" t="s">
        <v>464</v>
      </c>
      <c r="N239" s="613" t="s">
        <v>464</v>
      </c>
      <c r="O239" s="613"/>
    </row>
    <row r="240" spans="12:16" x14ac:dyDescent="0.3">
      <c r="L240" s="613" t="s">
        <v>1320</v>
      </c>
      <c r="M240" s="613" t="s">
        <v>464</v>
      </c>
      <c r="N240" s="613" t="s">
        <v>464</v>
      </c>
      <c r="O240" s="613"/>
    </row>
    <row r="241" spans="12:16" x14ac:dyDescent="0.3">
      <c r="L241" s="613" t="s">
        <v>1321</v>
      </c>
      <c r="M241" s="613" t="s">
        <v>464</v>
      </c>
      <c r="N241" s="613" t="s">
        <v>464</v>
      </c>
      <c r="O241" s="613"/>
    </row>
    <row r="242" spans="12:16" x14ac:dyDescent="0.3">
      <c r="L242" s="613" t="s">
        <v>1322</v>
      </c>
      <c r="M242" s="613" t="s">
        <v>464</v>
      </c>
      <c r="N242" s="613" t="s">
        <v>464</v>
      </c>
      <c r="O242" s="613"/>
    </row>
    <row r="243" spans="12:16" x14ac:dyDescent="0.3">
      <c r="L243" s="613" t="s">
        <v>1323</v>
      </c>
      <c r="M243" s="613" t="s">
        <v>464</v>
      </c>
      <c r="N243" s="613" t="s">
        <v>464</v>
      </c>
      <c r="O243" s="613"/>
    </row>
    <row r="244" spans="12:16" x14ac:dyDescent="0.3">
      <c r="L244" s="613" t="s">
        <v>1324</v>
      </c>
      <c r="M244" s="613" t="s">
        <v>464</v>
      </c>
      <c r="N244" s="613" t="s">
        <v>464</v>
      </c>
      <c r="O244" s="613"/>
    </row>
    <row r="245" spans="12:16" x14ac:dyDescent="0.3">
      <c r="L245" s="613" t="s">
        <v>1325</v>
      </c>
      <c r="M245" s="613" t="s">
        <v>464</v>
      </c>
      <c r="N245" s="613" t="s">
        <v>464</v>
      </c>
      <c r="O245" s="613"/>
    </row>
    <row r="246" spans="12:16" x14ac:dyDescent="0.3">
      <c r="L246" s="613" t="s">
        <v>1326</v>
      </c>
      <c r="M246" s="613" t="s">
        <v>464</v>
      </c>
      <c r="N246" s="613" t="s">
        <v>464</v>
      </c>
      <c r="O246" s="613"/>
    </row>
    <row r="247" spans="12:16" x14ac:dyDescent="0.3">
      <c r="L247" s="613" t="s">
        <v>1327</v>
      </c>
      <c r="M247" s="613" t="s">
        <v>464</v>
      </c>
      <c r="N247" s="613" t="s">
        <v>464</v>
      </c>
      <c r="O247" s="613"/>
    </row>
    <row r="248" spans="12:16" x14ac:dyDescent="0.3">
      <c r="L248" s="613" t="s">
        <v>1328</v>
      </c>
      <c r="M248" s="613" t="s">
        <v>464</v>
      </c>
      <c r="N248" s="613" t="s">
        <v>464</v>
      </c>
      <c r="O248" s="613"/>
    </row>
    <row r="249" spans="12:16" x14ac:dyDescent="0.3">
      <c r="L249" s="613" t="s">
        <v>1329</v>
      </c>
      <c r="M249" s="613" t="s">
        <v>464</v>
      </c>
      <c r="N249" s="613" t="s">
        <v>464</v>
      </c>
      <c r="O249" s="613"/>
    </row>
    <row r="250" spans="12:16" x14ac:dyDescent="0.3">
      <c r="L250" s="613" t="s">
        <v>1330</v>
      </c>
      <c r="M250" s="613" t="s">
        <v>464</v>
      </c>
      <c r="N250" s="613" t="s">
        <v>464</v>
      </c>
      <c r="O250" s="613"/>
    </row>
    <row r="251" spans="12:16" x14ac:dyDescent="0.3">
      <c r="L251" s="613" t="s">
        <v>1331</v>
      </c>
      <c r="M251" s="613" t="s">
        <v>464</v>
      </c>
      <c r="N251" s="613" t="s">
        <v>464</v>
      </c>
      <c r="O251" s="613" t="s">
        <v>1622</v>
      </c>
    </row>
    <row r="252" spans="12:16" x14ac:dyDescent="0.3">
      <c r="L252" s="613" t="s">
        <v>438</v>
      </c>
      <c r="M252" s="613" t="s">
        <v>464</v>
      </c>
      <c r="N252" s="613" t="s">
        <v>464</v>
      </c>
      <c r="O252" s="613"/>
    </row>
    <row r="253" spans="12:16" x14ac:dyDescent="0.3">
      <c r="L253" s="615" t="s">
        <v>1332</v>
      </c>
      <c r="M253" s="615">
        <v>0.03</v>
      </c>
      <c r="N253" s="615">
        <v>0.05</v>
      </c>
      <c r="O253" s="613" t="s">
        <v>1529</v>
      </c>
      <c r="P253" s="622" t="s">
        <v>1525</v>
      </c>
    </row>
    <row r="254" spans="12:16" x14ac:dyDescent="0.3">
      <c r="L254" s="613" t="s">
        <v>1333</v>
      </c>
      <c r="M254" s="613" t="s">
        <v>464</v>
      </c>
      <c r="N254" s="613" t="s">
        <v>464</v>
      </c>
      <c r="O254" s="613"/>
    </row>
    <row r="255" spans="12:16" x14ac:dyDescent="0.3">
      <c r="L255" s="613" t="s">
        <v>1334</v>
      </c>
      <c r="M255" s="613" t="s">
        <v>464</v>
      </c>
      <c r="N255" s="613" t="s">
        <v>464</v>
      </c>
      <c r="O255" s="613"/>
    </row>
    <row r="256" spans="12:16" x14ac:dyDescent="0.3">
      <c r="L256" s="613" t="s">
        <v>1335</v>
      </c>
      <c r="M256" s="613" t="s">
        <v>464</v>
      </c>
      <c r="N256" s="613" t="s">
        <v>464</v>
      </c>
      <c r="O256" s="613"/>
    </row>
    <row r="257" spans="12:16" x14ac:dyDescent="0.3">
      <c r="L257" s="613" t="s">
        <v>1336</v>
      </c>
      <c r="M257" s="613" t="s">
        <v>464</v>
      </c>
      <c r="N257" s="613" t="s">
        <v>464</v>
      </c>
      <c r="O257" s="613"/>
    </row>
    <row r="258" spans="12:16" x14ac:dyDescent="0.3">
      <c r="L258" s="615" t="s">
        <v>1337</v>
      </c>
      <c r="M258" s="615">
        <v>0.03</v>
      </c>
      <c r="N258" s="615">
        <v>0.05</v>
      </c>
      <c r="O258" s="613" t="s">
        <v>1529</v>
      </c>
      <c r="P258" s="622" t="s">
        <v>1525</v>
      </c>
    </row>
    <row r="259" spans="12:16" x14ac:dyDescent="0.3">
      <c r="L259" s="613" t="s">
        <v>1338</v>
      </c>
      <c r="M259" s="613" t="s">
        <v>464</v>
      </c>
      <c r="N259" s="613" t="s">
        <v>464</v>
      </c>
      <c r="O259" s="613"/>
    </row>
    <row r="260" spans="12:16" x14ac:dyDescent="0.3">
      <c r="L260" s="613" t="s">
        <v>1339</v>
      </c>
      <c r="M260" s="613" t="s">
        <v>464</v>
      </c>
      <c r="N260" s="613" t="s">
        <v>464</v>
      </c>
      <c r="O260" s="613"/>
    </row>
    <row r="261" spans="12:16" x14ac:dyDescent="0.3">
      <c r="L261" s="613" t="s">
        <v>1340</v>
      </c>
      <c r="M261" s="613" t="s">
        <v>464</v>
      </c>
      <c r="N261" s="613" t="s">
        <v>464</v>
      </c>
      <c r="O261" s="613"/>
    </row>
    <row r="262" spans="12:16" x14ac:dyDescent="0.3">
      <c r="L262" s="613" t="s">
        <v>1341</v>
      </c>
      <c r="M262" s="613" t="s">
        <v>464</v>
      </c>
      <c r="N262" s="613" t="s">
        <v>464</v>
      </c>
      <c r="O262" s="613"/>
    </row>
    <row r="263" spans="12:16" x14ac:dyDescent="0.3">
      <c r="L263" s="616" t="s">
        <v>1342</v>
      </c>
      <c r="M263" s="616" t="s">
        <v>464</v>
      </c>
      <c r="N263" s="616" t="s">
        <v>464</v>
      </c>
      <c r="O263" s="613" t="s">
        <v>1524</v>
      </c>
    </row>
    <row r="264" spans="12:16" x14ac:dyDescent="0.3">
      <c r="L264" s="613" t="s">
        <v>1343</v>
      </c>
      <c r="M264" s="613" t="s">
        <v>464</v>
      </c>
      <c r="N264" s="613" t="s">
        <v>464</v>
      </c>
      <c r="O264" s="613"/>
    </row>
    <row r="265" spans="12:16" x14ac:dyDescent="0.3">
      <c r="L265" s="613" t="s">
        <v>1344</v>
      </c>
      <c r="M265" s="613" t="s">
        <v>464</v>
      </c>
      <c r="N265" s="613" t="s">
        <v>464</v>
      </c>
      <c r="O265" s="613"/>
    </row>
    <row r="266" spans="12:16" x14ac:dyDescent="0.3">
      <c r="L266" s="613" t="s">
        <v>1345</v>
      </c>
      <c r="M266" s="613" t="s">
        <v>464</v>
      </c>
      <c r="N266" s="613" t="s">
        <v>464</v>
      </c>
      <c r="O266" s="613"/>
    </row>
    <row r="267" spans="12:16" x14ac:dyDescent="0.3">
      <c r="L267" s="613" t="s">
        <v>1346</v>
      </c>
      <c r="M267" s="613" t="s">
        <v>464</v>
      </c>
      <c r="N267" s="613" t="s">
        <v>464</v>
      </c>
      <c r="O267" s="613"/>
    </row>
    <row r="268" spans="12:16" x14ac:dyDescent="0.3">
      <c r="L268" s="615" t="s">
        <v>1347</v>
      </c>
      <c r="M268" s="615">
        <v>0.03</v>
      </c>
      <c r="N268" s="615">
        <v>0.05</v>
      </c>
      <c r="O268" s="613" t="s">
        <v>1529</v>
      </c>
      <c r="P268" s="622" t="s">
        <v>1525</v>
      </c>
    </row>
    <row r="269" spans="12:16" x14ac:dyDescent="0.3">
      <c r="L269" s="613" t="s">
        <v>1348</v>
      </c>
      <c r="M269" s="613" t="s">
        <v>464</v>
      </c>
      <c r="N269" s="613" t="s">
        <v>464</v>
      </c>
      <c r="O269" s="613"/>
    </row>
    <row r="270" spans="12:16" x14ac:dyDescent="0.3">
      <c r="L270" s="613" t="s">
        <v>1349</v>
      </c>
      <c r="M270" s="613" t="s">
        <v>464</v>
      </c>
      <c r="N270" s="613" t="s">
        <v>464</v>
      </c>
      <c r="O270" s="613"/>
    </row>
    <row r="271" spans="12:16" x14ac:dyDescent="0.3">
      <c r="L271" s="613" t="s">
        <v>1350</v>
      </c>
      <c r="M271" s="613" t="s">
        <v>464</v>
      </c>
      <c r="N271" s="613" t="s">
        <v>464</v>
      </c>
      <c r="O271" s="613"/>
    </row>
    <row r="272" spans="12:16" x14ac:dyDescent="0.3">
      <c r="L272" s="613" t="s">
        <v>1351</v>
      </c>
      <c r="M272" s="613" t="s">
        <v>464</v>
      </c>
      <c r="N272" s="613" t="s">
        <v>464</v>
      </c>
      <c r="O272" s="613"/>
    </row>
    <row r="273" spans="12:16" x14ac:dyDescent="0.3">
      <c r="L273" s="613" t="s">
        <v>1352</v>
      </c>
      <c r="M273" s="613" t="s">
        <v>464</v>
      </c>
      <c r="N273" s="613" t="s">
        <v>464</v>
      </c>
      <c r="O273" s="613"/>
    </row>
    <row r="274" spans="12:16" x14ac:dyDescent="0.3">
      <c r="L274" s="613" t="s">
        <v>1353</v>
      </c>
      <c r="M274" s="613" t="s">
        <v>464</v>
      </c>
      <c r="N274" s="613" t="s">
        <v>464</v>
      </c>
      <c r="O274" s="613"/>
    </row>
    <row r="275" spans="12:16" x14ac:dyDescent="0.3">
      <c r="L275" s="616" t="s">
        <v>1354</v>
      </c>
      <c r="M275" s="616">
        <v>0.03</v>
      </c>
      <c r="N275" s="616">
        <v>0.03</v>
      </c>
      <c r="O275" s="613" t="s">
        <v>1524</v>
      </c>
    </row>
    <row r="276" spans="12:16" x14ac:dyDescent="0.3">
      <c r="L276" s="613" t="s">
        <v>1355</v>
      </c>
      <c r="M276" s="613" t="s">
        <v>464</v>
      </c>
      <c r="N276" s="613" t="s">
        <v>464</v>
      </c>
      <c r="O276" s="613"/>
    </row>
    <row r="277" spans="12:16" x14ac:dyDescent="0.3">
      <c r="L277" s="613" t="s">
        <v>1356</v>
      </c>
      <c r="M277" s="613" t="s">
        <v>464</v>
      </c>
      <c r="N277" s="613" t="s">
        <v>464</v>
      </c>
      <c r="O277" s="613"/>
    </row>
    <row r="278" spans="12:16" x14ac:dyDescent="0.3">
      <c r="L278" s="613" t="s">
        <v>1357</v>
      </c>
      <c r="M278" s="613" t="s">
        <v>464</v>
      </c>
      <c r="N278" s="613" t="s">
        <v>464</v>
      </c>
      <c r="O278" s="613"/>
    </row>
    <row r="279" spans="12:16" x14ac:dyDescent="0.3">
      <c r="L279" s="616" t="s">
        <v>1358</v>
      </c>
      <c r="M279" s="616" t="s">
        <v>464</v>
      </c>
      <c r="N279" s="616" t="s">
        <v>464</v>
      </c>
      <c r="O279" s="613" t="s">
        <v>1524</v>
      </c>
    </row>
    <row r="280" spans="12:16" x14ac:dyDescent="0.3">
      <c r="L280" s="613" t="s">
        <v>1359</v>
      </c>
      <c r="M280" s="613" t="s">
        <v>464</v>
      </c>
      <c r="N280" s="613" t="s">
        <v>464</v>
      </c>
      <c r="O280" s="613"/>
    </row>
    <row r="281" spans="12:16" x14ac:dyDescent="0.3">
      <c r="L281" s="613" t="s">
        <v>1360</v>
      </c>
      <c r="M281" s="613" t="s">
        <v>464</v>
      </c>
      <c r="N281" s="613" t="s">
        <v>464</v>
      </c>
      <c r="O281" s="613"/>
    </row>
    <row r="282" spans="12:16" x14ac:dyDescent="0.3">
      <c r="L282" s="613" t="s">
        <v>1361</v>
      </c>
      <c r="M282" s="613" t="s">
        <v>464</v>
      </c>
      <c r="N282" s="613" t="s">
        <v>464</v>
      </c>
      <c r="O282" s="613"/>
    </row>
    <row r="283" spans="12:16" x14ac:dyDescent="0.3">
      <c r="L283" s="613" t="s">
        <v>1362</v>
      </c>
      <c r="M283" s="613" t="s">
        <v>464</v>
      </c>
      <c r="N283" s="613" t="s">
        <v>464</v>
      </c>
      <c r="O283" s="613"/>
    </row>
    <row r="284" spans="12:16" x14ac:dyDescent="0.3">
      <c r="L284" s="615" t="s">
        <v>1363</v>
      </c>
      <c r="M284" s="615">
        <v>0.03</v>
      </c>
      <c r="N284" s="615">
        <v>0.05</v>
      </c>
      <c r="O284" s="613" t="s">
        <v>1529</v>
      </c>
      <c r="P284" s="622" t="s">
        <v>1525</v>
      </c>
    </row>
    <row r="285" spans="12:16" x14ac:dyDescent="0.3">
      <c r="L285" s="613" t="s">
        <v>439</v>
      </c>
      <c r="M285" s="613" t="s">
        <v>464</v>
      </c>
      <c r="N285" s="613" t="s">
        <v>464</v>
      </c>
      <c r="O285" s="613"/>
    </row>
    <row r="286" spans="12:16" x14ac:dyDescent="0.3">
      <c r="L286" s="613" t="s">
        <v>1364</v>
      </c>
      <c r="M286" s="613" t="s">
        <v>464</v>
      </c>
      <c r="N286" s="613" t="s">
        <v>464</v>
      </c>
      <c r="O286" s="613" t="s">
        <v>1622</v>
      </c>
    </row>
    <row r="287" spans="12:16" x14ac:dyDescent="0.3">
      <c r="L287" s="613" t="s">
        <v>440</v>
      </c>
      <c r="M287" s="613" t="s">
        <v>464</v>
      </c>
      <c r="N287" s="613" t="s">
        <v>464</v>
      </c>
      <c r="O287" s="613"/>
    </row>
    <row r="288" spans="12:16" x14ac:dyDescent="0.3">
      <c r="L288" s="613" t="s">
        <v>1365</v>
      </c>
      <c r="M288" s="613" t="s">
        <v>464</v>
      </c>
      <c r="N288" s="613" t="s">
        <v>464</v>
      </c>
      <c r="O288" s="613"/>
    </row>
    <row r="289" spans="12:16" x14ac:dyDescent="0.3">
      <c r="L289" s="615" t="s">
        <v>441</v>
      </c>
      <c r="M289" s="615">
        <v>0.03</v>
      </c>
      <c r="N289" s="615">
        <v>0.05</v>
      </c>
      <c r="O289" s="613" t="s">
        <v>1529</v>
      </c>
      <c r="P289" s="622" t="s">
        <v>1525</v>
      </c>
    </row>
    <row r="290" spans="12:16" x14ac:dyDescent="0.3">
      <c r="L290" s="613" t="s">
        <v>442</v>
      </c>
      <c r="M290" s="613" t="s">
        <v>464</v>
      </c>
      <c r="N290" s="613" t="s">
        <v>464</v>
      </c>
      <c r="O290" s="613" t="s">
        <v>1622</v>
      </c>
    </row>
    <row r="291" spans="12:16" x14ac:dyDescent="0.3">
      <c r="L291" s="613" t="s">
        <v>392</v>
      </c>
      <c r="M291" s="613" t="s">
        <v>464</v>
      </c>
      <c r="N291" s="613" t="s">
        <v>464</v>
      </c>
      <c r="O291" s="613"/>
    </row>
    <row r="292" spans="12:16" x14ac:dyDescent="0.3">
      <c r="L292" s="613" t="s">
        <v>1366</v>
      </c>
      <c r="M292" s="613" t="s">
        <v>464</v>
      </c>
      <c r="N292" s="613" t="s">
        <v>464</v>
      </c>
      <c r="O292" s="613"/>
    </row>
    <row r="293" spans="12:16" x14ac:dyDescent="0.3">
      <c r="L293" s="613" t="s">
        <v>1367</v>
      </c>
      <c r="M293" s="613" t="s">
        <v>464</v>
      </c>
      <c r="N293" s="613" t="s">
        <v>464</v>
      </c>
      <c r="O293" s="613"/>
    </row>
    <row r="294" spans="12:16" x14ac:dyDescent="0.3">
      <c r="L294" s="613" t="s">
        <v>443</v>
      </c>
      <c r="M294" s="613" t="s">
        <v>464</v>
      </c>
      <c r="N294" s="613" t="s">
        <v>464</v>
      </c>
      <c r="O294" s="613"/>
    </row>
    <row r="295" spans="12:16" x14ac:dyDescent="0.3">
      <c r="L295" s="616" t="s">
        <v>1368</v>
      </c>
      <c r="M295" s="616">
        <v>0.03</v>
      </c>
      <c r="N295" s="616" t="s">
        <v>464</v>
      </c>
      <c r="O295" s="613" t="s">
        <v>1524</v>
      </c>
    </row>
    <row r="296" spans="12:16" x14ac:dyDescent="0.3">
      <c r="L296" s="613" t="s">
        <v>1369</v>
      </c>
      <c r="M296" s="613" t="s">
        <v>464</v>
      </c>
      <c r="N296" s="613" t="s">
        <v>464</v>
      </c>
      <c r="O296" s="613"/>
    </row>
    <row r="297" spans="12:16" x14ac:dyDescent="0.3">
      <c r="L297" s="613" t="s">
        <v>1370</v>
      </c>
      <c r="M297" s="613" t="s">
        <v>464</v>
      </c>
      <c r="N297" s="613" t="s">
        <v>464</v>
      </c>
      <c r="O297" s="613"/>
    </row>
    <row r="298" spans="12:16" x14ac:dyDescent="0.3">
      <c r="L298" s="613" t="s">
        <v>1371</v>
      </c>
      <c r="M298" s="613" t="s">
        <v>464</v>
      </c>
      <c r="N298" s="613" t="s">
        <v>464</v>
      </c>
      <c r="O298" s="613"/>
    </row>
    <row r="299" spans="12:16" x14ac:dyDescent="0.3">
      <c r="L299" s="613" t="s">
        <v>1372</v>
      </c>
      <c r="M299" s="613" t="s">
        <v>464</v>
      </c>
      <c r="N299" s="613" t="s">
        <v>464</v>
      </c>
      <c r="O299" s="613"/>
    </row>
    <row r="300" spans="12:16" x14ac:dyDescent="0.3">
      <c r="L300" s="613" t="s">
        <v>1373</v>
      </c>
      <c r="M300" s="613" t="s">
        <v>464</v>
      </c>
      <c r="N300" s="613" t="s">
        <v>464</v>
      </c>
      <c r="O300" s="613"/>
    </row>
    <row r="301" spans="12:16" x14ac:dyDescent="0.3">
      <c r="L301" s="613" t="s">
        <v>1374</v>
      </c>
      <c r="M301" s="613" t="s">
        <v>464</v>
      </c>
      <c r="N301" s="613" t="s">
        <v>464</v>
      </c>
      <c r="O301" s="613"/>
    </row>
    <row r="302" spans="12:16" x14ac:dyDescent="0.3">
      <c r="L302" s="613" t="s">
        <v>1375</v>
      </c>
      <c r="M302" s="613" t="s">
        <v>464</v>
      </c>
      <c r="N302" s="613" t="s">
        <v>464</v>
      </c>
      <c r="O302" s="613"/>
    </row>
    <row r="303" spans="12:16" x14ac:dyDescent="0.3">
      <c r="L303" s="613" t="s">
        <v>1376</v>
      </c>
      <c r="M303" s="613" t="s">
        <v>464</v>
      </c>
      <c r="N303" s="613" t="s">
        <v>464</v>
      </c>
      <c r="O303" s="613"/>
    </row>
    <row r="304" spans="12:16" x14ac:dyDescent="0.3">
      <c r="L304" s="613" t="s">
        <v>1377</v>
      </c>
      <c r="M304" s="613" t="s">
        <v>464</v>
      </c>
      <c r="N304" s="613" t="s">
        <v>464</v>
      </c>
      <c r="O304" s="613"/>
    </row>
    <row r="305" spans="12:15" x14ac:dyDescent="0.3">
      <c r="L305" s="613" t="s">
        <v>1378</v>
      </c>
      <c r="M305" s="613" t="s">
        <v>464</v>
      </c>
      <c r="N305" s="613" t="s">
        <v>464</v>
      </c>
      <c r="O305" s="613"/>
    </row>
    <row r="306" spans="12:15" x14ac:dyDescent="0.3">
      <c r="L306" s="613" t="s">
        <v>444</v>
      </c>
      <c r="M306" s="613" t="s">
        <v>464</v>
      </c>
      <c r="N306" s="613" t="s">
        <v>464</v>
      </c>
      <c r="O306" s="613"/>
    </row>
    <row r="307" spans="12:15" x14ac:dyDescent="0.3">
      <c r="L307" s="613" t="s">
        <v>1379</v>
      </c>
      <c r="M307" s="613" t="s">
        <v>464</v>
      </c>
      <c r="N307" s="613" t="s">
        <v>464</v>
      </c>
      <c r="O307" s="613"/>
    </row>
    <row r="308" spans="12:15" x14ac:dyDescent="0.3">
      <c r="L308" s="613" t="s">
        <v>1380</v>
      </c>
      <c r="M308" s="613" t="s">
        <v>464</v>
      </c>
      <c r="N308" s="613" t="s">
        <v>464</v>
      </c>
      <c r="O308" s="613"/>
    </row>
    <row r="309" spans="12:15" x14ac:dyDescent="0.3">
      <c r="L309" s="613" t="s">
        <v>1381</v>
      </c>
      <c r="M309" s="613" t="s">
        <v>464</v>
      </c>
      <c r="N309" s="613" t="s">
        <v>464</v>
      </c>
      <c r="O309" s="613"/>
    </row>
    <row r="310" spans="12:15" x14ac:dyDescent="0.3">
      <c r="L310" s="613" t="s">
        <v>1382</v>
      </c>
      <c r="M310" s="613" t="s">
        <v>464</v>
      </c>
      <c r="N310" s="613" t="s">
        <v>464</v>
      </c>
      <c r="O310" s="613"/>
    </row>
    <row r="311" spans="12:15" x14ac:dyDescent="0.3">
      <c r="L311" s="613" t="s">
        <v>1383</v>
      </c>
      <c r="M311" s="613" t="s">
        <v>464</v>
      </c>
      <c r="N311" s="613" t="s">
        <v>464</v>
      </c>
      <c r="O311" s="613"/>
    </row>
    <row r="312" spans="12:15" x14ac:dyDescent="0.3">
      <c r="L312" s="613" t="s">
        <v>837</v>
      </c>
      <c r="M312" s="613" t="s">
        <v>464</v>
      </c>
      <c r="N312" s="613" t="s">
        <v>464</v>
      </c>
      <c r="O312" s="613"/>
    </row>
    <row r="313" spans="12:15" x14ac:dyDescent="0.3">
      <c r="L313" s="613" t="s">
        <v>838</v>
      </c>
      <c r="M313" s="613" t="s">
        <v>464</v>
      </c>
      <c r="N313" s="613" t="s">
        <v>464</v>
      </c>
      <c r="O313" s="613"/>
    </row>
    <row r="314" spans="12:15" x14ac:dyDescent="0.3">
      <c r="L314" s="613" t="s">
        <v>1384</v>
      </c>
      <c r="M314" s="613" t="s">
        <v>464</v>
      </c>
      <c r="N314" s="613" t="s">
        <v>464</v>
      </c>
      <c r="O314" s="613"/>
    </row>
    <row r="315" spans="12:15" x14ac:dyDescent="0.3">
      <c r="L315" s="613" t="s">
        <v>1385</v>
      </c>
      <c r="M315" s="613" t="s">
        <v>464</v>
      </c>
      <c r="N315" s="613" t="s">
        <v>464</v>
      </c>
      <c r="O315" s="613"/>
    </row>
    <row r="316" spans="12:15" x14ac:dyDescent="0.3">
      <c r="L316" s="613" t="s">
        <v>1386</v>
      </c>
      <c r="M316" s="613" t="s">
        <v>464</v>
      </c>
      <c r="N316" s="613" t="s">
        <v>464</v>
      </c>
      <c r="O316" s="613"/>
    </row>
    <row r="317" spans="12:15" x14ac:dyDescent="0.3">
      <c r="L317" s="613" t="s">
        <v>1387</v>
      </c>
      <c r="M317" s="613" t="s">
        <v>464</v>
      </c>
      <c r="N317" s="613" t="s">
        <v>464</v>
      </c>
      <c r="O317" s="613"/>
    </row>
    <row r="318" spans="12:15" x14ac:dyDescent="0.3">
      <c r="L318" s="613" t="s">
        <v>524</v>
      </c>
      <c r="M318" s="613" t="s">
        <v>464</v>
      </c>
      <c r="N318" s="613" t="s">
        <v>464</v>
      </c>
      <c r="O318" s="613"/>
    </row>
    <row r="319" spans="12:15" x14ac:dyDescent="0.3">
      <c r="L319" s="613" t="s">
        <v>1388</v>
      </c>
      <c r="M319" s="613" t="s">
        <v>464</v>
      </c>
      <c r="N319" s="613" t="s">
        <v>464</v>
      </c>
      <c r="O319" s="613"/>
    </row>
    <row r="320" spans="12:15" x14ac:dyDescent="0.3">
      <c r="L320" s="613" t="s">
        <v>1389</v>
      </c>
      <c r="M320" s="613" t="s">
        <v>464</v>
      </c>
      <c r="N320" s="613" t="s">
        <v>464</v>
      </c>
      <c r="O320" s="613"/>
    </row>
    <row r="321" spans="12:15" x14ac:dyDescent="0.3">
      <c r="L321" s="613" t="s">
        <v>839</v>
      </c>
      <c r="M321" s="613" t="s">
        <v>464</v>
      </c>
      <c r="N321" s="613" t="s">
        <v>464</v>
      </c>
      <c r="O321" s="613"/>
    </row>
    <row r="322" spans="12:15" x14ac:dyDescent="0.3">
      <c r="L322" s="613" t="s">
        <v>1390</v>
      </c>
      <c r="M322" s="613" t="s">
        <v>464</v>
      </c>
      <c r="N322" s="613" t="s">
        <v>464</v>
      </c>
      <c r="O322" s="613"/>
    </row>
    <row r="323" spans="12:15" x14ac:dyDescent="0.3">
      <c r="L323" s="613" t="s">
        <v>1391</v>
      </c>
      <c r="M323" s="613" t="s">
        <v>464</v>
      </c>
      <c r="N323" s="613" t="s">
        <v>464</v>
      </c>
      <c r="O323" s="613"/>
    </row>
    <row r="324" spans="12:15" x14ac:dyDescent="0.3">
      <c r="L324" s="613" t="s">
        <v>1392</v>
      </c>
      <c r="M324" s="613" t="s">
        <v>464</v>
      </c>
      <c r="N324" s="613" t="s">
        <v>464</v>
      </c>
      <c r="O324" s="613"/>
    </row>
    <row r="325" spans="12:15" x14ac:dyDescent="0.3">
      <c r="L325" s="616" t="s">
        <v>1393</v>
      </c>
      <c r="M325" s="616">
        <v>0.01</v>
      </c>
      <c r="N325" s="616" t="s">
        <v>464</v>
      </c>
      <c r="O325" s="613" t="s">
        <v>1524</v>
      </c>
    </row>
    <row r="326" spans="12:15" x14ac:dyDescent="0.3">
      <c r="L326" s="613" t="s">
        <v>525</v>
      </c>
      <c r="M326" s="613" t="s">
        <v>464</v>
      </c>
      <c r="N326" s="613" t="s">
        <v>464</v>
      </c>
      <c r="O326" s="613"/>
    </row>
    <row r="327" spans="12:15" x14ac:dyDescent="0.3">
      <c r="L327" s="613" t="s">
        <v>1394</v>
      </c>
      <c r="M327" s="613" t="s">
        <v>464</v>
      </c>
      <c r="N327" s="613" t="s">
        <v>464</v>
      </c>
      <c r="O327" s="613"/>
    </row>
    <row r="328" spans="12:15" x14ac:dyDescent="0.3">
      <c r="L328" s="613" t="s">
        <v>1395</v>
      </c>
      <c r="M328" s="613" t="s">
        <v>464</v>
      </c>
      <c r="N328" s="613" t="s">
        <v>464</v>
      </c>
      <c r="O328" s="613"/>
    </row>
    <row r="329" spans="12:15" x14ac:dyDescent="0.3">
      <c r="L329" s="613" t="s">
        <v>1396</v>
      </c>
      <c r="M329" s="613" t="s">
        <v>464</v>
      </c>
      <c r="N329" s="613" t="s">
        <v>464</v>
      </c>
      <c r="O329" s="613"/>
    </row>
    <row r="330" spans="12:15" x14ac:dyDescent="0.3">
      <c r="L330" s="616" t="s">
        <v>1397</v>
      </c>
      <c r="M330" s="616" t="s">
        <v>464</v>
      </c>
      <c r="N330" s="616" t="s">
        <v>464</v>
      </c>
      <c r="O330" s="613" t="s">
        <v>1524</v>
      </c>
    </row>
    <row r="331" spans="12:15" x14ac:dyDescent="0.3">
      <c r="L331" s="613" t="s">
        <v>1398</v>
      </c>
      <c r="M331" s="613" t="s">
        <v>464</v>
      </c>
      <c r="N331" s="613" t="s">
        <v>464</v>
      </c>
      <c r="O331" s="613"/>
    </row>
    <row r="332" spans="12:15" x14ac:dyDescent="0.3">
      <c r="L332" s="613" t="s">
        <v>1399</v>
      </c>
      <c r="M332" s="613" t="s">
        <v>464</v>
      </c>
      <c r="N332" s="613" t="s">
        <v>464</v>
      </c>
      <c r="O332" s="613"/>
    </row>
    <row r="333" spans="12:15" x14ac:dyDescent="0.3">
      <c r="L333" s="613" t="s">
        <v>1400</v>
      </c>
      <c r="M333" s="613" t="s">
        <v>464</v>
      </c>
      <c r="N333" s="613" t="s">
        <v>464</v>
      </c>
      <c r="O333" s="613"/>
    </row>
    <row r="334" spans="12:15" x14ac:dyDescent="0.3">
      <c r="L334" s="613" t="s">
        <v>1401</v>
      </c>
      <c r="M334" s="613" t="s">
        <v>464</v>
      </c>
      <c r="N334" s="613" t="s">
        <v>464</v>
      </c>
      <c r="O334" s="613"/>
    </row>
    <row r="335" spans="12:15" x14ac:dyDescent="0.3">
      <c r="L335" s="613" t="s">
        <v>840</v>
      </c>
      <c r="M335" s="613" t="s">
        <v>464</v>
      </c>
      <c r="N335" s="613" t="s">
        <v>464</v>
      </c>
      <c r="O335" s="613"/>
    </row>
    <row r="336" spans="12:15" x14ac:dyDescent="0.3">
      <c r="L336" s="613" t="s">
        <v>526</v>
      </c>
      <c r="M336" s="613" t="s">
        <v>464</v>
      </c>
      <c r="N336" s="613" t="s">
        <v>464</v>
      </c>
      <c r="O336" s="613"/>
    </row>
    <row r="337" spans="12:16" x14ac:dyDescent="0.3">
      <c r="L337" s="613" t="s">
        <v>1402</v>
      </c>
      <c r="M337" s="613" t="s">
        <v>464</v>
      </c>
      <c r="N337" s="613" t="s">
        <v>464</v>
      </c>
      <c r="O337" s="613"/>
    </row>
    <row r="338" spans="12:16" x14ac:dyDescent="0.3">
      <c r="L338" s="613" t="s">
        <v>1403</v>
      </c>
      <c r="M338" s="613" t="s">
        <v>464</v>
      </c>
      <c r="N338" s="613" t="s">
        <v>464</v>
      </c>
      <c r="O338" s="613"/>
    </row>
    <row r="339" spans="12:16" x14ac:dyDescent="0.3">
      <c r="L339" s="613" t="s">
        <v>1404</v>
      </c>
      <c r="M339" s="613" t="s">
        <v>464</v>
      </c>
      <c r="N339" s="613" t="s">
        <v>464</v>
      </c>
      <c r="O339" s="613"/>
    </row>
    <row r="340" spans="12:16" x14ac:dyDescent="0.3">
      <c r="L340" s="613" t="s">
        <v>1405</v>
      </c>
      <c r="M340" s="613" t="s">
        <v>464</v>
      </c>
      <c r="N340" s="613" t="s">
        <v>464</v>
      </c>
      <c r="O340" s="613"/>
    </row>
    <row r="341" spans="12:16" x14ac:dyDescent="0.3">
      <c r="L341" s="613" t="s">
        <v>1406</v>
      </c>
      <c r="M341" s="613" t="s">
        <v>464</v>
      </c>
      <c r="N341" s="613" t="s">
        <v>464</v>
      </c>
      <c r="O341" s="613"/>
    </row>
    <row r="342" spans="12:16" x14ac:dyDescent="0.3">
      <c r="L342" s="613" t="s">
        <v>527</v>
      </c>
      <c r="M342" s="613" t="s">
        <v>464</v>
      </c>
      <c r="N342" s="613" t="s">
        <v>464</v>
      </c>
      <c r="O342" s="613"/>
    </row>
    <row r="343" spans="12:16" x14ac:dyDescent="0.3">
      <c r="L343" s="615" t="s">
        <v>1407</v>
      </c>
      <c r="M343" s="615">
        <v>0.03</v>
      </c>
      <c r="N343" s="615">
        <v>0.05</v>
      </c>
      <c r="O343" s="613" t="s">
        <v>1529</v>
      </c>
      <c r="P343" s="622" t="s">
        <v>1525</v>
      </c>
    </row>
    <row r="344" spans="12:16" x14ac:dyDescent="0.3">
      <c r="L344" s="613" t="s">
        <v>1408</v>
      </c>
      <c r="M344" s="613" t="s">
        <v>464</v>
      </c>
      <c r="N344" s="613" t="s">
        <v>464</v>
      </c>
      <c r="O344" s="613"/>
    </row>
    <row r="345" spans="12:16" x14ac:dyDescent="0.3">
      <c r="L345" s="613" t="s">
        <v>1409</v>
      </c>
      <c r="M345" s="613" t="s">
        <v>464</v>
      </c>
      <c r="N345" s="613" t="s">
        <v>464</v>
      </c>
      <c r="O345" s="613"/>
    </row>
    <row r="346" spans="12:16" x14ac:dyDescent="0.3">
      <c r="L346" s="613" t="s">
        <v>528</v>
      </c>
      <c r="M346" s="613" t="s">
        <v>464</v>
      </c>
      <c r="N346" s="613" t="s">
        <v>464</v>
      </c>
      <c r="O346" s="613"/>
    </row>
    <row r="347" spans="12:16" x14ac:dyDescent="0.3">
      <c r="L347" s="616" t="s">
        <v>1410</v>
      </c>
      <c r="M347" s="616" t="s">
        <v>464</v>
      </c>
      <c r="N347" s="616" t="s">
        <v>464</v>
      </c>
      <c r="O347" s="613" t="s">
        <v>1524</v>
      </c>
    </row>
    <row r="348" spans="12:16" x14ac:dyDescent="0.3">
      <c r="L348" s="613" t="s">
        <v>529</v>
      </c>
      <c r="M348" s="613" t="s">
        <v>464</v>
      </c>
      <c r="N348" s="613" t="s">
        <v>464</v>
      </c>
      <c r="O348" s="613"/>
    </row>
    <row r="349" spans="12:16" x14ac:dyDescent="0.3">
      <c r="L349" s="613" t="s">
        <v>530</v>
      </c>
      <c r="M349" s="613" t="s">
        <v>464</v>
      </c>
      <c r="N349" s="613" t="s">
        <v>464</v>
      </c>
      <c r="O349" s="613"/>
    </row>
    <row r="350" spans="12:16" x14ac:dyDescent="0.3">
      <c r="L350" s="613" t="s">
        <v>531</v>
      </c>
      <c r="M350" s="613" t="s">
        <v>464</v>
      </c>
      <c r="N350" s="613" t="s">
        <v>464</v>
      </c>
      <c r="O350" s="613"/>
    </row>
    <row r="351" spans="12:16" x14ac:dyDescent="0.3">
      <c r="L351" s="613" t="s">
        <v>1411</v>
      </c>
      <c r="M351" s="613" t="s">
        <v>464</v>
      </c>
      <c r="N351" s="613" t="s">
        <v>464</v>
      </c>
      <c r="O351" s="613"/>
    </row>
    <row r="352" spans="12:16" x14ac:dyDescent="0.3">
      <c r="L352" s="613" t="s">
        <v>1412</v>
      </c>
      <c r="M352" s="613" t="s">
        <v>464</v>
      </c>
      <c r="N352" s="613" t="s">
        <v>464</v>
      </c>
      <c r="O352" s="613"/>
    </row>
    <row r="353" spans="12:15" x14ac:dyDescent="0.3">
      <c r="L353" s="613" t="s">
        <v>1413</v>
      </c>
      <c r="M353" s="613" t="s">
        <v>464</v>
      </c>
      <c r="N353" s="613" t="s">
        <v>464</v>
      </c>
      <c r="O353" s="613"/>
    </row>
    <row r="354" spans="12:15" x14ac:dyDescent="0.3">
      <c r="L354" s="613" t="s">
        <v>533</v>
      </c>
      <c r="M354" s="613" t="s">
        <v>464</v>
      </c>
      <c r="N354" s="613" t="s">
        <v>464</v>
      </c>
      <c r="O354" s="613"/>
    </row>
    <row r="355" spans="12:15" x14ac:dyDescent="0.3">
      <c r="L355" s="613" t="s">
        <v>534</v>
      </c>
      <c r="M355" s="613" t="s">
        <v>464</v>
      </c>
      <c r="N355" s="613" t="s">
        <v>464</v>
      </c>
      <c r="O355" s="613" t="s">
        <v>1622</v>
      </c>
    </row>
    <row r="356" spans="12:15" x14ac:dyDescent="0.3">
      <c r="L356" s="613" t="s">
        <v>1414</v>
      </c>
      <c r="M356" s="613" t="s">
        <v>464</v>
      </c>
      <c r="N356" s="613" t="s">
        <v>464</v>
      </c>
      <c r="O356" s="613"/>
    </row>
    <row r="357" spans="12:15" x14ac:dyDescent="0.3">
      <c r="L357" s="613" t="s">
        <v>1415</v>
      </c>
      <c r="M357" s="613" t="s">
        <v>464</v>
      </c>
      <c r="N357" s="613" t="s">
        <v>464</v>
      </c>
      <c r="O357" s="613"/>
    </row>
    <row r="358" spans="12:15" x14ac:dyDescent="0.3">
      <c r="L358" s="613" t="s">
        <v>1416</v>
      </c>
      <c r="M358" s="613" t="s">
        <v>464</v>
      </c>
      <c r="N358" s="613" t="s">
        <v>464</v>
      </c>
      <c r="O358" s="613"/>
    </row>
    <row r="359" spans="12:15" x14ac:dyDescent="0.3">
      <c r="L359" s="613" t="s">
        <v>1417</v>
      </c>
      <c r="M359" s="613" t="s">
        <v>464</v>
      </c>
      <c r="N359" s="613" t="s">
        <v>464</v>
      </c>
      <c r="O359" s="613"/>
    </row>
    <row r="360" spans="12:15" x14ac:dyDescent="0.3">
      <c r="L360" s="613" t="s">
        <v>1418</v>
      </c>
      <c r="M360" s="613" t="s">
        <v>464</v>
      </c>
      <c r="N360" s="613" t="s">
        <v>464</v>
      </c>
      <c r="O360" s="613"/>
    </row>
    <row r="361" spans="12:15" x14ac:dyDescent="0.3">
      <c r="L361" s="613" t="s">
        <v>1419</v>
      </c>
      <c r="M361" s="613" t="s">
        <v>464</v>
      </c>
      <c r="N361" s="613" t="s">
        <v>464</v>
      </c>
      <c r="O361" s="613"/>
    </row>
    <row r="362" spans="12:15" x14ac:dyDescent="0.3">
      <c r="L362" s="613" t="s">
        <v>1420</v>
      </c>
      <c r="M362" s="613" t="s">
        <v>464</v>
      </c>
      <c r="N362" s="613" t="s">
        <v>464</v>
      </c>
      <c r="O362" s="613"/>
    </row>
    <row r="363" spans="12:15" x14ac:dyDescent="0.3">
      <c r="L363" s="613" t="s">
        <v>1421</v>
      </c>
      <c r="M363" s="613" t="s">
        <v>464</v>
      </c>
      <c r="N363" s="613" t="s">
        <v>464</v>
      </c>
      <c r="O363" s="613"/>
    </row>
    <row r="364" spans="12:15" x14ac:dyDescent="0.3">
      <c r="L364" s="613" t="s">
        <v>1422</v>
      </c>
      <c r="M364" s="613" t="s">
        <v>464</v>
      </c>
      <c r="N364" s="613" t="s">
        <v>464</v>
      </c>
      <c r="O364" s="613"/>
    </row>
    <row r="365" spans="12:15" x14ac:dyDescent="0.3">
      <c r="L365" s="613" t="s">
        <v>1423</v>
      </c>
      <c r="M365" s="613" t="s">
        <v>464</v>
      </c>
      <c r="N365" s="613" t="s">
        <v>464</v>
      </c>
      <c r="O365" s="613"/>
    </row>
    <row r="366" spans="12:15" x14ac:dyDescent="0.3">
      <c r="L366" s="613" t="s">
        <v>1424</v>
      </c>
      <c r="M366" s="613" t="s">
        <v>464</v>
      </c>
      <c r="N366" s="613" t="s">
        <v>464</v>
      </c>
      <c r="O366" s="613"/>
    </row>
    <row r="367" spans="12:15" x14ac:dyDescent="0.3">
      <c r="L367" s="613" t="s">
        <v>1425</v>
      </c>
      <c r="M367" s="613" t="s">
        <v>464</v>
      </c>
      <c r="N367" s="613" t="s">
        <v>464</v>
      </c>
      <c r="O367" s="613"/>
    </row>
    <row r="368" spans="12:15" x14ac:dyDescent="0.3">
      <c r="L368" s="613" t="s">
        <v>1426</v>
      </c>
      <c r="M368" s="613" t="s">
        <v>464</v>
      </c>
      <c r="N368" s="613" t="s">
        <v>464</v>
      </c>
      <c r="O368" s="613"/>
    </row>
    <row r="369" spans="12:16" x14ac:dyDescent="0.3">
      <c r="L369" s="613" t="s">
        <v>1427</v>
      </c>
      <c r="M369" s="613" t="s">
        <v>464</v>
      </c>
      <c r="N369" s="613" t="s">
        <v>464</v>
      </c>
      <c r="O369" s="613"/>
    </row>
    <row r="370" spans="12:16" x14ac:dyDescent="0.3">
      <c r="L370" s="613" t="s">
        <v>1428</v>
      </c>
      <c r="M370" s="613" t="s">
        <v>464</v>
      </c>
      <c r="N370" s="613" t="s">
        <v>464</v>
      </c>
      <c r="O370" s="613"/>
    </row>
    <row r="371" spans="12:16" x14ac:dyDescent="0.3">
      <c r="L371" s="613" t="s">
        <v>1429</v>
      </c>
      <c r="M371" s="613" t="s">
        <v>464</v>
      </c>
      <c r="N371" s="613" t="s">
        <v>464</v>
      </c>
      <c r="O371" s="613"/>
    </row>
    <row r="372" spans="12:16" x14ac:dyDescent="0.3">
      <c r="L372" s="615" t="s">
        <v>536</v>
      </c>
      <c r="M372" s="615">
        <v>0.03</v>
      </c>
      <c r="N372" s="615">
        <v>0.05</v>
      </c>
      <c r="O372" s="613" t="s">
        <v>1529</v>
      </c>
      <c r="P372" s="622" t="s">
        <v>1525</v>
      </c>
    </row>
    <row r="373" spans="12:16" x14ac:dyDescent="0.3">
      <c r="L373" s="613" t="s">
        <v>537</v>
      </c>
      <c r="M373" s="613" t="s">
        <v>464</v>
      </c>
      <c r="N373" s="613" t="s">
        <v>464</v>
      </c>
      <c r="O373" s="613"/>
    </row>
    <row r="374" spans="12:16" x14ac:dyDescent="0.3">
      <c r="L374" s="613" t="s">
        <v>1430</v>
      </c>
      <c r="M374" s="613" t="s">
        <v>464</v>
      </c>
      <c r="N374" s="613" t="s">
        <v>464</v>
      </c>
      <c r="O374" s="613"/>
    </row>
    <row r="375" spans="12:16" x14ac:dyDescent="0.3">
      <c r="L375" s="613" t="s">
        <v>1431</v>
      </c>
      <c r="M375" s="613" t="s">
        <v>464</v>
      </c>
      <c r="N375" s="613" t="s">
        <v>464</v>
      </c>
      <c r="O375" s="613"/>
    </row>
    <row r="376" spans="12:16" x14ac:dyDescent="0.3">
      <c r="L376" s="613" t="s">
        <v>1432</v>
      </c>
      <c r="M376" s="613" t="s">
        <v>464</v>
      </c>
      <c r="N376" s="613" t="s">
        <v>464</v>
      </c>
      <c r="O376" s="613"/>
    </row>
    <row r="377" spans="12:16" x14ac:dyDescent="0.3">
      <c r="L377" s="613" t="s">
        <v>1433</v>
      </c>
      <c r="M377" s="613" t="s">
        <v>464</v>
      </c>
      <c r="N377" s="613" t="s">
        <v>464</v>
      </c>
      <c r="O377" s="613"/>
    </row>
    <row r="378" spans="12:16" x14ac:dyDescent="0.3">
      <c r="L378" s="613" t="s">
        <v>1434</v>
      </c>
      <c r="M378" s="613" t="s">
        <v>464</v>
      </c>
      <c r="N378" s="613" t="s">
        <v>464</v>
      </c>
      <c r="O378" s="613" t="s">
        <v>1622</v>
      </c>
    </row>
    <row r="379" spans="12:16" x14ac:dyDescent="0.3">
      <c r="L379" s="616" t="s">
        <v>1435</v>
      </c>
      <c r="M379" s="616" t="s">
        <v>464</v>
      </c>
      <c r="N379" s="616" t="s">
        <v>464</v>
      </c>
      <c r="O379" s="613" t="s">
        <v>1524</v>
      </c>
    </row>
    <row r="380" spans="12:16" x14ac:dyDescent="0.3">
      <c r="L380" s="613" t="s">
        <v>1436</v>
      </c>
      <c r="M380" s="613" t="s">
        <v>464</v>
      </c>
      <c r="N380" s="613" t="s">
        <v>464</v>
      </c>
      <c r="O380" s="613"/>
    </row>
    <row r="381" spans="12:16" x14ac:dyDescent="0.3">
      <c r="L381" s="613" t="s">
        <v>1437</v>
      </c>
      <c r="M381" s="613" t="s">
        <v>464</v>
      </c>
      <c r="N381" s="613" t="s">
        <v>464</v>
      </c>
      <c r="O381" s="613"/>
    </row>
    <row r="382" spans="12:16" x14ac:dyDescent="0.3">
      <c r="L382" s="613" t="s">
        <v>1438</v>
      </c>
      <c r="M382" s="613" t="s">
        <v>464</v>
      </c>
      <c r="N382" s="613" t="s">
        <v>464</v>
      </c>
      <c r="O382" s="613"/>
    </row>
    <row r="383" spans="12:16" x14ac:dyDescent="0.3">
      <c r="L383" s="613" t="s">
        <v>841</v>
      </c>
      <c r="M383" s="613" t="s">
        <v>464</v>
      </c>
      <c r="N383" s="613" t="s">
        <v>464</v>
      </c>
      <c r="O383" s="613"/>
    </row>
    <row r="384" spans="12:16" x14ac:dyDescent="0.3">
      <c r="L384" s="613" t="s">
        <v>1439</v>
      </c>
      <c r="M384" s="613" t="s">
        <v>464</v>
      </c>
      <c r="N384" s="613" t="s">
        <v>464</v>
      </c>
      <c r="O384" s="613"/>
    </row>
    <row r="385" spans="12:16" x14ac:dyDescent="0.3">
      <c r="L385" s="613" t="s">
        <v>538</v>
      </c>
      <c r="M385" s="613" t="s">
        <v>464</v>
      </c>
      <c r="N385" s="613" t="s">
        <v>464</v>
      </c>
      <c r="O385" s="613"/>
    </row>
    <row r="386" spans="12:16" x14ac:dyDescent="0.3">
      <c r="L386" s="613" t="s">
        <v>539</v>
      </c>
      <c r="M386" s="613" t="s">
        <v>464</v>
      </c>
      <c r="N386" s="613" t="s">
        <v>464</v>
      </c>
      <c r="O386" s="613"/>
    </row>
    <row r="387" spans="12:16" x14ac:dyDescent="0.3">
      <c r="L387" s="613" t="s">
        <v>1440</v>
      </c>
      <c r="M387" s="613" t="s">
        <v>464</v>
      </c>
      <c r="N387" s="613" t="s">
        <v>464</v>
      </c>
      <c r="O387" s="613"/>
    </row>
    <row r="388" spans="12:16" x14ac:dyDescent="0.3">
      <c r="L388" s="613" t="s">
        <v>1441</v>
      </c>
      <c r="M388" s="613" t="s">
        <v>464</v>
      </c>
      <c r="N388" s="613" t="s">
        <v>464</v>
      </c>
      <c r="O388" s="613"/>
    </row>
    <row r="389" spans="12:16" x14ac:dyDescent="0.3">
      <c r="L389" s="613" t="s">
        <v>540</v>
      </c>
      <c r="M389" s="613" t="s">
        <v>464</v>
      </c>
      <c r="N389" s="613" t="s">
        <v>464</v>
      </c>
      <c r="O389" s="613"/>
    </row>
    <row r="390" spans="12:16" x14ac:dyDescent="0.3">
      <c r="L390" s="613" t="s">
        <v>541</v>
      </c>
      <c r="M390" s="613" t="s">
        <v>464</v>
      </c>
      <c r="N390" s="613" t="s">
        <v>464</v>
      </c>
      <c r="O390" s="613"/>
    </row>
    <row r="391" spans="12:16" x14ac:dyDescent="0.3">
      <c r="L391" s="613" t="s">
        <v>1442</v>
      </c>
      <c r="M391" s="613" t="s">
        <v>464</v>
      </c>
      <c r="N391" s="613" t="s">
        <v>464</v>
      </c>
      <c r="O391" s="613"/>
    </row>
    <row r="392" spans="12:16" x14ac:dyDescent="0.3">
      <c r="L392" s="613" t="s">
        <v>1443</v>
      </c>
      <c r="M392" s="613" t="s">
        <v>464</v>
      </c>
      <c r="N392" s="613" t="s">
        <v>464</v>
      </c>
      <c r="O392" s="613"/>
    </row>
    <row r="393" spans="12:16" x14ac:dyDescent="0.3">
      <c r="L393" s="613" t="s">
        <v>542</v>
      </c>
      <c r="M393" s="613" t="s">
        <v>464</v>
      </c>
      <c r="N393" s="613" t="s">
        <v>464</v>
      </c>
      <c r="O393" s="613"/>
    </row>
    <row r="394" spans="12:16" x14ac:dyDescent="0.3">
      <c r="L394" s="613" t="s">
        <v>1444</v>
      </c>
      <c r="M394" s="613" t="s">
        <v>464</v>
      </c>
      <c r="N394" s="613" t="s">
        <v>464</v>
      </c>
      <c r="O394" s="613"/>
    </row>
    <row r="395" spans="12:16" x14ac:dyDescent="0.3">
      <c r="L395" s="613" t="s">
        <v>543</v>
      </c>
      <c r="M395" s="613" t="s">
        <v>464</v>
      </c>
      <c r="N395" s="613" t="s">
        <v>464</v>
      </c>
      <c r="O395" s="613"/>
    </row>
    <row r="396" spans="12:16" x14ac:dyDescent="0.3">
      <c r="L396" s="613" t="s">
        <v>1445</v>
      </c>
      <c r="M396" s="613" t="s">
        <v>464</v>
      </c>
      <c r="N396" s="613" t="s">
        <v>464</v>
      </c>
      <c r="O396" s="613"/>
    </row>
    <row r="397" spans="12:16" x14ac:dyDescent="0.3">
      <c r="L397" s="613" t="s">
        <v>1446</v>
      </c>
      <c r="M397" s="613" t="s">
        <v>464</v>
      </c>
      <c r="N397" s="613" t="s">
        <v>464</v>
      </c>
      <c r="O397" s="613"/>
    </row>
    <row r="398" spans="12:16" x14ac:dyDescent="0.3">
      <c r="L398" s="613" t="s">
        <v>1447</v>
      </c>
      <c r="M398" s="613" t="s">
        <v>464</v>
      </c>
      <c r="N398" s="613" t="s">
        <v>464</v>
      </c>
      <c r="O398" s="613"/>
    </row>
    <row r="399" spans="12:16" x14ac:dyDescent="0.3">
      <c r="L399" s="615" t="s">
        <v>544</v>
      </c>
      <c r="M399" s="615">
        <v>0.03</v>
      </c>
      <c r="N399" s="615">
        <v>0.05</v>
      </c>
      <c r="O399" s="613" t="s">
        <v>1529</v>
      </c>
      <c r="P399" s="622" t="s">
        <v>1525</v>
      </c>
    </row>
    <row r="400" spans="12:16" x14ac:dyDescent="0.3">
      <c r="L400" s="613" t="s">
        <v>1448</v>
      </c>
      <c r="M400" s="613" t="s">
        <v>464</v>
      </c>
      <c r="N400" s="613" t="s">
        <v>464</v>
      </c>
      <c r="O400" s="613"/>
    </row>
    <row r="401" spans="12:16" x14ac:dyDescent="0.3">
      <c r="L401" s="613" t="s">
        <v>1449</v>
      </c>
      <c r="M401" s="613" t="s">
        <v>464</v>
      </c>
      <c r="N401" s="613" t="s">
        <v>464</v>
      </c>
      <c r="O401" s="613"/>
    </row>
    <row r="402" spans="12:16" x14ac:dyDescent="0.3">
      <c r="L402" s="613" t="s">
        <v>1450</v>
      </c>
      <c r="M402" s="613" t="s">
        <v>464</v>
      </c>
      <c r="N402" s="613" t="s">
        <v>464</v>
      </c>
      <c r="O402" s="613"/>
    </row>
    <row r="403" spans="12:16" x14ac:dyDescent="0.3">
      <c r="L403" s="613" t="s">
        <v>545</v>
      </c>
      <c r="M403" s="613" t="s">
        <v>464</v>
      </c>
      <c r="N403" s="613" t="s">
        <v>464</v>
      </c>
      <c r="O403" s="613"/>
    </row>
    <row r="404" spans="12:16" x14ac:dyDescent="0.3">
      <c r="L404" s="613" t="s">
        <v>842</v>
      </c>
      <c r="M404" s="613" t="s">
        <v>464</v>
      </c>
      <c r="N404" s="613" t="s">
        <v>464</v>
      </c>
      <c r="O404" s="613"/>
    </row>
    <row r="405" spans="12:16" x14ac:dyDescent="0.3">
      <c r="L405" s="613" t="s">
        <v>1451</v>
      </c>
      <c r="M405" s="613" t="s">
        <v>464</v>
      </c>
      <c r="N405" s="613" t="s">
        <v>464</v>
      </c>
      <c r="O405" s="613"/>
    </row>
    <row r="406" spans="12:16" x14ac:dyDescent="0.3">
      <c r="L406" s="613" t="s">
        <v>1452</v>
      </c>
      <c r="M406" s="613" t="s">
        <v>464</v>
      </c>
      <c r="N406" s="613" t="s">
        <v>464</v>
      </c>
      <c r="O406" s="613"/>
    </row>
    <row r="407" spans="12:16" x14ac:dyDescent="0.3">
      <c r="L407" s="613" t="s">
        <v>1453</v>
      </c>
      <c r="M407" s="613" t="s">
        <v>464</v>
      </c>
      <c r="N407" s="613" t="s">
        <v>464</v>
      </c>
      <c r="O407" s="613"/>
    </row>
    <row r="408" spans="12:16" x14ac:dyDescent="0.3">
      <c r="L408" s="613" t="s">
        <v>546</v>
      </c>
      <c r="M408" s="613" t="s">
        <v>464</v>
      </c>
      <c r="N408" s="613" t="s">
        <v>464</v>
      </c>
      <c r="O408" s="613"/>
    </row>
    <row r="409" spans="12:16" x14ac:dyDescent="0.3">
      <c r="L409" s="613" t="s">
        <v>1454</v>
      </c>
      <c r="M409" s="613" t="s">
        <v>464</v>
      </c>
      <c r="N409" s="613" t="s">
        <v>464</v>
      </c>
      <c r="O409" s="613"/>
    </row>
    <row r="410" spans="12:16" x14ac:dyDescent="0.3">
      <c r="L410" s="615" t="s">
        <v>547</v>
      </c>
      <c r="M410" s="615">
        <v>0.03</v>
      </c>
      <c r="N410" s="615">
        <v>0.05</v>
      </c>
      <c r="O410" s="613" t="s">
        <v>1529</v>
      </c>
      <c r="P410" s="622" t="s">
        <v>1525</v>
      </c>
    </row>
    <row r="411" spans="12:16" x14ac:dyDescent="0.3">
      <c r="L411" s="613" t="s">
        <v>393</v>
      </c>
      <c r="M411" s="613" t="s">
        <v>464</v>
      </c>
      <c r="N411" s="613" t="s">
        <v>464</v>
      </c>
      <c r="O411" s="613"/>
    </row>
    <row r="412" spans="12:16" x14ac:dyDescent="0.3">
      <c r="L412" s="613" t="s">
        <v>1455</v>
      </c>
      <c r="M412" s="613" t="s">
        <v>464</v>
      </c>
      <c r="N412" s="613" t="s">
        <v>464</v>
      </c>
      <c r="O412" s="613"/>
    </row>
    <row r="413" spans="12:16" x14ac:dyDescent="0.3">
      <c r="L413" s="615" t="s">
        <v>1456</v>
      </c>
      <c r="M413" s="615">
        <v>0.03</v>
      </c>
      <c r="N413" s="615">
        <v>0.05</v>
      </c>
      <c r="O413" s="613" t="s">
        <v>1529</v>
      </c>
      <c r="P413" s="622" t="s">
        <v>1525</v>
      </c>
    </row>
    <row r="414" spans="12:16" x14ac:dyDescent="0.3">
      <c r="L414" s="613" t="s">
        <v>1457</v>
      </c>
      <c r="M414" s="613" t="s">
        <v>464</v>
      </c>
      <c r="N414" s="613" t="s">
        <v>464</v>
      </c>
      <c r="O414" s="613"/>
    </row>
    <row r="415" spans="12:16" x14ac:dyDescent="0.3">
      <c r="L415" s="613" t="s">
        <v>548</v>
      </c>
      <c r="M415" s="613" t="s">
        <v>464</v>
      </c>
      <c r="N415" s="613" t="s">
        <v>464</v>
      </c>
      <c r="O415" s="613"/>
    </row>
    <row r="416" spans="12:16" x14ac:dyDescent="0.3">
      <c r="L416" s="613" t="s">
        <v>1458</v>
      </c>
      <c r="M416" s="613" t="s">
        <v>464</v>
      </c>
      <c r="N416" s="613" t="s">
        <v>464</v>
      </c>
      <c r="O416" s="613"/>
    </row>
    <row r="417" spans="12:15" x14ac:dyDescent="0.3">
      <c r="L417" s="613" t="s">
        <v>1459</v>
      </c>
      <c r="M417" s="613" t="s">
        <v>464</v>
      </c>
      <c r="N417" s="613" t="s">
        <v>464</v>
      </c>
      <c r="O417" s="613"/>
    </row>
    <row r="418" spans="12:15" x14ac:dyDescent="0.3">
      <c r="L418" s="613" t="s">
        <v>843</v>
      </c>
      <c r="M418" s="613" t="s">
        <v>464</v>
      </c>
      <c r="N418" s="613" t="s">
        <v>464</v>
      </c>
      <c r="O418" s="613"/>
    </row>
    <row r="419" spans="12:15" x14ac:dyDescent="0.3">
      <c r="L419" s="613" t="s">
        <v>844</v>
      </c>
      <c r="M419" s="613" t="s">
        <v>464</v>
      </c>
      <c r="N419" s="613" t="s">
        <v>464</v>
      </c>
      <c r="O419" s="613"/>
    </row>
    <row r="420" spans="12:15" x14ac:dyDescent="0.3">
      <c r="L420" s="613" t="s">
        <v>845</v>
      </c>
      <c r="M420" s="613" t="s">
        <v>464</v>
      </c>
      <c r="N420" s="613" t="s">
        <v>464</v>
      </c>
      <c r="O420" s="613"/>
    </row>
    <row r="421" spans="12:15" x14ac:dyDescent="0.3">
      <c r="L421" s="613" t="s">
        <v>846</v>
      </c>
      <c r="M421" s="613" t="s">
        <v>464</v>
      </c>
      <c r="N421" s="613" t="s">
        <v>464</v>
      </c>
      <c r="O421" s="613"/>
    </row>
    <row r="422" spans="12:15" x14ac:dyDescent="0.3">
      <c r="L422" s="613" t="s">
        <v>1460</v>
      </c>
      <c r="M422" s="613" t="s">
        <v>464</v>
      </c>
      <c r="N422" s="613" t="s">
        <v>464</v>
      </c>
      <c r="O422" s="613"/>
    </row>
    <row r="423" spans="12:15" x14ac:dyDescent="0.3">
      <c r="L423" s="613" t="s">
        <v>1461</v>
      </c>
      <c r="M423" s="613" t="s">
        <v>464</v>
      </c>
      <c r="N423" s="613" t="s">
        <v>464</v>
      </c>
      <c r="O423" s="613"/>
    </row>
    <row r="424" spans="12:15" x14ac:dyDescent="0.3">
      <c r="L424" s="613" t="s">
        <v>847</v>
      </c>
      <c r="M424" s="613" t="s">
        <v>464</v>
      </c>
      <c r="N424" s="613" t="s">
        <v>464</v>
      </c>
      <c r="O424" s="613"/>
    </row>
    <row r="425" spans="12:15" x14ac:dyDescent="0.3">
      <c r="L425" s="613" t="s">
        <v>1462</v>
      </c>
      <c r="M425" s="613" t="s">
        <v>464</v>
      </c>
      <c r="N425" s="613" t="s">
        <v>464</v>
      </c>
      <c r="O425" s="613"/>
    </row>
    <row r="426" spans="12:15" x14ac:dyDescent="0.3">
      <c r="L426" s="613" t="s">
        <v>1463</v>
      </c>
      <c r="M426" s="613" t="s">
        <v>464</v>
      </c>
      <c r="N426" s="613" t="s">
        <v>464</v>
      </c>
      <c r="O426" s="613"/>
    </row>
    <row r="427" spans="12:15" x14ac:dyDescent="0.3">
      <c r="L427" s="613" t="s">
        <v>1464</v>
      </c>
      <c r="M427" s="613" t="s">
        <v>464</v>
      </c>
      <c r="N427" s="613" t="s">
        <v>464</v>
      </c>
      <c r="O427" s="613"/>
    </row>
    <row r="428" spans="12:15" x14ac:dyDescent="0.3">
      <c r="L428" s="613" t="s">
        <v>1465</v>
      </c>
      <c r="M428" s="613" t="s">
        <v>464</v>
      </c>
      <c r="N428" s="613" t="s">
        <v>464</v>
      </c>
      <c r="O428" s="613"/>
    </row>
    <row r="429" spans="12:15" x14ac:dyDescent="0.3">
      <c r="L429" s="613" t="s">
        <v>1466</v>
      </c>
      <c r="M429" s="613" t="s">
        <v>464</v>
      </c>
      <c r="N429" s="613" t="s">
        <v>464</v>
      </c>
      <c r="O429" s="613"/>
    </row>
    <row r="430" spans="12:15" x14ac:dyDescent="0.3">
      <c r="L430" s="613" t="s">
        <v>1467</v>
      </c>
      <c r="M430" s="613" t="s">
        <v>464</v>
      </c>
      <c r="N430" s="613" t="s">
        <v>464</v>
      </c>
      <c r="O430" s="613"/>
    </row>
    <row r="431" spans="12:15" x14ac:dyDescent="0.3">
      <c r="L431" s="613" t="s">
        <v>1468</v>
      </c>
      <c r="M431" s="613" t="s">
        <v>464</v>
      </c>
      <c r="N431" s="613" t="s">
        <v>464</v>
      </c>
      <c r="O431" s="613"/>
    </row>
    <row r="432" spans="12:15" x14ac:dyDescent="0.3">
      <c r="L432" s="613" t="s">
        <v>1469</v>
      </c>
      <c r="M432" s="613" t="s">
        <v>464</v>
      </c>
      <c r="N432" s="613" t="s">
        <v>464</v>
      </c>
      <c r="O432" s="613"/>
    </row>
    <row r="433" spans="12:16" x14ac:dyDescent="0.3">
      <c r="L433" s="613" t="s">
        <v>1470</v>
      </c>
      <c r="M433" s="613" t="s">
        <v>464</v>
      </c>
      <c r="N433" s="613" t="s">
        <v>464</v>
      </c>
      <c r="O433" s="613"/>
    </row>
    <row r="434" spans="12:16" x14ac:dyDescent="0.3">
      <c r="L434" s="613" t="s">
        <v>1471</v>
      </c>
      <c r="M434" s="613" t="s">
        <v>464</v>
      </c>
      <c r="N434" s="613" t="s">
        <v>464</v>
      </c>
      <c r="O434" s="613"/>
    </row>
    <row r="435" spans="12:16" x14ac:dyDescent="0.3">
      <c r="L435" s="615" t="s">
        <v>550</v>
      </c>
      <c r="M435" s="615">
        <v>0.03</v>
      </c>
      <c r="N435" s="615">
        <v>0.05</v>
      </c>
      <c r="O435" s="613" t="s">
        <v>1529</v>
      </c>
      <c r="P435" s="622" t="s">
        <v>1525</v>
      </c>
    </row>
    <row r="436" spans="12:16" x14ac:dyDescent="0.3">
      <c r="L436" s="613" t="s">
        <v>1472</v>
      </c>
      <c r="M436" s="613" t="s">
        <v>464</v>
      </c>
      <c r="N436" s="613" t="s">
        <v>464</v>
      </c>
      <c r="O436" s="613"/>
    </row>
    <row r="437" spans="12:16" x14ac:dyDescent="0.3">
      <c r="L437" s="613" t="s">
        <v>1473</v>
      </c>
      <c r="M437" s="613" t="s">
        <v>464</v>
      </c>
      <c r="N437" s="613" t="s">
        <v>464</v>
      </c>
      <c r="O437" s="613"/>
    </row>
    <row r="438" spans="12:16" x14ac:dyDescent="0.3">
      <c r="L438" s="613" t="s">
        <v>551</v>
      </c>
      <c r="M438" s="613" t="s">
        <v>464</v>
      </c>
      <c r="N438" s="613" t="s">
        <v>464</v>
      </c>
      <c r="O438" s="613"/>
    </row>
    <row r="439" spans="12:16" x14ac:dyDescent="0.3">
      <c r="L439" s="615" t="s">
        <v>1474</v>
      </c>
      <c r="M439" s="615">
        <v>0.03</v>
      </c>
      <c r="N439" s="615">
        <v>0.05</v>
      </c>
      <c r="O439" s="613" t="s">
        <v>1529</v>
      </c>
      <c r="P439" s="622" t="s">
        <v>1525</v>
      </c>
    </row>
    <row r="440" spans="12:16" x14ac:dyDescent="0.3">
      <c r="L440" s="613" t="s">
        <v>1475</v>
      </c>
      <c r="M440" s="613" t="s">
        <v>464</v>
      </c>
      <c r="N440" s="613" t="s">
        <v>464</v>
      </c>
      <c r="O440" s="613"/>
    </row>
    <row r="441" spans="12:16" x14ac:dyDescent="0.3">
      <c r="L441" s="613" t="s">
        <v>1476</v>
      </c>
      <c r="M441" s="613" t="s">
        <v>464</v>
      </c>
      <c r="N441" s="613" t="s">
        <v>464</v>
      </c>
      <c r="O441" s="613"/>
    </row>
    <row r="442" spans="12:16" x14ac:dyDescent="0.3">
      <c r="L442" s="613" t="s">
        <v>1477</v>
      </c>
      <c r="M442" s="613" t="s">
        <v>464</v>
      </c>
      <c r="N442" s="613" t="s">
        <v>464</v>
      </c>
      <c r="O442" s="613"/>
    </row>
    <row r="443" spans="12:16" x14ac:dyDescent="0.3">
      <c r="L443" s="613" t="s">
        <v>1478</v>
      </c>
      <c r="M443" s="613" t="s">
        <v>464</v>
      </c>
      <c r="N443" s="613" t="s">
        <v>464</v>
      </c>
      <c r="O443" s="613"/>
    </row>
    <row r="444" spans="12:16" x14ac:dyDescent="0.3">
      <c r="L444" s="613" t="s">
        <v>552</v>
      </c>
      <c r="M444" s="613" t="s">
        <v>464</v>
      </c>
      <c r="N444" s="613" t="s">
        <v>464</v>
      </c>
      <c r="O444" s="613" t="s">
        <v>1622</v>
      </c>
    </row>
    <row r="445" spans="12:16" x14ac:dyDescent="0.3">
      <c r="L445" s="616" t="s">
        <v>1479</v>
      </c>
      <c r="M445" s="616">
        <v>0.03</v>
      </c>
      <c r="N445" s="617" t="s">
        <v>464</v>
      </c>
      <c r="O445" s="613" t="s">
        <v>1524</v>
      </c>
    </row>
    <row r="446" spans="12:16" x14ac:dyDescent="0.3">
      <c r="L446" s="613" t="s">
        <v>848</v>
      </c>
      <c r="M446" s="613" t="s">
        <v>464</v>
      </c>
      <c r="N446" s="613" t="s">
        <v>464</v>
      </c>
      <c r="O446" s="613"/>
    </row>
    <row r="447" spans="12:16" x14ac:dyDescent="0.3">
      <c r="L447" s="613" t="s">
        <v>1480</v>
      </c>
      <c r="M447" s="613" t="s">
        <v>464</v>
      </c>
      <c r="N447" s="613" t="s">
        <v>464</v>
      </c>
      <c r="O447" s="613"/>
    </row>
    <row r="448" spans="12:16" x14ac:dyDescent="0.3">
      <c r="L448" s="613" t="s">
        <v>1481</v>
      </c>
      <c r="M448" s="613" t="s">
        <v>464</v>
      </c>
      <c r="N448" s="613" t="s">
        <v>464</v>
      </c>
      <c r="O448" s="613"/>
    </row>
    <row r="449" spans="12:16" x14ac:dyDescent="0.3">
      <c r="L449" s="615" t="s">
        <v>1482</v>
      </c>
      <c r="M449" s="615">
        <v>0.03</v>
      </c>
      <c r="N449" s="615">
        <v>0.05</v>
      </c>
      <c r="O449" s="613" t="s">
        <v>1529</v>
      </c>
      <c r="P449" s="622" t="s">
        <v>1525</v>
      </c>
    </row>
    <row r="450" spans="12:16" x14ac:dyDescent="0.3">
      <c r="L450" s="613" t="s">
        <v>553</v>
      </c>
      <c r="M450" s="613" t="s">
        <v>464</v>
      </c>
      <c r="N450" s="613" t="s">
        <v>464</v>
      </c>
      <c r="O450" s="613"/>
    </row>
    <row r="451" spans="12:16" x14ac:dyDescent="0.3">
      <c r="L451" s="613" t="s">
        <v>1483</v>
      </c>
      <c r="M451" s="613" t="s">
        <v>464</v>
      </c>
      <c r="N451" s="613" t="s">
        <v>464</v>
      </c>
      <c r="O451" s="613"/>
    </row>
    <row r="452" spans="12:16" x14ac:dyDescent="0.3">
      <c r="L452" s="613" t="s">
        <v>1484</v>
      </c>
      <c r="M452" s="613" t="s">
        <v>464</v>
      </c>
      <c r="N452" s="613" t="s">
        <v>464</v>
      </c>
      <c r="O452" s="613"/>
    </row>
    <row r="453" spans="12:16" x14ac:dyDescent="0.3">
      <c r="L453" s="615" t="s">
        <v>1485</v>
      </c>
      <c r="M453" s="615">
        <v>0.03</v>
      </c>
      <c r="N453" s="615">
        <v>0.05</v>
      </c>
      <c r="O453" s="613" t="s">
        <v>1529</v>
      </c>
      <c r="P453" s="622" t="s">
        <v>1525</v>
      </c>
    </row>
    <row r="454" spans="12:16" x14ac:dyDescent="0.3">
      <c r="L454" s="613" t="s">
        <v>1486</v>
      </c>
      <c r="M454" s="613" t="s">
        <v>464</v>
      </c>
      <c r="N454" s="613" t="s">
        <v>464</v>
      </c>
      <c r="O454" s="613"/>
    </row>
    <row r="455" spans="12:16" x14ac:dyDescent="0.3">
      <c r="L455" s="613" t="s">
        <v>1487</v>
      </c>
      <c r="M455" s="613" t="s">
        <v>464</v>
      </c>
      <c r="N455" s="613" t="s">
        <v>464</v>
      </c>
      <c r="O455" s="613"/>
    </row>
    <row r="456" spans="12:16" x14ac:dyDescent="0.3">
      <c r="L456" s="613" t="s">
        <v>1488</v>
      </c>
      <c r="M456" s="613" t="s">
        <v>464</v>
      </c>
      <c r="N456" s="613" t="s">
        <v>464</v>
      </c>
      <c r="O456" s="613"/>
    </row>
    <row r="457" spans="12:16" x14ac:dyDescent="0.3">
      <c r="L457" s="613" t="s">
        <v>1499</v>
      </c>
      <c r="M457" s="613" t="s">
        <v>464</v>
      </c>
      <c r="N457" s="613" t="s">
        <v>464</v>
      </c>
      <c r="O457" s="613"/>
    </row>
    <row r="458" spans="12:16" x14ac:dyDescent="0.3">
      <c r="L458" s="613" t="s">
        <v>1489</v>
      </c>
      <c r="M458" s="613" t="s">
        <v>464</v>
      </c>
      <c r="N458" s="613" t="s">
        <v>464</v>
      </c>
      <c r="O458" s="613"/>
    </row>
    <row r="459" spans="12:16" x14ac:dyDescent="0.3">
      <c r="L459" s="613" t="s">
        <v>1490</v>
      </c>
      <c r="M459" s="613" t="s">
        <v>464</v>
      </c>
      <c r="N459" s="613" t="s">
        <v>464</v>
      </c>
      <c r="O459" s="613"/>
    </row>
    <row r="460" spans="12:16" x14ac:dyDescent="0.3">
      <c r="L460" s="613" t="s">
        <v>554</v>
      </c>
      <c r="M460" s="613" t="s">
        <v>464</v>
      </c>
      <c r="N460" s="613" t="s">
        <v>464</v>
      </c>
      <c r="O460" s="613"/>
    </row>
    <row r="461" spans="12:16" x14ac:dyDescent="0.3">
      <c r="L461" s="613" t="s">
        <v>1491</v>
      </c>
      <c r="M461" s="613" t="s">
        <v>464</v>
      </c>
      <c r="N461" s="613" t="s">
        <v>464</v>
      </c>
      <c r="O461" s="613"/>
    </row>
    <row r="462" spans="12:16" x14ac:dyDescent="0.3">
      <c r="L462" s="613" t="s">
        <v>1058</v>
      </c>
      <c r="M462" s="613" t="s">
        <v>464</v>
      </c>
      <c r="N462" s="613" t="s">
        <v>464</v>
      </c>
      <c r="O462" s="613"/>
    </row>
    <row r="463" spans="12:16" x14ac:dyDescent="0.3">
      <c r="L463" s="613" t="s">
        <v>1059</v>
      </c>
      <c r="M463" s="613" t="s">
        <v>464</v>
      </c>
      <c r="N463" s="613" t="s">
        <v>464</v>
      </c>
      <c r="O463" s="613"/>
    </row>
    <row r="464" spans="12:16" x14ac:dyDescent="0.3">
      <c r="L464" s="613" t="s">
        <v>1060</v>
      </c>
      <c r="M464" s="613" t="s">
        <v>464</v>
      </c>
      <c r="N464" s="613" t="s">
        <v>464</v>
      </c>
      <c r="O464" s="613"/>
    </row>
    <row r="465" spans="12:15" x14ac:dyDescent="0.3">
      <c r="L465" s="613" t="s">
        <v>1061</v>
      </c>
      <c r="M465" s="613" t="s">
        <v>464</v>
      </c>
      <c r="N465" s="613" t="s">
        <v>464</v>
      </c>
      <c r="O465" s="613"/>
    </row>
    <row r="466" spans="12:15" x14ac:dyDescent="0.3">
      <c r="L466" s="613" t="s">
        <v>1062</v>
      </c>
      <c r="M466" s="613" t="s">
        <v>464</v>
      </c>
      <c r="N466" s="613" t="s">
        <v>464</v>
      </c>
      <c r="O466" s="613"/>
    </row>
    <row r="467" spans="12:15" x14ac:dyDescent="0.3">
      <c r="L467" s="613" t="s">
        <v>1063</v>
      </c>
      <c r="M467" s="613" t="s">
        <v>464</v>
      </c>
      <c r="N467" s="613" t="s">
        <v>464</v>
      </c>
      <c r="O467" s="613"/>
    </row>
    <row r="468" spans="12:15" x14ac:dyDescent="0.3">
      <c r="L468" s="613" t="s">
        <v>849</v>
      </c>
      <c r="M468" s="613" t="s">
        <v>464</v>
      </c>
      <c r="N468" s="613" t="s">
        <v>464</v>
      </c>
      <c r="O468" s="613"/>
    </row>
    <row r="469" spans="12:15" x14ac:dyDescent="0.3">
      <c r="L469" s="613" t="s">
        <v>1064</v>
      </c>
      <c r="M469" s="613" t="s">
        <v>464</v>
      </c>
      <c r="N469" s="613" t="s">
        <v>464</v>
      </c>
      <c r="O469" s="613"/>
    </row>
    <row r="470" spans="12:15" x14ac:dyDescent="0.3">
      <c r="L470" s="613" t="s">
        <v>1065</v>
      </c>
      <c r="M470" s="613" t="s">
        <v>464</v>
      </c>
      <c r="N470" s="613" t="s">
        <v>464</v>
      </c>
      <c r="O470" s="613"/>
    </row>
    <row r="471" spans="12:15" x14ac:dyDescent="0.3">
      <c r="L471" s="616" t="s">
        <v>1066</v>
      </c>
      <c r="M471" s="616" t="s">
        <v>464</v>
      </c>
      <c r="N471" s="616" t="s">
        <v>464</v>
      </c>
      <c r="O471" s="613" t="s">
        <v>1524</v>
      </c>
    </row>
    <row r="472" spans="12:15" x14ac:dyDescent="0.3">
      <c r="L472" s="613" t="s">
        <v>1067</v>
      </c>
      <c r="M472" s="613" t="s">
        <v>464</v>
      </c>
      <c r="N472" s="613" t="s">
        <v>464</v>
      </c>
      <c r="O472" s="613"/>
    </row>
    <row r="473" spans="12:15" x14ac:dyDescent="0.3">
      <c r="L473" s="613" t="s">
        <v>1068</v>
      </c>
      <c r="M473" s="613" t="s">
        <v>464</v>
      </c>
      <c r="N473" s="613" t="s">
        <v>464</v>
      </c>
      <c r="O473" s="613"/>
    </row>
    <row r="474" spans="12:15" x14ac:dyDescent="0.3">
      <c r="L474" s="613" t="s">
        <v>1069</v>
      </c>
      <c r="M474" s="613" t="s">
        <v>464</v>
      </c>
      <c r="N474" s="613" t="s">
        <v>464</v>
      </c>
      <c r="O474" s="613"/>
    </row>
    <row r="475" spans="12:15" x14ac:dyDescent="0.3">
      <c r="L475" s="613" t="s">
        <v>1070</v>
      </c>
      <c r="M475" s="613" t="s">
        <v>464</v>
      </c>
      <c r="N475" s="613" t="s">
        <v>464</v>
      </c>
      <c r="O475" s="613"/>
    </row>
    <row r="476" spans="12:15" x14ac:dyDescent="0.3">
      <c r="L476" s="613" t="s">
        <v>850</v>
      </c>
      <c r="M476" s="613" t="s">
        <v>464</v>
      </c>
      <c r="N476" s="613" t="s">
        <v>464</v>
      </c>
      <c r="O476" s="613"/>
    </row>
    <row r="477" spans="12:15" x14ac:dyDescent="0.3">
      <c r="L477" s="613" t="s">
        <v>1071</v>
      </c>
      <c r="M477" s="613" t="s">
        <v>464</v>
      </c>
      <c r="N477" s="613" t="s">
        <v>464</v>
      </c>
      <c r="O477" s="613"/>
    </row>
    <row r="478" spans="12:15" x14ac:dyDescent="0.3">
      <c r="L478" s="613" t="s">
        <v>1072</v>
      </c>
      <c r="M478" s="613" t="s">
        <v>464</v>
      </c>
      <c r="N478" s="613" t="s">
        <v>464</v>
      </c>
      <c r="O478" s="613"/>
    </row>
    <row r="479" spans="12:15" x14ac:dyDescent="0.3">
      <c r="L479" s="613" t="s">
        <v>1073</v>
      </c>
      <c r="M479" s="613" t="s">
        <v>464</v>
      </c>
      <c r="N479" s="613" t="s">
        <v>464</v>
      </c>
      <c r="O479" s="613"/>
    </row>
    <row r="480" spans="12:15" x14ac:dyDescent="0.3">
      <c r="L480" s="613" t="s">
        <v>1074</v>
      </c>
      <c r="M480" s="613" t="s">
        <v>464</v>
      </c>
      <c r="N480" s="613" t="s">
        <v>464</v>
      </c>
      <c r="O480" s="613"/>
    </row>
    <row r="481" spans="12:16" x14ac:dyDescent="0.3">
      <c r="L481" s="613" t="s">
        <v>1075</v>
      </c>
      <c r="M481" s="613" t="s">
        <v>464</v>
      </c>
      <c r="N481" s="613" t="s">
        <v>464</v>
      </c>
      <c r="O481" s="613"/>
    </row>
    <row r="482" spans="12:16" x14ac:dyDescent="0.3">
      <c r="L482" s="613" t="s">
        <v>1076</v>
      </c>
      <c r="M482" s="613" t="s">
        <v>464</v>
      </c>
      <c r="N482" s="613" t="s">
        <v>464</v>
      </c>
      <c r="O482" s="613"/>
    </row>
    <row r="483" spans="12:16" x14ac:dyDescent="0.3">
      <c r="L483" s="613" t="s">
        <v>1077</v>
      </c>
      <c r="M483" s="613" t="s">
        <v>464</v>
      </c>
      <c r="N483" s="613" t="s">
        <v>464</v>
      </c>
      <c r="O483" s="613"/>
    </row>
    <row r="484" spans="12:16" x14ac:dyDescent="0.3">
      <c r="L484" s="613" t="s">
        <v>1078</v>
      </c>
      <c r="M484" s="613" t="s">
        <v>464</v>
      </c>
      <c r="N484" s="613" t="s">
        <v>464</v>
      </c>
      <c r="O484" s="613"/>
    </row>
    <row r="485" spans="12:16" x14ac:dyDescent="0.3">
      <c r="L485" s="613" t="s">
        <v>851</v>
      </c>
      <c r="M485" s="613" t="s">
        <v>464</v>
      </c>
      <c r="N485" s="613" t="s">
        <v>464</v>
      </c>
      <c r="O485" s="613"/>
    </row>
    <row r="486" spans="12:16" x14ac:dyDescent="0.3">
      <c r="L486" s="613" t="s">
        <v>1079</v>
      </c>
      <c r="M486" s="613" t="s">
        <v>464</v>
      </c>
      <c r="N486" s="613" t="s">
        <v>464</v>
      </c>
      <c r="O486" s="613"/>
    </row>
    <row r="487" spans="12:16" x14ac:dyDescent="0.3">
      <c r="L487" s="615" t="s">
        <v>1080</v>
      </c>
      <c r="M487" s="615">
        <v>0.03</v>
      </c>
      <c r="N487" s="615">
        <v>0.05</v>
      </c>
      <c r="O487" s="613" t="s">
        <v>1529</v>
      </c>
      <c r="P487" s="622" t="s">
        <v>1525</v>
      </c>
    </row>
    <row r="488" spans="12:16" x14ac:dyDescent="0.3">
      <c r="L488" s="613" t="s">
        <v>555</v>
      </c>
      <c r="M488" s="613" t="s">
        <v>464</v>
      </c>
      <c r="N488" s="613" t="s">
        <v>464</v>
      </c>
      <c r="O488" s="613"/>
    </row>
    <row r="489" spans="12:16" x14ac:dyDescent="0.3">
      <c r="L489" s="613" t="s">
        <v>556</v>
      </c>
      <c r="M489" s="613" t="s">
        <v>464</v>
      </c>
      <c r="N489" s="613" t="s">
        <v>464</v>
      </c>
      <c r="O489" s="613"/>
    </row>
    <row r="490" spans="12:16" x14ac:dyDescent="0.3">
      <c r="L490" s="613" t="s">
        <v>852</v>
      </c>
      <c r="M490" s="613" t="s">
        <v>464</v>
      </c>
      <c r="N490" s="613" t="s">
        <v>464</v>
      </c>
      <c r="O490" s="613"/>
    </row>
    <row r="491" spans="12:16" x14ac:dyDescent="0.3">
      <c r="L491" s="613" t="s">
        <v>1081</v>
      </c>
      <c r="M491" s="613" t="s">
        <v>464</v>
      </c>
      <c r="N491" s="613" t="s">
        <v>464</v>
      </c>
      <c r="O491" s="613"/>
    </row>
    <row r="492" spans="12:16" x14ac:dyDescent="0.3">
      <c r="L492" s="613" t="s">
        <v>1082</v>
      </c>
      <c r="M492" s="613" t="s">
        <v>464</v>
      </c>
      <c r="N492" s="613" t="s">
        <v>464</v>
      </c>
      <c r="O492" s="613"/>
    </row>
    <row r="493" spans="12:16" x14ac:dyDescent="0.3">
      <c r="L493" s="613" t="s">
        <v>1083</v>
      </c>
      <c r="M493" s="613" t="s">
        <v>464</v>
      </c>
      <c r="N493" s="613" t="s">
        <v>464</v>
      </c>
      <c r="O493" s="613"/>
    </row>
    <row r="494" spans="12:16" x14ac:dyDescent="0.3">
      <c r="L494" s="613" t="s">
        <v>1084</v>
      </c>
      <c r="M494" s="613" t="s">
        <v>464</v>
      </c>
      <c r="N494" s="613" t="s">
        <v>464</v>
      </c>
      <c r="O494" s="613"/>
    </row>
    <row r="495" spans="12:16" x14ac:dyDescent="0.3">
      <c r="L495" s="613" t="s">
        <v>1085</v>
      </c>
      <c r="M495" s="613" t="s">
        <v>464</v>
      </c>
      <c r="N495" s="613" t="s">
        <v>464</v>
      </c>
      <c r="O495" s="613"/>
    </row>
    <row r="496" spans="12:16" x14ac:dyDescent="0.3">
      <c r="L496" s="613" t="s">
        <v>1086</v>
      </c>
      <c r="M496" s="613" t="s">
        <v>464</v>
      </c>
      <c r="N496" s="613" t="s">
        <v>464</v>
      </c>
      <c r="O496" s="613"/>
    </row>
    <row r="497" spans="12:16" x14ac:dyDescent="0.3">
      <c r="L497" s="613" t="s">
        <v>1087</v>
      </c>
      <c r="M497" s="613" t="s">
        <v>464</v>
      </c>
      <c r="N497" s="613" t="s">
        <v>464</v>
      </c>
      <c r="O497" s="613"/>
    </row>
    <row r="498" spans="12:16" x14ac:dyDescent="0.3">
      <c r="L498" s="613" t="s">
        <v>1088</v>
      </c>
      <c r="M498" s="613" t="s">
        <v>464</v>
      </c>
      <c r="N498" s="613" t="s">
        <v>464</v>
      </c>
      <c r="O498" s="613"/>
    </row>
    <row r="499" spans="12:16" x14ac:dyDescent="0.3">
      <c r="L499" s="613" t="s">
        <v>557</v>
      </c>
      <c r="M499" s="613" t="s">
        <v>464</v>
      </c>
      <c r="N499" s="613" t="s">
        <v>464</v>
      </c>
      <c r="O499" s="613"/>
    </row>
    <row r="500" spans="12:16" x14ac:dyDescent="0.3">
      <c r="L500" s="613" t="s">
        <v>1089</v>
      </c>
      <c r="M500" s="613" t="s">
        <v>464</v>
      </c>
      <c r="N500" s="613" t="s">
        <v>464</v>
      </c>
      <c r="O500" s="613"/>
    </row>
    <row r="501" spans="12:16" x14ac:dyDescent="0.3">
      <c r="L501" s="613" t="s">
        <v>1090</v>
      </c>
      <c r="M501" s="613" t="s">
        <v>464</v>
      </c>
      <c r="N501" s="613" t="s">
        <v>464</v>
      </c>
      <c r="O501" s="613"/>
    </row>
    <row r="502" spans="12:16" x14ac:dyDescent="0.3">
      <c r="L502" s="613" t="s">
        <v>1091</v>
      </c>
      <c r="M502" s="613" t="s">
        <v>464</v>
      </c>
      <c r="N502" s="613" t="s">
        <v>464</v>
      </c>
      <c r="O502" s="613"/>
    </row>
    <row r="503" spans="12:16" x14ac:dyDescent="0.3">
      <c r="L503" s="613" t="s">
        <v>559</v>
      </c>
      <c r="M503" s="613" t="s">
        <v>464</v>
      </c>
      <c r="N503" s="613" t="s">
        <v>464</v>
      </c>
      <c r="O503" s="613"/>
    </row>
    <row r="504" spans="12:16" x14ac:dyDescent="0.3">
      <c r="L504" s="613" t="s">
        <v>1092</v>
      </c>
      <c r="M504" s="613" t="s">
        <v>464</v>
      </c>
      <c r="N504" s="613" t="s">
        <v>464</v>
      </c>
      <c r="O504" s="613"/>
    </row>
    <row r="505" spans="12:16" x14ac:dyDescent="0.3">
      <c r="L505" s="613" t="s">
        <v>1093</v>
      </c>
      <c r="M505" s="613" t="s">
        <v>464</v>
      </c>
      <c r="N505" s="613" t="s">
        <v>464</v>
      </c>
      <c r="O505" s="613"/>
    </row>
    <row r="506" spans="12:16" x14ac:dyDescent="0.3">
      <c r="L506" s="613" t="s">
        <v>560</v>
      </c>
      <c r="M506" s="613" t="s">
        <v>464</v>
      </c>
      <c r="N506" s="613" t="s">
        <v>464</v>
      </c>
      <c r="O506" s="613"/>
    </row>
    <row r="507" spans="12:16" x14ac:dyDescent="0.3">
      <c r="L507" s="613" t="s">
        <v>853</v>
      </c>
      <c r="M507" s="613" t="s">
        <v>464</v>
      </c>
      <c r="N507" s="613" t="s">
        <v>464</v>
      </c>
      <c r="O507" s="613"/>
    </row>
    <row r="508" spans="12:16" x14ac:dyDescent="0.3">
      <c r="L508" s="613" t="s">
        <v>1094</v>
      </c>
      <c r="M508" s="613" t="s">
        <v>464</v>
      </c>
      <c r="N508" s="613" t="s">
        <v>464</v>
      </c>
      <c r="O508" s="613"/>
    </row>
    <row r="509" spans="12:16" x14ac:dyDescent="0.3">
      <c r="L509" s="613" t="s">
        <v>1095</v>
      </c>
      <c r="M509" s="613" t="s">
        <v>464</v>
      </c>
      <c r="N509" s="613" t="s">
        <v>464</v>
      </c>
      <c r="O509" s="613"/>
    </row>
    <row r="510" spans="12:16" x14ac:dyDescent="0.3">
      <c r="L510" s="613" t="s">
        <v>1096</v>
      </c>
      <c r="M510" s="613" t="s">
        <v>464</v>
      </c>
      <c r="N510" s="613" t="s">
        <v>464</v>
      </c>
      <c r="O510" s="613"/>
    </row>
    <row r="511" spans="12:16" x14ac:dyDescent="0.3">
      <c r="L511" s="615" t="s">
        <v>399</v>
      </c>
      <c r="M511" s="615">
        <v>0.03</v>
      </c>
      <c r="N511" s="615">
        <v>0.05</v>
      </c>
      <c r="O511" s="613" t="s">
        <v>1529</v>
      </c>
      <c r="P511" s="622" t="s">
        <v>1525</v>
      </c>
    </row>
    <row r="512" spans="12:16" x14ac:dyDescent="0.3">
      <c r="L512" s="613" t="s">
        <v>1097</v>
      </c>
      <c r="M512" s="613" t="s">
        <v>464</v>
      </c>
      <c r="N512" s="613" t="s">
        <v>464</v>
      </c>
      <c r="O512" s="613"/>
    </row>
    <row r="513" spans="12:16" x14ac:dyDescent="0.3">
      <c r="L513" s="613" t="s">
        <v>1098</v>
      </c>
      <c r="M513" s="613" t="s">
        <v>464</v>
      </c>
      <c r="N513" s="613" t="s">
        <v>464</v>
      </c>
      <c r="O513" s="613"/>
    </row>
    <row r="514" spans="12:16" x14ac:dyDescent="0.3">
      <c r="L514" s="613" t="s">
        <v>1099</v>
      </c>
      <c r="M514" s="613" t="s">
        <v>464</v>
      </c>
      <c r="N514" s="613" t="s">
        <v>464</v>
      </c>
      <c r="O514" s="613"/>
    </row>
    <row r="515" spans="12:16" x14ac:dyDescent="0.3">
      <c r="L515" s="613" t="s">
        <v>1100</v>
      </c>
      <c r="M515" s="613" t="s">
        <v>464</v>
      </c>
      <c r="N515" s="613" t="s">
        <v>464</v>
      </c>
      <c r="O515" s="613"/>
    </row>
    <row r="516" spans="12:16" x14ac:dyDescent="0.3">
      <c r="L516" s="613" t="s">
        <v>854</v>
      </c>
      <c r="M516" s="613" t="s">
        <v>464</v>
      </c>
      <c r="N516" s="613" t="s">
        <v>464</v>
      </c>
      <c r="O516" s="613"/>
    </row>
    <row r="517" spans="12:16" x14ac:dyDescent="0.3">
      <c r="L517" s="613" t="s">
        <v>1101</v>
      </c>
      <c r="M517" s="613" t="s">
        <v>464</v>
      </c>
      <c r="N517" s="613" t="s">
        <v>464</v>
      </c>
      <c r="O517" s="613" t="s">
        <v>1622</v>
      </c>
    </row>
    <row r="518" spans="12:16" x14ac:dyDescent="0.3">
      <c r="L518" s="613" t="s">
        <v>855</v>
      </c>
      <c r="M518" s="613" t="s">
        <v>464</v>
      </c>
      <c r="N518" s="613" t="s">
        <v>464</v>
      </c>
      <c r="O518" s="613"/>
    </row>
    <row r="519" spans="12:16" x14ac:dyDescent="0.3">
      <c r="L519" s="613" t="s">
        <v>1102</v>
      </c>
      <c r="M519" s="613" t="s">
        <v>464</v>
      </c>
      <c r="N519" s="613" t="s">
        <v>464</v>
      </c>
      <c r="O519" s="613"/>
    </row>
    <row r="520" spans="12:16" x14ac:dyDescent="0.3">
      <c r="L520" s="615" t="s">
        <v>1103</v>
      </c>
      <c r="M520" s="615">
        <v>0.03</v>
      </c>
      <c r="N520" s="615">
        <v>0.05</v>
      </c>
      <c r="O520" s="613" t="s">
        <v>1529</v>
      </c>
      <c r="P520" s="622" t="s">
        <v>1525</v>
      </c>
    </row>
    <row r="521" spans="12:16" x14ac:dyDescent="0.3">
      <c r="L521" s="613" t="s">
        <v>1104</v>
      </c>
      <c r="M521" s="613" t="s">
        <v>464</v>
      </c>
      <c r="N521" s="613" t="s">
        <v>464</v>
      </c>
      <c r="O521" s="613"/>
    </row>
    <row r="522" spans="12:16" x14ac:dyDescent="0.3">
      <c r="L522" s="613" t="s">
        <v>1105</v>
      </c>
      <c r="M522" s="613" t="s">
        <v>464</v>
      </c>
      <c r="N522" s="613" t="s">
        <v>464</v>
      </c>
      <c r="O522" s="613"/>
    </row>
    <row r="523" spans="12:16" x14ac:dyDescent="0.3">
      <c r="L523" s="613" t="s">
        <v>1106</v>
      </c>
      <c r="M523" s="613" t="s">
        <v>464</v>
      </c>
      <c r="N523" s="613" t="s">
        <v>464</v>
      </c>
      <c r="O523" s="613"/>
    </row>
    <row r="524" spans="12:16" x14ac:dyDescent="0.3">
      <c r="L524" s="613" t="s">
        <v>1107</v>
      </c>
      <c r="M524" s="613" t="s">
        <v>464</v>
      </c>
      <c r="N524" s="613" t="s">
        <v>464</v>
      </c>
      <c r="O524" s="613" t="s">
        <v>1622</v>
      </c>
    </row>
    <row r="525" spans="12:16" x14ac:dyDescent="0.3">
      <c r="L525" s="613" t="s">
        <v>1108</v>
      </c>
      <c r="M525" s="613" t="s">
        <v>464</v>
      </c>
      <c r="N525" s="613" t="s">
        <v>464</v>
      </c>
      <c r="O525" s="613"/>
    </row>
    <row r="526" spans="12:16" x14ac:dyDescent="0.3">
      <c r="L526" s="613" t="s">
        <v>1109</v>
      </c>
      <c r="M526" s="613" t="s">
        <v>464</v>
      </c>
      <c r="N526" s="613" t="s">
        <v>464</v>
      </c>
      <c r="O526" s="613"/>
    </row>
    <row r="527" spans="12:16" x14ac:dyDescent="0.3">
      <c r="L527" s="613" t="s">
        <v>1110</v>
      </c>
      <c r="M527" s="613" t="s">
        <v>464</v>
      </c>
      <c r="N527" s="613" t="s">
        <v>464</v>
      </c>
      <c r="O527" s="613"/>
    </row>
    <row r="528" spans="12:16" x14ac:dyDescent="0.3">
      <c r="L528" s="613" t="s">
        <v>1111</v>
      </c>
      <c r="M528" s="613" t="s">
        <v>464</v>
      </c>
      <c r="N528" s="613" t="s">
        <v>464</v>
      </c>
      <c r="O528" s="613"/>
    </row>
    <row r="529" spans="12:16" x14ac:dyDescent="0.3">
      <c r="L529" s="613" t="s">
        <v>1112</v>
      </c>
      <c r="M529" s="613" t="s">
        <v>464</v>
      </c>
      <c r="N529" s="613" t="s">
        <v>464</v>
      </c>
      <c r="O529" s="613"/>
    </row>
    <row r="530" spans="12:16" x14ac:dyDescent="0.3">
      <c r="L530" s="613" t="s">
        <v>1113</v>
      </c>
      <c r="M530" s="613" t="s">
        <v>464</v>
      </c>
      <c r="N530" s="613" t="s">
        <v>464</v>
      </c>
      <c r="O530" s="613"/>
    </row>
    <row r="531" spans="12:16" x14ac:dyDescent="0.3">
      <c r="L531" s="613" t="s">
        <v>1114</v>
      </c>
      <c r="M531" s="613" t="s">
        <v>464</v>
      </c>
      <c r="N531" s="613" t="s">
        <v>464</v>
      </c>
      <c r="O531" s="613"/>
    </row>
    <row r="532" spans="12:16" x14ac:dyDescent="0.3">
      <c r="L532" s="613" t="s">
        <v>1115</v>
      </c>
      <c r="M532" s="613" t="s">
        <v>464</v>
      </c>
      <c r="N532" s="613" t="s">
        <v>464</v>
      </c>
      <c r="O532" s="613"/>
    </row>
    <row r="533" spans="12:16" x14ac:dyDescent="0.3">
      <c r="L533" s="613" t="s">
        <v>1116</v>
      </c>
      <c r="M533" s="613" t="s">
        <v>464</v>
      </c>
      <c r="N533" s="613" t="s">
        <v>464</v>
      </c>
      <c r="O533" s="613"/>
    </row>
    <row r="534" spans="12:16" x14ac:dyDescent="0.3">
      <c r="L534" s="613" t="s">
        <v>561</v>
      </c>
      <c r="M534" s="613" t="s">
        <v>464</v>
      </c>
      <c r="N534" s="613" t="s">
        <v>464</v>
      </c>
      <c r="O534" s="613"/>
    </row>
    <row r="535" spans="12:16" x14ac:dyDescent="0.3">
      <c r="L535" s="613" t="s">
        <v>856</v>
      </c>
      <c r="M535" s="613" t="s">
        <v>464</v>
      </c>
      <c r="N535" s="613" t="s">
        <v>464</v>
      </c>
      <c r="O535" s="613"/>
    </row>
    <row r="536" spans="12:16" x14ac:dyDescent="0.3">
      <c r="L536" s="613" t="s">
        <v>1117</v>
      </c>
      <c r="M536" s="613" t="s">
        <v>464</v>
      </c>
      <c r="N536" s="613" t="s">
        <v>464</v>
      </c>
      <c r="O536" s="613"/>
    </row>
    <row r="537" spans="12:16" x14ac:dyDescent="0.3">
      <c r="L537" s="613" t="s">
        <v>1118</v>
      </c>
      <c r="M537" s="613" t="s">
        <v>464</v>
      </c>
      <c r="N537" s="613" t="s">
        <v>464</v>
      </c>
      <c r="O537" s="613"/>
    </row>
    <row r="538" spans="12:16" x14ac:dyDescent="0.3">
      <c r="L538" s="613" t="s">
        <v>562</v>
      </c>
      <c r="M538" s="613" t="s">
        <v>464</v>
      </c>
      <c r="N538" s="613" t="s">
        <v>464</v>
      </c>
      <c r="O538" s="613"/>
    </row>
    <row r="539" spans="12:16" x14ac:dyDescent="0.3">
      <c r="L539" s="613" t="s">
        <v>1119</v>
      </c>
      <c r="M539" s="613" t="s">
        <v>464</v>
      </c>
      <c r="N539" s="613" t="s">
        <v>464</v>
      </c>
      <c r="O539" s="613"/>
    </row>
    <row r="540" spans="12:16" x14ac:dyDescent="0.3">
      <c r="L540" s="613" t="s">
        <v>400</v>
      </c>
      <c r="M540" s="613" t="s">
        <v>464</v>
      </c>
      <c r="N540" s="613" t="s">
        <v>464</v>
      </c>
      <c r="O540" s="613"/>
    </row>
    <row r="541" spans="12:16" x14ac:dyDescent="0.3">
      <c r="L541" s="615" t="s">
        <v>1120</v>
      </c>
      <c r="M541" s="615">
        <v>0.03</v>
      </c>
      <c r="N541" s="615">
        <v>0.05</v>
      </c>
      <c r="O541" s="613" t="s">
        <v>1529</v>
      </c>
      <c r="P541" s="622" t="s">
        <v>1525</v>
      </c>
    </row>
    <row r="542" spans="12:16" x14ac:dyDescent="0.3">
      <c r="L542" s="613" t="s">
        <v>1121</v>
      </c>
      <c r="M542" s="613" t="s">
        <v>464</v>
      </c>
      <c r="N542" s="613" t="s">
        <v>464</v>
      </c>
      <c r="O542" s="613"/>
    </row>
    <row r="543" spans="12:16" x14ac:dyDescent="0.3">
      <c r="L543" s="613" t="s">
        <v>1122</v>
      </c>
      <c r="M543" s="613" t="s">
        <v>464</v>
      </c>
      <c r="N543" s="613" t="s">
        <v>464</v>
      </c>
      <c r="O543" s="613" t="s">
        <v>1622</v>
      </c>
    </row>
    <row r="544" spans="12:16" x14ac:dyDescent="0.3">
      <c r="L544" s="613" t="s">
        <v>1123</v>
      </c>
      <c r="M544" s="613" t="s">
        <v>464</v>
      </c>
      <c r="N544" s="613" t="s">
        <v>464</v>
      </c>
      <c r="O544" s="613"/>
    </row>
    <row r="545" spans="12:15" x14ac:dyDescent="0.3">
      <c r="L545" s="613" t="s">
        <v>1124</v>
      </c>
      <c r="M545" s="613" t="s">
        <v>464</v>
      </c>
      <c r="N545" s="613" t="s">
        <v>464</v>
      </c>
      <c r="O545" s="613"/>
    </row>
    <row r="546" spans="12:15" x14ac:dyDescent="0.3">
      <c r="L546" s="613" t="s">
        <v>401</v>
      </c>
      <c r="M546" s="613" t="s">
        <v>464</v>
      </c>
      <c r="N546" s="613" t="s">
        <v>464</v>
      </c>
      <c r="O546" s="613"/>
    </row>
    <row r="547" spans="12:15" x14ac:dyDescent="0.3">
      <c r="L547" s="613" t="s">
        <v>1125</v>
      </c>
      <c r="M547" s="613" t="s">
        <v>464</v>
      </c>
      <c r="N547" s="613" t="s">
        <v>464</v>
      </c>
      <c r="O547" s="613" t="s">
        <v>1622</v>
      </c>
    </row>
    <row r="548" spans="12:15" x14ac:dyDescent="0.3">
      <c r="L548" s="613" t="s">
        <v>857</v>
      </c>
      <c r="M548" s="613" t="s">
        <v>464</v>
      </c>
      <c r="N548" s="613" t="s">
        <v>464</v>
      </c>
      <c r="O548" s="613"/>
    </row>
    <row r="549" spans="12:15" x14ac:dyDescent="0.3">
      <c r="L549" s="613" t="s">
        <v>1126</v>
      </c>
      <c r="M549" s="613" t="s">
        <v>464</v>
      </c>
      <c r="N549" s="613" t="s">
        <v>464</v>
      </c>
      <c r="O549" s="613"/>
    </row>
    <row r="550" spans="12:15" x14ac:dyDescent="0.3">
      <c r="L550" s="613" t="s">
        <v>1127</v>
      </c>
      <c r="M550" s="613" t="s">
        <v>464</v>
      </c>
      <c r="N550" s="613" t="s">
        <v>464</v>
      </c>
      <c r="O550" s="613"/>
    </row>
    <row r="551" spans="12:15" x14ac:dyDescent="0.3">
      <c r="L551" s="613" t="s">
        <v>1128</v>
      </c>
      <c r="M551" s="613" t="s">
        <v>464</v>
      </c>
      <c r="N551" s="613" t="s">
        <v>464</v>
      </c>
      <c r="O551" s="613"/>
    </row>
    <row r="552" spans="12:15" x14ac:dyDescent="0.3">
      <c r="L552" s="613" t="s">
        <v>1129</v>
      </c>
      <c r="M552" s="613" t="s">
        <v>464</v>
      </c>
      <c r="N552" s="613" t="s">
        <v>464</v>
      </c>
      <c r="O552" s="613"/>
    </row>
    <row r="553" spans="12:15" x14ac:dyDescent="0.3">
      <c r="L553" s="613" t="s">
        <v>858</v>
      </c>
      <c r="M553" s="613" t="s">
        <v>464</v>
      </c>
      <c r="N553" s="613" t="s">
        <v>464</v>
      </c>
      <c r="O553" s="613"/>
    </row>
    <row r="554" spans="12:15" x14ac:dyDescent="0.3">
      <c r="L554" s="613" t="s">
        <v>1130</v>
      </c>
      <c r="M554" s="613" t="s">
        <v>464</v>
      </c>
      <c r="N554" s="613" t="s">
        <v>464</v>
      </c>
      <c r="O554" s="613"/>
    </row>
    <row r="555" spans="12:15" x14ac:dyDescent="0.3">
      <c r="L555" s="613" t="s">
        <v>1131</v>
      </c>
      <c r="M555" s="613" t="s">
        <v>464</v>
      </c>
      <c r="N555" s="613" t="s">
        <v>464</v>
      </c>
      <c r="O555" s="613"/>
    </row>
  </sheetData>
  <sheetProtection algorithmName="SHA-512" hashValue="GaJUzqpUVjghwV3MRYvNAiDLXwKnknkU8nVwsgm5b92JmIJAsLXkP49jQq3dzKts+8gop51hNGXqrX0KIwoIFw==" saltValue="d5KbdLl52tX7PgTZKHDo8g=="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41"/>
  <sheetViews>
    <sheetView workbookViewId="0">
      <pane xSplit="3" ySplit="2" topLeftCell="D3" activePane="bottomRight" state="frozen"/>
      <selection pane="topRight" activeCell="D1" sqref="D1"/>
      <selection pane="bottomLeft" activeCell="A3" sqref="A3"/>
      <selection pane="bottomRight" activeCell="C1" sqref="C1"/>
    </sheetView>
  </sheetViews>
  <sheetFormatPr defaultRowHeight="14.4" x14ac:dyDescent="0.3"/>
  <cols>
    <col min="1" max="1" width="29.33203125" style="155" customWidth="1"/>
    <col min="2" max="2" width="80.44140625" customWidth="1"/>
    <col min="3" max="3" width="39.44140625" customWidth="1"/>
    <col min="4" max="97" width="20.6640625" customWidth="1"/>
    <col min="98" max="104" width="16.109375" customWidth="1"/>
  </cols>
  <sheetData>
    <row r="1" spans="1:99" ht="15.6" x14ac:dyDescent="0.3">
      <c r="A1" s="554" t="s">
        <v>1728</v>
      </c>
      <c r="B1" s="180" t="s">
        <v>351</v>
      </c>
      <c r="C1" s="180" t="s">
        <v>351</v>
      </c>
      <c r="D1" s="180" t="s">
        <v>436</v>
      </c>
      <c r="E1" s="180" t="s">
        <v>1318</v>
      </c>
      <c r="F1" s="180" t="s">
        <v>437</v>
      </c>
      <c r="G1" s="180" t="s">
        <v>1319</v>
      </c>
      <c r="H1" s="180" t="s">
        <v>1320</v>
      </c>
      <c r="I1" s="180" t="s">
        <v>1321</v>
      </c>
      <c r="J1" s="180" t="s">
        <v>1322</v>
      </c>
      <c r="K1" s="180" t="s">
        <v>1323</v>
      </c>
      <c r="L1" s="180" t="s">
        <v>1324</v>
      </c>
      <c r="M1" s="180" t="s">
        <v>1325</v>
      </c>
      <c r="N1" s="180" t="s">
        <v>1326</v>
      </c>
      <c r="O1" s="180" t="s">
        <v>1327</v>
      </c>
      <c r="P1" s="180" t="s">
        <v>1328</v>
      </c>
      <c r="Q1" s="180" t="s">
        <v>1329</v>
      </c>
      <c r="R1" s="180" t="s">
        <v>1330</v>
      </c>
      <c r="S1" s="180" t="s">
        <v>1331</v>
      </c>
      <c r="T1" s="180" t="s">
        <v>438</v>
      </c>
      <c r="U1" s="180" t="s">
        <v>1332</v>
      </c>
      <c r="V1" s="180" t="s">
        <v>1333</v>
      </c>
      <c r="W1" s="180" t="s">
        <v>1334</v>
      </c>
      <c r="X1" s="180" t="s">
        <v>1335</v>
      </c>
      <c r="Y1" s="180" t="s">
        <v>1336</v>
      </c>
      <c r="Z1" s="180" t="s">
        <v>1337</v>
      </c>
      <c r="AA1" s="180" t="s">
        <v>1338</v>
      </c>
      <c r="AB1" s="180" t="s">
        <v>1339</v>
      </c>
      <c r="AC1" s="180" t="s">
        <v>1340</v>
      </c>
      <c r="AD1" s="180" t="s">
        <v>1341</v>
      </c>
      <c r="AE1" s="180" t="s">
        <v>1342</v>
      </c>
      <c r="AF1" s="180" t="s">
        <v>1343</v>
      </c>
      <c r="AG1" s="180" t="s">
        <v>1344</v>
      </c>
      <c r="AH1" s="180" t="s">
        <v>1345</v>
      </c>
      <c r="AI1" s="180" t="s">
        <v>1346</v>
      </c>
      <c r="AJ1" s="180" t="s">
        <v>1347</v>
      </c>
      <c r="AK1" s="180" t="s">
        <v>1348</v>
      </c>
      <c r="AL1" s="180" t="s">
        <v>1349</v>
      </c>
      <c r="AM1" s="180" t="s">
        <v>1350</v>
      </c>
      <c r="AN1" s="180" t="s">
        <v>1351</v>
      </c>
      <c r="AO1" s="180" t="s">
        <v>1352</v>
      </c>
      <c r="AP1" s="180" t="s">
        <v>1353</v>
      </c>
      <c r="AQ1" s="180" t="s">
        <v>1354</v>
      </c>
      <c r="AR1" s="180" t="s">
        <v>1355</v>
      </c>
      <c r="AS1" s="180" t="s">
        <v>1356</v>
      </c>
      <c r="AT1" s="180" t="s">
        <v>1357</v>
      </c>
      <c r="AU1" s="180" t="s">
        <v>1358</v>
      </c>
      <c r="AV1" s="180" t="s">
        <v>1359</v>
      </c>
      <c r="AW1" s="180" t="s">
        <v>1360</v>
      </c>
      <c r="AX1" s="180" t="s">
        <v>1361</v>
      </c>
      <c r="AY1" s="180" t="s">
        <v>1362</v>
      </c>
      <c r="AZ1" s="180" t="s">
        <v>1363</v>
      </c>
      <c r="BA1" s="180" t="s">
        <v>439</v>
      </c>
      <c r="BB1" s="180" t="s">
        <v>1364</v>
      </c>
      <c r="BC1" s="180" t="s">
        <v>440</v>
      </c>
      <c r="BD1" s="180" t="s">
        <v>1365</v>
      </c>
      <c r="BE1" s="180" t="s">
        <v>441</v>
      </c>
      <c r="BF1" s="180" t="s">
        <v>442</v>
      </c>
      <c r="BG1" s="180" t="s">
        <v>392</v>
      </c>
      <c r="BH1" s="180" t="s">
        <v>1366</v>
      </c>
      <c r="BI1" s="180" t="s">
        <v>1367</v>
      </c>
      <c r="BJ1" s="180" t="s">
        <v>443</v>
      </c>
      <c r="BK1" s="180" t="s">
        <v>1368</v>
      </c>
      <c r="BL1" s="180" t="s">
        <v>1369</v>
      </c>
      <c r="BM1" s="180" t="s">
        <v>1370</v>
      </c>
      <c r="BN1" s="180" t="s">
        <v>1371</v>
      </c>
      <c r="BO1" s="180" t="s">
        <v>1372</v>
      </c>
      <c r="BP1" s="180" t="s">
        <v>1373</v>
      </c>
      <c r="BQ1" s="180" t="s">
        <v>1374</v>
      </c>
      <c r="BR1" s="180" t="s">
        <v>1375</v>
      </c>
      <c r="BS1" s="180" t="s">
        <v>1376</v>
      </c>
      <c r="BT1" s="180" t="s">
        <v>1377</v>
      </c>
      <c r="BU1" s="180" t="s">
        <v>1378</v>
      </c>
      <c r="BV1" s="180" t="s">
        <v>444</v>
      </c>
      <c r="BW1" s="180" t="s">
        <v>1379</v>
      </c>
      <c r="BX1" s="180" t="s">
        <v>1380</v>
      </c>
      <c r="BY1" s="180" t="s">
        <v>1381</v>
      </c>
      <c r="BZ1" s="180" t="s">
        <v>1382</v>
      </c>
      <c r="CA1" s="180" t="s">
        <v>1383</v>
      </c>
      <c r="CB1" s="180"/>
      <c r="CC1" s="180"/>
      <c r="CD1" s="180"/>
      <c r="CE1" s="180"/>
      <c r="CF1" s="180"/>
      <c r="CG1" s="180"/>
      <c r="CH1" s="180"/>
      <c r="CI1" s="180"/>
      <c r="CJ1" s="180"/>
      <c r="CK1" s="180"/>
      <c r="CL1" s="180"/>
      <c r="CM1" s="180"/>
      <c r="CN1" s="180"/>
      <c r="CO1" s="180"/>
      <c r="CP1" s="180"/>
      <c r="CQ1" s="180"/>
      <c r="CR1" s="180"/>
      <c r="CS1" s="180"/>
      <c r="CT1" s="180"/>
      <c r="CU1" s="180"/>
    </row>
    <row r="2" spans="1:99" x14ac:dyDescent="0.3">
      <c r="A2" s="155" t="s">
        <v>896</v>
      </c>
      <c r="B2" s="180" t="s">
        <v>41</v>
      </c>
      <c r="C2" s="180" t="s">
        <v>13</v>
      </c>
      <c r="D2" s="803">
        <v>50476</v>
      </c>
      <c r="E2" s="803">
        <v>50191</v>
      </c>
      <c r="F2" s="803">
        <v>50192</v>
      </c>
      <c r="G2" s="803">
        <v>50193</v>
      </c>
      <c r="H2" s="803">
        <v>50194</v>
      </c>
      <c r="I2" s="803">
        <v>50195</v>
      </c>
      <c r="J2" s="803">
        <v>50196</v>
      </c>
      <c r="K2" s="803">
        <v>50197</v>
      </c>
      <c r="L2" s="803">
        <v>50498</v>
      </c>
      <c r="M2" s="803">
        <v>50198</v>
      </c>
      <c r="N2" s="803">
        <v>50199</v>
      </c>
      <c r="O2" s="803">
        <v>50200</v>
      </c>
      <c r="P2" s="803">
        <v>50201</v>
      </c>
      <c r="Q2" s="803">
        <v>50202</v>
      </c>
      <c r="R2" s="803">
        <v>50493</v>
      </c>
      <c r="S2" s="803">
        <v>50203</v>
      </c>
      <c r="T2" s="803">
        <v>50518</v>
      </c>
      <c r="U2" s="803">
        <v>50204</v>
      </c>
      <c r="V2" s="803">
        <v>50205</v>
      </c>
      <c r="W2" s="803">
        <v>50206</v>
      </c>
      <c r="X2" s="803">
        <v>50207</v>
      </c>
      <c r="Y2" s="803">
        <v>50208</v>
      </c>
      <c r="Z2" s="803">
        <v>50209</v>
      </c>
      <c r="AA2" s="803">
        <v>50210</v>
      </c>
      <c r="AB2" s="803">
        <v>50519</v>
      </c>
      <c r="AC2" s="803">
        <v>50528</v>
      </c>
      <c r="AD2" s="803">
        <v>50211</v>
      </c>
      <c r="AE2" s="803">
        <v>50212</v>
      </c>
      <c r="AF2" s="803">
        <v>50213</v>
      </c>
      <c r="AG2" s="803">
        <v>50214</v>
      </c>
      <c r="AH2" s="803">
        <v>50215</v>
      </c>
      <c r="AI2" s="803">
        <v>50216</v>
      </c>
      <c r="AJ2" s="803">
        <v>50217</v>
      </c>
      <c r="AK2" s="803">
        <v>50218</v>
      </c>
      <c r="AL2" s="803">
        <v>50477</v>
      </c>
      <c r="AM2" s="803">
        <v>50520</v>
      </c>
      <c r="AN2" s="803">
        <v>50219</v>
      </c>
      <c r="AO2" s="803">
        <v>50220</v>
      </c>
      <c r="AP2" s="803">
        <v>50536</v>
      </c>
      <c r="AQ2" s="803">
        <v>50221</v>
      </c>
      <c r="AR2" s="803">
        <v>50222</v>
      </c>
      <c r="AS2" s="803">
        <v>50223</v>
      </c>
      <c r="AT2" s="803">
        <v>50224</v>
      </c>
      <c r="AU2" s="803">
        <v>50225</v>
      </c>
      <c r="AV2" s="803">
        <v>50226</v>
      </c>
      <c r="AW2" s="803">
        <v>50227</v>
      </c>
      <c r="AX2" s="803">
        <v>50455</v>
      </c>
      <c r="AY2" s="803">
        <v>50229</v>
      </c>
      <c r="AZ2" s="803">
        <v>50230</v>
      </c>
      <c r="BA2" s="803">
        <v>50231</v>
      </c>
      <c r="BB2" s="803">
        <v>50232</v>
      </c>
      <c r="BC2" s="803">
        <v>50233</v>
      </c>
      <c r="BD2" s="803">
        <v>50234</v>
      </c>
      <c r="BE2" s="803">
        <v>50235</v>
      </c>
      <c r="BF2" s="803">
        <v>50236</v>
      </c>
      <c r="BG2" s="803">
        <v>50237</v>
      </c>
      <c r="BH2" s="803">
        <v>50238</v>
      </c>
      <c r="BI2" s="803">
        <v>50444</v>
      </c>
      <c r="BJ2" s="803">
        <v>50239</v>
      </c>
      <c r="BK2" s="803">
        <v>50240</v>
      </c>
      <c r="BL2" s="803">
        <v>50241</v>
      </c>
      <c r="BM2" s="803">
        <v>50521</v>
      </c>
      <c r="BN2" s="803">
        <v>50242</v>
      </c>
      <c r="BO2" s="803">
        <v>50244</v>
      </c>
      <c r="BP2" s="803">
        <v>50243</v>
      </c>
      <c r="BQ2" s="803">
        <v>50245</v>
      </c>
      <c r="BR2" s="803">
        <v>50522</v>
      </c>
      <c r="BS2" s="180">
        <v>50246</v>
      </c>
      <c r="BT2" s="180">
        <v>50247</v>
      </c>
      <c r="BU2" s="180">
        <v>50248</v>
      </c>
      <c r="BV2" s="180">
        <v>50249</v>
      </c>
      <c r="BW2" s="180">
        <v>50250</v>
      </c>
      <c r="BX2" s="180">
        <v>50251</v>
      </c>
      <c r="BY2" s="180">
        <v>50252</v>
      </c>
      <c r="BZ2" s="180">
        <v>50253</v>
      </c>
      <c r="CA2" s="180">
        <v>50454</v>
      </c>
      <c r="CB2" s="180"/>
      <c r="CC2" s="180"/>
      <c r="CD2" s="180"/>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v>220999</v>
      </c>
      <c r="E3" s="180">
        <v>1396383</v>
      </c>
      <c r="F3" s="180"/>
      <c r="G3" s="180">
        <v>1695340</v>
      </c>
      <c r="H3" s="180">
        <v>271578</v>
      </c>
      <c r="I3" s="180">
        <v>15890</v>
      </c>
      <c r="J3" s="180">
        <v>15585</v>
      </c>
      <c r="K3" s="180">
        <v>27680</v>
      </c>
      <c r="L3" s="180">
        <v>4386566</v>
      </c>
      <c r="M3" s="180"/>
      <c r="N3" s="180">
        <v>24972</v>
      </c>
      <c r="O3" s="180"/>
      <c r="P3" s="180">
        <v>1688786</v>
      </c>
      <c r="Q3" s="180">
        <v>1109861</v>
      </c>
      <c r="R3" s="180">
        <v>29002</v>
      </c>
      <c r="S3" s="180">
        <v>958041</v>
      </c>
      <c r="T3" s="180">
        <v>8815</v>
      </c>
      <c r="U3" s="180">
        <v>965568</v>
      </c>
      <c r="V3" s="180">
        <v>2859</v>
      </c>
      <c r="W3" s="180">
        <v>513347</v>
      </c>
      <c r="X3" s="180">
        <v>1184300</v>
      </c>
      <c r="Y3" s="180">
        <v>265081</v>
      </c>
      <c r="Z3" s="180">
        <v>196420</v>
      </c>
      <c r="AA3" s="180">
        <v>325726</v>
      </c>
      <c r="AB3" s="180">
        <v>74106</v>
      </c>
      <c r="AC3" s="180">
        <v>4905</v>
      </c>
      <c r="AD3" s="180">
        <v>32304</v>
      </c>
      <c r="AE3" s="180">
        <v>201120</v>
      </c>
      <c r="AF3" s="180">
        <v>3779</v>
      </c>
      <c r="AG3" s="180">
        <v>1204</v>
      </c>
      <c r="AH3" s="180">
        <v>440</v>
      </c>
      <c r="AI3" s="180">
        <v>97214</v>
      </c>
      <c r="AJ3" s="180">
        <v>194299</v>
      </c>
      <c r="AK3" s="180">
        <v>50185</v>
      </c>
      <c r="AL3" s="180">
        <v>4343</v>
      </c>
      <c r="AM3" s="180">
        <v>4685196</v>
      </c>
      <c r="AN3" s="180">
        <v>926132</v>
      </c>
      <c r="AO3" s="180"/>
      <c r="AP3" s="180">
        <v>527507</v>
      </c>
      <c r="AQ3" s="180">
        <v>1543584</v>
      </c>
      <c r="AR3" s="180"/>
      <c r="AS3" s="180"/>
      <c r="AT3" s="180"/>
      <c r="AU3" s="180">
        <v>2648835</v>
      </c>
      <c r="AV3" s="180">
        <v>60722</v>
      </c>
      <c r="AW3" s="180"/>
      <c r="AX3" s="180">
        <v>2349558</v>
      </c>
      <c r="AY3" s="180">
        <v>53231</v>
      </c>
      <c r="AZ3" s="180"/>
      <c r="BA3" s="180">
        <v>0</v>
      </c>
      <c r="BB3" s="180">
        <v>264549</v>
      </c>
      <c r="BC3" s="180"/>
      <c r="BD3" s="180">
        <v>1038</v>
      </c>
      <c r="BE3" s="180">
        <v>1900163</v>
      </c>
      <c r="BF3" s="180"/>
      <c r="BG3" s="180"/>
      <c r="BH3" s="180">
        <v>36153</v>
      </c>
      <c r="BI3" s="180">
        <v>185643</v>
      </c>
      <c r="BJ3" s="180">
        <v>51033</v>
      </c>
      <c r="BK3" s="180">
        <v>155207</v>
      </c>
      <c r="BL3" s="180">
        <v>178317</v>
      </c>
      <c r="BM3" s="180">
        <v>0</v>
      </c>
      <c r="BN3" s="180">
        <v>234167</v>
      </c>
      <c r="BO3" s="180">
        <v>72220</v>
      </c>
      <c r="BP3" s="180">
        <v>15166</v>
      </c>
      <c r="BQ3" s="180">
        <v>50598</v>
      </c>
      <c r="BR3" s="180">
        <v>84458</v>
      </c>
      <c r="BS3" s="180">
        <v>1127179</v>
      </c>
      <c r="BT3" s="180">
        <v>72876</v>
      </c>
      <c r="BU3" s="180">
        <v>98587</v>
      </c>
      <c r="BV3" s="180">
        <v>65606</v>
      </c>
      <c r="BW3" s="180">
        <v>108774</v>
      </c>
      <c r="BX3" s="180"/>
      <c r="BY3" s="180">
        <v>0</v>
      </c>
      <c r="BZ3" s="180">
        <v>2715809</v>
      </c>
      <c r="CA3" s="180">
        <v>332</v>
      </c>
      <c r="CB3" s="180"/>
      <c r="CC3" s="180"/>
      <c r="CD3" s="180"/>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v>0</v>
      </c>
      <c r="E4" s="180">
        <v>168094</v>
      </c>
      <c r="F4" s="180"/>
      <c r="G4" s="180">
        <v>54998</v>
      </c>
      <c r="H4" s="180">
        <v>1380</v>
      </c>
      <c r="I4" s="180">
        <v>25</v>
      </c>
      <c r="J4" s="180">
        <v>0</v>
      </c>
      <c r="K4" s="180">
        <v>0</v>
      </c>
      <c r="L4" s="180">
        <v>0</v>
      </c>
      <c r="M4" s="180"/>
      <c r="N4" s="180">
        <v>0</v>
      </c>
      <c r="O4" s="180"/>
      <c r="P4" s="180">
        <v>0</v>
      </c>
      <c r="Q4" s="180">
        <v>0</v>
      </c>
      <c r="R4" s="180">
        <v>0</v>
      </c>
      <c r="S4" s="180">
        <v>0</v>
      </c>
      <c r="T4" s="180">
        <v>0</v>
      </c>
      <c r="U4" s="180">
        <v>10135</v>
      </c>
      <c r="V4" s="180">
        <v>14574</v>
      </c>
      <c r="W4" s="180">
        <v>0</v>
      </c>
      <c r="X4" s="180">
        <v>14926</v>
      </c>
      <c r="Y4" s="180">
        <v>0</v>
      </c>
      <c r="Z4" s="180">
        <v>4221</v>
      </c>
      <c r="AA4" s="180">
        <v>0</v>
      </c>
      <c r="AB4" s="180">
        <v>90</v>
      </c>
      <c r="AC4" s="180">
        <v>0</v>
      </c>
      <c r="AD4" s="180">
        <v>0</v>
      </c>
      <c r="AE4" s="180">
        <v>0</v>
      </c>
      <c r="AF4" s="180">
        <v>0</v>
      </c>
      <c r="AG4" s="180">
        <v>0</v>
      </c>
      <c r="AH4" s="180">
        <v>0</v>
      </c>
      <c r="AI4" s="180">
        <v>0</v>
      </c>
      <c r="AJ4" s="180">
        <v>58692</v>
      </c>
      <c r="AK4" s="180">
        <v>0</v>
      </c>
      <c r="AL4" s="180">
        <v>0</v>
      </c>
      <c r="AM4" s="180">
        <v>0</v>
      </c>
      <c r="AN4" s="180">
        <v>0</v>
      </c>
      <c r="AO4" s="180"/>
      <c r="AP4" s="180">
        <v>0</v>
      </c>
      <c r="AQ4" s="180">
        <v>0</v>
      </c>
      <c r="AR4" s="180"/>
      <c r="AS4" s="180"/>
      <c r="AT4" s="180"/>
      <c r="AU4" s="180">
        <v>1863</v>
      </c>
      <c r="AV4" s="180">
        <v>0</v>
      </c>
      <c r="AW4" s="180"/>
      <c r="AX4" s="180">
        <v>0</v>
      </c>
      <c r="AY4" s="180">
        <v>0</v>
      </c>
      <c r="AZ4" s="180"/>
      <c r="BA4" s="180">
        <v>0</v>
      </c>
      <c r="BB4" s="180">
        <v>0</v>
      </c>
      <c r="BC4" s="180"/>
      <c r="BD4" s="180">
        <v>14022</v>
      </c>
      <c r="BE4" s="180">
        <v>19970</v>
      </c>
      <c r="BF4" s="180"/>
      <c r="BG4" s="180"/>
      <c r="BH4" s="180">
        <v>0</v>
      </c>
      <c r="BI4" s="180">
        <v>7528</v>
      </c>
      <c r="BJ4" s="180">
        <v>80791</v>
      </c>
      <c r="BK4" s="180">
        <v>158</v>
      </c>
      <c r="BL4" s="180">
        <v>0</v>
      </c>
      <c r="BM4" s="180">
        <v>15750</v>
      </c>
      <c r="BN4" s="180">
        <v>12693</v>
      </c>
      <c r="BO4" s="180">
        <v>2866</v>
      </c>
      <c r="BP4" s="180">
        <v>0</v>
      </c>
      <c r="BQ4" s="180">
        <v>0</v>
      </c>
      <c r="BR4" s="180">
        <v>0</v>
      </c>
      <c r="BS4" s="180">
        <v>0</v>
      </c>
      <c r="BT4" s="180">
        <v>0</v>
      </c>
      <c r="BU4" s="180">
        <v>1000000</v>
      </c>
      <c r="BV4" s="180">
        <v>0</v>
      </c>
      <c r="BW4" s="180">
        <v>0</v>
      </c>
      <c r="BX4" s="180"/>
      <c r="BY4" s="180">
        <v>0</v>
      </c>
      <c r="BZ4" s="180">
        <v>0</v>
      </c>
      <c r="CA4" s="180">
        <v>0</v>
      </c>
      <c r="CB4" s="180"/>
      <c r="CC4" s="180"/>
      <c r="CD4" s="180"/>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v>0</v>
      </c>
      <c r="E5" s="180">
        <v>3425051</v>
      </c>
      <c r="F5" s="180"/>
      <c r="G5" s="180">
        <v>1169293</v>
      </c>
      <c r="H5" s="180">
        <v>0</v>
      </c>
      <c r="I5" s="180">
        <v>0</v>
      </c>
      <c r="J5" s="180">
        <v>0</v>
      </c>
      <c r="K5" s="180">
        <v>0</v>
      </c>
      <c r="L5" s="180">
        <v>0</v>
      </c>
      <c r="M5" s="180"/>
      <c r="N5" s="180">
        <v>0</v>
      </c>
      <c r="O5" s="180"/>
      <c r="P5" s="180">
        <v>0</v>
      </c>
      <c r="Q5" s="180">
        <v>2096088</v>
      </c>
      <c r="R5" s="180">
        <v>0</v>
      </c>
      <c r="S5" s="180">
        <v>0</v>
      </c>
      <c r="T5" s="180">
        <v>0</v>
      </c>
      <c r="U5" s="180">
        <v>1878109</v>
      </c>
      <c r="V5" s="180">
        <v>0</v>
      </c>
      <c r="W5" s="180">
        <v>17537</v>
      </c>
      <c r="X5" s="180">
        <v>1094727</v>
      </c>
      <c r="Y5" s="180">
        <v>0</v>
      </c>
      <c r="Z5" s="180">
        <v>0</v>
      </c>
      <c r="AA5" s="180">
        <v>0</v>
      </c>
      <c r="AB5" s="180">
        <v>0</v>
      </c>
      <c r="AC5" s="180">
        <v>0</v>
      </c>
      <c r="AD5" s="180">
        <v>0</v>
      </c>
      <c r="AE5" s="180">
        <v>0</v>
      </c>
      <c r="AF5" s="180">
        <v>0</v>
      </c>
      <c r="AG5" s="180">
        <v>0</v>
      </c>
      <c r="AH5" s="180">
        <v>0</v>
      </c>
      <c r="AI5" s="180">
        <v>0</v>
      </c>
      <c r="AJ5" s="180">
        <v>0</v>
      </c>
      <c r="AK5" s="180">
        <v>0</v>
      </c>
      <c r="AL5" s="180">
        <v>0</v>
      </c>
      <c r="AM5" s="180">
        <v>0</v>
      </c>
      <c r="AN5" s="180">
        <v>0</v>
      </c>
      <c r="AO5" s="180"/>
      <c r="AP5" s="180">
        <v>0</v>
      </c>
      <c r="AQ5" s="180">
        <v>2996789</v>
      </c>
      <c r="AR5" s="180"/>
      <c r="AS5" s="180"/>
      <c r="AT5" s="180"/>
      <c r="AU5" s="180">
        <v>0</v>
      </c>
      <c r="AV5" s="180">
        <v>0</v>
      </c>
      <c r="AW5" s="180"/>
      <c r="AX5" s="180">
        <v>0</v>
      </c>
      <c r="AY5" s="180">
        <v>0</v>
      </c>
      <c r="AZ5" s="180"/>
      <c r="BA5" s="180">
        <v>0</v>
      </c>
      <c r="BB5" s="180">
        <v>0</v>
      </c>
      <c r="BC5" s="180"/>
      <c r="BD5" s="180">
        <v>0</v>
      </c>
      <c r="BE5" s="180">
        <v>0</v>
      </c>
      <c r="BF5" s="180"/>
      <c r="BG5" s="180"/>
      <c r="BH5" s="180">
        <v>0</v>
      </c>
      <c r="BI5" s="180">
        <v>98291</v>
      </c>
      <c r="BJ5" s="180">
        <v>0</v>
      </c>
      <c r="BK5" s="180">
        <v>0</v>
      </c>
      <c r="BL5" s="180">
        <v>0</v>
      </c>
      <c r="BM5" s="180">
        <v>0</v>
      </c>
      <c r="BN5" s="180">
        <v>562664</v>
      </c>
      <c r="BO5" s="180">
        <v>0</v>
      </c>
      <c r="BP5" s="180">
        <v>0</v>
      </c>
      <c r="BQ5" s="180">
        <v>0</v>
      </c>
      <c r="BR5" s="180">
        <v>0</v>
      </c>
      <c r="BS5" s="180">
        <v>0</v>
      </c>
      <c r="BT5" s="180">
        <v>0</v>
      </c>
      <c r="BU5" s="180">
        <v>0</v>
      </c>
      <c r="BV5" s="180">
        <v>0</v>
      </c>
      <c r="BW5" s="180">
        <v>320000</v>
      </c>
      <c r="BX5" s="180"/>
      <c r="BY5" s="180">
        <v>0</v>
      </c>
      <c r="BZ5" s="180">
        <v>1704457</v>
      </c>
      <c r="CA5" s="180">
        <v>0</v>
      </c>
      <c r="CB5" s="180"/>
      <c r="CC5" s="180"/>
      <c r="CD5" s="180"/>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v>13062</v>
      </c>
      <c r="E6" s="180">
        <v>3245</v>
      </c>
      <c r="F6" s="180"/>
      <c r="G6" s="180">
        <v>2095981</v>
      </c>
      <c r="H6" s="180">
        <v>0</v>
      </c>
      <c r="I6" s="180">
        <v>18018</v>
      </c>
      <c r="J6" s="180">
        <v>0</v>
      </c>
      <c r="K6" s="180">
        <v>0</v>
      </c>
      <c r="L6" s="180">
        <v>472487</v>
      </c>
      <c r="M6" s="180"/>
      <c r="N6" s="180">
        <v>0</v>
      </c>
      <c r="O6" s="180"/>
      <c r="P6" s="180">
        <v>13888</v>
      </c>
      <c r="Q6" s="180">
        <v>204201</v>
      </c>
      <c r="R6" s="180">
        <v>1165</v>
      </c>
      <c r="S6" s="180">
        <v>61875</v>
      </c>
      <c r="T6" s="180">
        <v>169</v>
      </c>
      <c r="U6" s="180">
        <v>139328</v>
      </c>
      <c r="V6" s="180">
        <v>0</v>
      </c>
      <c r="W6" s="180">
        <v>22544</v>
      </c>
      <c r="X6" s="180">
        <v>14100</v>
      </c>
      <c r="Y6" s="180">
        <v>29473</v>
      </c>
      <c r="Z6" s="180">
        <v>64886</v>
      </c>
      <c r="AA6" s="180">
        <v>780</v>
      </c>
      <c r="AB6" s="180">
        <v>2500</v>
      </c>
      <c r="AC6" s="180">
        <v>0</v>
      </c>
      <c r="AD6" s="180">
        <v>0</v>
      </c>
      <c r="AE6" s="180">
        <v>3207</v>
      </c>
      <c r="AF6" s="180">
        <v>0</v>
      </c>
      <c r="AG6" s="180">
        <v>0</v>
      </c>
      <c r="AH6" s="180">
        <v>0</v>
      </c>
      <c r="AI6" s="180">
        <v>8395</v>
      </c>
      <c r="AJ6" s="180">
        <v>44042</v>
      </c>
      <c r="AK6" s="180">
        <v>4324</v>
      </c>
      <c r="AL6" s="180">
        <v>0</v>
      </c>
      <c r="AM6" s="180">
        <v>898</v>
      </c>
      <c r="AN6" s="180">
        <v>5596</v>
      </c>
      <c r="AO6" s="180"/>
      <c r="AP6" s="180">
        <v>0</v>
      </c>
      <c r="AQ6" s="180">
        <v>160863</v>
      </c>
      <c r="AR6" s="180"/>
      <c r="AS6" s="180"/>
      <c r="AT6" s="180"/>
      <c r="AU6" s="180">
        <v>15210</v>
      </c>
      <c r="AV6" s="180">
        <v>0</v>
      </c>
      <c r="AW6" s="180"/>
      <c r="AX6" s="180">
        <v>82021</v>
      </c>
      <c r="AY6" s="180">
        <v>16058</v>
      </c>
      <c r="AZ6" s="180"/>
      <c r="BA6" s="180">
        <v>0</v>
      </c>
      <c r="BB6" s="180">
        <v>0</v>
      </c>
      <c r="BC6" s="180"/>
      <c r="BD6" s="180">
        <v>0</v>
      </c>
      <c r="BE6" s="180">
        <v>127401</v>
      </c>
      <c r="BF6" s="180"/>
      <c r="BG6" s="180"/>
      <c r="BH6" s="180">
        <v>0</v>
      </c>
      <c r="BI6" s="180">
        <v>15643</v>
      </c>
      <c r="BJ6" s="180">
        <v>0</v>
      </c>
      <c r="BK6" s="180">
        <v>0</v>
      </c>
      <c r="BL6" s="180">
        <v>0</v>
      </c>
      <c r="BM6" s="180">
        <v>0</v>
      </c>
      <c r="BN6" s="180">
        <v>3180</v>
      </c>
      <c r="BO6" s="180">
        <v>0</v>
      </c>
      <c r="BP6" s="180">
        <v>0</v>
      </c>
      <c r="BQ6" s="180">
        <v>0</v>
      </c>
      <c r="BR6" s="180">
        <v>1300</v>
      </c>
      <c r="BS6" s="180">
        <v>141084</v>
      </c>
      <c r="BT6" s="180">
        <v>0</v>
      </c>
      <c r="BU6" s="180">
        <v>26041</v>
      </c>
      <c r="BV6" s="180">
        <v>0</v>
      </c>
      <c r="BW6" s="180">
        <v>0</v>
      </c>
      <c r="BX6" s="180"/>
      <c r="BY6" s="180">
        <v>0</v>
      </c>
      <c r="BZ6" s="180">
        <v>32056</v>
      </c>
      <c r="CA6" s="180">
        <v>0</v>
      </c>
      <c r="CB6" s="180"/>
      <c r="CC6" s="180"/>
      <c r="CD6" s="180"/>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v>837318</v>
      </c>
      <c r="E7" s="180">
        <v>27362786</v>
      </c>
      <c r="F7" s="180"/>
      <c r="G7" s="180">
        <v>40156758</v>
      </c>
      <c r="H7" s="180">
        <v>4375877</v>
      </c>
      <c r="I7" s="180">
        <v>605135</v>
      </c>
      <c r="J7" s="180">
        <v>2765344</v>
      </c>
      <c r="K7" s="180">
        <v>1660524</v>
      </c>
      <c r="L7" s="180">
        <v>54614971</v>
      </c>
      <c r="M7" s="180"/>
      <c r="N7" s="180">
        <v>917175</v>
      </c>
      <c r="O7" s="180"/>
      <c r="P7" s="180">
        <v>22747043</v>
      </c>
      <c r="Q7" s="180">
        <v>29116423</v>
      </c>
      <c r="R7" s="180">
        <v>3865365</v>
      </c>
      <c r="S7" s="180">
        <v>11669757</v>
      </c>
      <c r="T7" s="180">
        <v>484869</v>
      </c>
      <c r="U7" s="180">
        <v>13732131</v>
      </c>
      <c r="V7" s="180">
        <v>258822</v>
      </c>
      <c r="W7" s="180">
        <v>14272910</v>
      </c>
      <c r="X7" s="180">
        <v>13190998</v>
      </c>
      <c r="Y7" s="180">
        <v>7012003</v>
      </c>
      <c r="Z7" s="180">
        <v>2670774</v>
      </c>
      <c r="AA7" s="180">
        <v>5176381</v>
      </c>
      <c r="AB7" s="180">
        <v>1702875</v>
      </c>
      <c r="AC7" s="180">
        <v>333077</v>
      </c>
      <c r="AD7" s="180">
        <v>1846542</v>
      </c>
      <c r="AE7" s="180">
        <v>2660751</v>
      </c>
      <c r="AF7" s="180">
        <v>146347</v>
      </c>
      <c r="AG7" s="180">
        <v>88961</v>
      </c>
      <c r="AH7" s="180">
        <v>266645</v>
      </c>
      <c r="AI7" s="180">
        <v>2747859</v>
      </c>
      <c r="AJ7" s="180">
        <v>4195878</v>
      </c>
      <c r="AK7" s="180">
        <v>433010</v>
      </c>
      <c r="AL7" s="180">
        <v>126120</v>
      </c>
      <c r="AM7" s="180">
        <v>14487482</v>
      </c>
      <c r="AN7" s="180">
        <v>16965596</v>
      </c>
      <c r="AO7" s="180"/>
      <c r="AP7" s="180">
        <v>7943134</v>
      </c>
      <c r="AQ7" s="180">
        <v>13841458</v>
      </c>
      <c r="AR7" s="180"/>
      <c r="AS7" s="180"/>
      <c r="AT7" s="180"/>
      <c r="AU7" s="180">
        <v>6985895</v>
      </c>
      <c r="AV7" s="180">
        <v>249240</v>
      </c>
      <c r="AW7" s="180"/>
      <c r="AX7" s="180">
        <v>4064669</v>
      </c>
      <c r="AY7" s="180">
        <v>3962342</v>
      </c>
      <c r="AZ7" s="180"/>
      <c r="BA7" s="180">
        <v>212546</v>
      </c>
      <c r="BB7" s="180">
        <v>2877239</v>
      </c>
      <c r="BC7" s="180"/>
      <c r="BD7" s="180">
        <v>408724</v>
      </c>
      <c r="BE7" s="180">
        <v>8045768</v>
      </c>
      <c r="BF7" s="180"/>
      <c r="BG7" s="180"/>
      <c r="BH7" s="180">
        <v>3524413</v>
      </c>
      <c r="BI7" s="180">
        <v>4935526</v>
      </c>
      <c r="BJ7" s="180">
        <v>749904</v>
      </c>
      <c r="BK7" s="180">
        <v>5172611</v>
      </c>
      <c r="BL7" s="180">
        <v>7515372</v>
      </c>
      <c r="BM7" s="180">
        <v>182665</v>
      </c>
      <c r="BN7" s="180">
        <v>5845682</v>
      </c>
      <c r="BO7" s="180">
        <v>5251727</v>
      </c>
      <c r="BP7" s="180">
        <v>1843760</v>
      </c>
      <c r="BQ7" s="180">
        <v>2459583</v>
      </c>
      <c r="BR7" s="180">
        <v>2745202</v>
      </c>
      <c r="BS7" s="180">
        <v>19119323</v>
      </c>
      <c r="BT7" s="180">
        <v>2543125</v>
      </c>
      <c r="BU7" s="180">
        <v>2716033</v>
      </c>
      <c r="BV7" s="180">
        <v>987519</v>
      </c>
      <c r="BW7" s="180">
        <v>1686411</v>
      </c>
      <c r="BX7" s="180"/>
      <c r="BY7" s="180">
        <v>217101</v>
      </c>
      <c r="BZ7" s="180">
        <v>20728012</v>
      </c>
      <c r="CA7" s="180">
        <v>102255</v>
      </c>
      <c r="CB7" s="180"/>
      <c r="CC7" s="180"/>
      <c r="CD7" s="180"/>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v>0</v>
      </c>
      <c r="E8" s="180">
        <v>2442221</v>
      </c>
      <c r="F8" s="180"/>
      <c r="G8" s="180">
        <v>855874</v>
      </c>
      <c r="H8" s="180">
        <v>343057</v>
      </c>
      <c r="I8" s="180">
        <v>105786</v>
      </c>
      <c r="J8" s="180">
        <v>68101</v>
      </c>
      <c r="K8" s="180">
        <v>40189</v>
      </c>
      <c r="L8" s="180">
        <v>2390324</v>
      </c>
      <c r="M8" s="180"/>
      <c r="N8" s="180">
        <v>49293</v>
      </c>
      <c r="O8" s="180"/>
      <c r="P8" s="180">
        <v>0</v>
      </c>
      <c r="Q8" s="180">
        <v>80977</v>
      </c>
      <c r="R8" s="180">
        <v>26124</v>
      </c>
      <c r="S8" s="180">
        <v>245099</v>
      </c>
      <c r="T8" s="180">
        <v>139841</v>
      </c>
      <c r="U8" s="180">
        <v>0</v>
      </c>
      <c r="V8" s="180">
        <v>92052</v>
      </c>
      <c r="W8" s="180">
        <v>224121</v>
      </c>
      <c r="X8" s="180">
        <v>1046330</v>
      </c>
      <c r="Y8" s="180">
        <v>38138</v>
      </c>
      <c r="Z8" s="180">
        <v>286580</v>
      </c>
      <c r="AA8" s="180">
        <v>0</v>
      </c>
      <c r="AB8" s="180">
        <v>229754</v>
      </c>
      <c r="AC8" s="180">
        <v>59</v>
      </c>
      <c r="AD8" s="180">
        <v>61084</v>
      </c>
      <c r="AE8" s="180">
        <v>451987</v>
      </c>
      <c r="AF8" s="180">
        <v>18441</v>
      </c>
      <c r="AG8" s="180">
        <v>9304</v>
      </c>
      <c r="AH8" s="180">
        <v>91570</v>
      </c>
      <c r="AI8" s="180">
        <v>0</v>
      </c>
      <c r="AJ8" s="180">
        <v>105603</v>
      </c>
      <c r="AK8" s="180">
        <v>61984</v>
      </c>
      <c r="AL8" s="180">
        <v>0</v>
      </c>
      <c r="AM8" s="180">
        <v>974014</v>
      </c>
      <c r="AN8" s="180">
        <v>0</v>
      </c>
      <c r="AO8" s="180"/>
      <c r="AP8" s="180">
        <v>0</v>
      </c>
      <c r="AQ8" s="180">
        <v>0</v>
      </c>
      <c r="AR8" s="180"/>
      <c r="AS8" s="180"/>
      <c r="AT8" s="180"/>
      <c r="AU8" s="180">
        <v>314798</v>
      </c>
      <c r="AV8" s="180">
        <v>8965</v>
      </c>
      <c r="AW8" s="180"/>
      <c r="AX8" s="180">
        <v>2266</v>
      </c>
      <c r="AY8" s="180">
        <v>534155</v>
      </c>
      <c r="AZ8" s="180"/>
      <c r="BA8" s="180">
        <v>4060</v>
      </c>
      <c r="BB8" s="180">
        <v>526424</v>
      </c>
      <c r="BC8" s="180"/>
      <c r="BD8" s="180">
        <v>1217</v>
      </c>
      <c r="BE8" s="180">
        <v>45845</v>
      </c>
      <c r="BF8" s="180"/>
      <c r="BG8" s="180"/>
      <c r="BH8" s="180">
        <v>0</v>
      </c>
      <c r="BI8" s="180">
        <v>54163</v>
      </c>
      <c r="BJ8" s="180">
        <v>126035</v>
      </c>
      <c r="BK8" s="180">
        <v>243095</v>
      </c>
      <c r="BL8" s="180">
        <v>104031</v>
      </c>
      <c r="BM8" s="180">
        <v>0</v>
      </c>
      <c r="BN8" s="180">
        <v>190906</v>
      </c>
      <c r="BO8" s="180">
        <v>183925</v>
      </c>
      <c r="BP8" s="180">
        <v>181693</v>
      </c>
      <c r="BQ8" s="180">
        <v>161448</v>
      </c>
      <c r="BR8" s="180">
        <v>85114</v>
      </c>
      <c r="BS8" s="180">
        <v>407174</v>
      </c>
      <c r="BT8" s="180">
        <v>79766</v>
      </c>
      <c r="BU8" s="180">
        <v>267997</v>
      </c>
      <c r="BV8" s="180">
        <v>0</v>
      </c>
      <c r="BW8" s="180">
        <v>81441</v>
      </c>
      <c r="BX8" s="180"/>
      <c r="BY8" s="180">
        <v>22370</v>
      </c>
      <c r="BZ8" s="180">
        <v>0</v>
      </c>
      <c r="CA8" s="180">
        <v>11313</v>
      </c>
      <c r="CB8" s="180"/>
      <c r="CC8" s="180"/>
      <c r="CD8" s="180"/>
      <c r="CE8" s="180"/>
      <c r="CF8" s="180"/>
      <c r="CG8" s="180"/>
      <c r="CH8" s="180"/>
      <c r="CI8" s="180"/>
      <c r="CJ8" s="180"/>
      <c r="CK8" s="180"/>
      <c r="CL8" s="180"/>
      <c r="CM8" s="180"/>
      <c r="CN8" s="180"/>
      <c r="CO8" s="180"/>
      <c r="CP8" s="180"/>
      <c r="CQ8" s="180"/>
      <c r="CR8" s="180"/>
      <c r="CS8" s="180"/>
      <c r="CT8" s="180"/>
      <c r="CU8" s="180"/>
    </row>
    <row r="9" spans="1:99" x14ac:dyDescent="0.3">
      <c r="A9" s="155">
        <v>16</v>
      </c>
      <c r="B9" s="180" t="s">
        <v>197</v>
      </c>
      <c r="C9" s="180"/>
      <c r="D9" s="180">
        <v>2277887</v>
      </c>
      <c r="E9" s="180">
        <v>18220049</v>
      </c>
      <c r="F9" s="180"/>
      <c r="G9" s="180">
        <v>50698570</v>
      </c>
      <c r="H9" s="180">
        <v>5528131</v>
      </c>
      <c r="I9" s="180">
        <v>348100</v>
      </c>
      <c r="J9" s="180">
        <v>1648458</v>
      </c>
      <c r="K9" s="180">
        <v>2173568</v>
      </c>
      <c r="L9" s="180">
        <v>62954673</v>
      </c>
      <c r="M9" s="180"/>
      <c r="N9" s="180">
        <v>1023902</v>
      </c>
      <c r="O9" s="180"/>
      <c r="P9" s="180">
        <v>39652206</v>
      </c>
      <c r="Q9" s="180">
        <v>25230510</v>
      </c>
      <c r="R9" s="180">
        <v>7855065</v>
      </c>
      <c r="S9" s="180">
        <v>16208178</v>
      </c>
      <c r="T9" s="180">
        <v>205340</v>
      </c>
      <c r="U9" s="180">
        <v>22343171</v>
      </c>
      <c r="V9" s="180">
        <v>28858</v>
      </c>
      <c r="W9" s="180">
        <v>12623056</v>
      </c>
      <c r="X9" s="180">
        <v>23005339</v>
      </c>
      <c r="Y9" s="180">
        <v>7800428</v>
      </c>
      <c r="Z9" s="180">
        <v>1851038</v>
      </c>
      <c r="AA9" s="180">
        <v>8967397</v>
      </c>
      <c r="AB9" s="180">
        <v>1513233</v>
      </c>
      <c r="AC9" s="180">
        <v>453272</v>
      </c>
      <c r="AD9" s="180">
        <v>1424431</v>
      </c>
      <c r="AE9" s="180">
        <v>4361457</v>
      </c>
      <c r="AF9" s="180">
        <v>178970</v>
      </c>
      <c r="AG9" s="180">
        <v>61799</v>
      </c>
      <c r="AH9" s="180">
        <v>88293</v>
      </c>
      <c r="AI9" s="180">
        <v>3308432</v>
      </c>
      <c r="AJ9" s="180">
        <v>7968490</v>
      </c>
      <c r="AK9" s="180">
        <v>480147</v>
      </c>
      <c r="AL9" s="180">
        <v>28421</v>
      </c>
      <c r="AM9" s="180">
        <v>27589534</v>
      </c>
      <c r="AN9" s="180">
        <v>21256482</v>
      </c>
      <c r="AO9" s="180"/>
      <c r="AP9" s="180">
        <v>5377653</v>
      </c>
      <c r="AQ9" s="180">
        <v>25317527</v>
      </c>
      <c r="AR9" s="180"/>
      <c r="AS9" s="180"/>
      <c r="AT9" s="180"/>
      <c r="AU9" s="180">
        <v>13836545</v>
      </c>
      <c r="AV9" s="180">
        <v>143322</v>
      </c>
      <c r="AW9" s="180"/>
      <c r="AX9" s="180">
        <v>5089725</v>
      </c>
      <c r="AY9" s="180">
        <v>4736308</v>
      </c>
      <c r="AZ9" s="180"/>
      <c r="BA9" s="180">
        <v>108251</v>
      </c>
      <c r="BB9" s="180">
        <v>3039273</v>
      </c>
      <c r="BC9" s="180"/>
      <c r="BD9" s="180">
        <v>82422</v>
      </c>
      <c r="BE9" s="180">
        <v>25758489</v>
      </c>
      <c r="BF9" s="180"/>
      <c r="BG9" s="180"/>
      <c r="BH9" s="180">
        <v>3466950</v>
      </c>
      <c r="BI9" s="180">
        <v>3504242</v>
      </c>
      <c r="BJ9" s="180">
        <v>764152</v>
      </c>
      <c r="BK9" s="180">
        <v>11299936</v>
      </c>
      <c r="BL9" s="180">
        <v>5443144</v>
      </c>
      <c r="BM9" s="180">
        <v>48396</v>
      </c>
      <c r="BN9" s="180">
        <v>8119121</v>
      </c>
      <c r="BO9" s="180">
        <v>2791076</v>
      </c>
      <c r="BP9" s="180">
        <v>1188377</v>
      </c>
      <c r="BQ9" s="180">
        <v>2976222</v>
      </c>
      <c r="BR9" s="180">
        <v>2001586</v>
      </c>
      <c r="BS9" s="180">
        <v>26745677</v>
      </c>
      <c r="BT9" s="180">
        <v>2203996</v>
      </c>
      <c r="BU9" s="180">
        <v>3330931</v>
      </c>
      <c r="BV9" s="180">
        <v>970954</v>
      </c>
      <c r="BW9" s="180">
        <v>977122</v>
      </c>
      <c r="BX9" s="180"/>
      <c r="BY9" s="180">
        <v>48086</v>
      </c>
      <c r="BZ9" s="180">
        <v>24603405</v>
      </c>
      <c r="CA9" s="180">
        <v>72243</v>
      </c>
      <c r="CB9" s="180"/>
      <c r="CC9" s="180"/>
      <c r="CD9" s="180"/>
      <c r="CE9" s="180"/>
      <c r="CF9" s="180"/>
      <c r="CG9" s="180"/>
      <c r="CH9" s="180"/>
      <c r="CI9" s="180"/>
      <c r="CJ9" s="180"/>
      <c r="CK9" s="180"/>
      <c r="CL9" s="180"/>
      <c r="CM9" s="180"/>
      <c r="CN9" s="180"/>
      <c r="CO9" s="180"/>
      <c r="CP9" s="180"/>
      <c r="CQ9" s="180"/>
      <c r="CR9" s="180"/>
      <c r="CS9" s="180"/>
      <c r="CT9" s="180"/>
      <c r="CU9" s="180"/>
    </row>
    <row r="10" spans="1:99" x14ac:dyDescent="0.3">
      <c r="A10" s="155">
        <v>17</v>
      </c>
      <c r="B10" s="180" t="s">
        <v>200</v>
      </c>
      <c r="C10" s="180"/>
      <c r="D10" s="180">
        <v>0</v>
      </c>
      <c r="E10" s="180">
        <v>2519015</v>
      </c>
      <c r="F10" s="180"/>
      <c r="G10" s="180">
        <v>3357683</v>
      </c>
      <c r="H10" s="180">
        <v>0</v>
      </c>
      <c r="I10" s="180">
        <v>0</v>
      </c>
      <c r="J10" s="180">
        <v>0</v>
      </c>
      <c r="K10" s="180">
        <v>5205</v>
      </c>
      <c r="L10" s="180">
        <v>17165149</v>
      </c>
      <c r="M10" s="180"/>
      <c r="N10" s="180">
        <v>0</v>
      </c>
      <c r="O10" s="180"/>
      <c r="P10" s="180">
        <v>63461</v>
      </c>
      <c r="Q10" s="180">
        <v>533970</v>
      </c>
      <c r="R10" s="180">
        <v>227662</v>
      </c>
      <c r="S10" s="180">
        <v>2749968</v>
      </c>
      <c r="T10" s="180">
        <v>0</v>
      </c>
      <c r="U10" s="180">
        <v>3812072</v>
      </c>
      <c r="V10" s="180">
        <v>0</v>
      </c>
      <c r="W10" s="180">
        <v>0</v>
      </c>
      <c r="X10" s="180">
        <v>674035</v>
      </c>
      <c r="Y10" s="180">
        <v>0</v>
      </c>
      <c r="Z10" s="180">
        <v>0</v>
      </c>
      <c r="AA10" s="180">
        <v>0</v>
      </c>
      <c r="AB10" s="180">
        <v>0</v>
      </c>
      <c r="AC10" s="180">
        <v>0</v>
      </c>
      <c r="AD10" s="180">
        <v>0</v>
      </c>
      <c r="AE10" s="180">
        <v>0</v>
      </c>
      <c r="AF10" s="180">
        <v>24380</v>
      </c>
      <c r="AG10" s="180">
        <v>0</v>
      </c>
      <c r="AH10" s="180">
        <v>26550</v>
      </c>
      <c r="AI10" s="180">
        <v>894504</v>
      </c>
      <c r="AJ10" s="180">
        <v>1021571</v>
      </c>
      <c r="AK10" s="180">
        <v>0</v>
      </c>
      <c r="AL10" s="180">
        <v>0</v>
      </c>
      <c r="AM10" s="180">
        <v>1425000</v>
      </c>
      <c r="AN10" s="180">
        <v>0</v>
      </c>
      <c r="AO10" s="180"/>
      <c r="AP10" s="180">
        <v>1208168</v>
      </c>
      <c r="AQ10" s="180">
        <v>2764377</v>
      </c>
      <c r="AR10" s="180"/>
      <c r="AS10" s="180"/>
      <c r="AT10" s="180"/>
      <c r="AU10" s="180">
        <v>1157027</v>
      </c>
      <c r="AV10" s="180">
        <v>20000</v>
      </c>
      <c r="AW10" s="180"/>
      <c r="AX10" s="180">
        <v>0</v>
      </c>
      <c r="AY10" s="180">
        <v>60000</v>
      </c>
      <c r="AZ10" s="180"/>
      <c r="BA10" s="180">
        <v>225</v>
      </c>
      <c r="BB10" s="180">
        <v>145000</v>
      </c>
      <c r="BC10" s="180"/>
      <c r="BD10" s="180">
        <v>0</v>
      </c>
      <c r="BE10" s="180">
        <v>3393845</v>
      </c>
      <c r="BF10" s="180"/>
      <c r="BG10" s="180"/>
      <c r="BH10" s="180">
        <v>16</v>
      </c>
      <c r="BI10" s="180">
        <v>0</v>
      </c>
      <c r="BJ10" s="180">
        <v>0</v>
      </c>
      <c r="BK10" s="180">
        <v>548638</v>
      </c>
      <c r="BL10" s="180">
        <v>0</v>
      </c>
      <c r="BM10" s="180">
        <v>0</v>
      </c>
      <c r="BN10" s="180">
        <v>1292493</v>
      </c>
      <c r="BO10" s="180">
        <v>0</v>
      </c>
      <c r="BP10" s="180">
        <v>0</v>
      </c>
      <c r="BQ10" s="180">
        <v>35917</v>
      </c>
      <c r="BR10" s="180">
        <v>0</v>
      </c>
      <c r="BS10" s="180">
        <v>4978635</v>
      </c>
      <c r="BT10" s="180">
        <v>0</v>
      </c>
      <c r="BU10" s="180">
        <v>27931</v>
      </c>
      <c r="BV10" s="180">
        <v>0</v>
      </c>
      <c r="BW10" s="180">
        <v>0</v>
      </c>
      <c r="BX10" s="180"/>
      <c r="BY10" s="180">
        <v>0</v>
      </c>
      <c r="BZ10" s="180">
        <v>566851</v>
      </c>
      <c r="CA10" s="180">
        <v>0</v>
      </c>
      <c r="CB10" s="180"/>
      <c r="CC10" s="180"/>
      <c r="CD10" s="180"/>
      <c r="CE10" s="180"/>
      <c r="CF10" s="180"/>
      <c r="CG10" s="180"/>
      <c r="CH10" s="180"/>
      <c r="CI10" s="180"/>
      <c r="CJ10" s="180"/>
      <c r="CK10" s="180"/>
      <c r="CL10" s="180"/>
      <c r="CM10" s="180"/>
      <c r="CN10" s="180"/>
      <c r="CO10" s="180"/>
      <c r="CP10" s="180"/>
      <c r="CQ10" s="180"/>
      <c r="CR10" s="180"/>
      <c r="CS10" s="180"/>
      <c r="CT10" s="180"/>
      <c r="CU10" s="180"/>
    </row>
    <row r="11" spans="1:99" x14ac:dyDescent="0.3">
      <c r="A11" s="155">
        <v>20</v>
      </c>
      <c r="B11" s="180" t="s">
        <v>201</v>
      </c>
      <c r="C11" s="180"/>
      <c r="D11" s="180">
        <v>0</v>
      </c>
      <c r="E11" s="180">
        <v>3666652</v>
      </c>
      <c r="F11" s="180"/>
      <c r="G11" s="180">
        <v>8693622</v>
      </c>
      <c r="H11" s="180">
        <v>494075</v>
      </c>
      <c r="I11" s="180">
        <v>0</v>
      </c>
      <c r="J11" s="180">
        <v>16000</v>
      </c>
      <c r="K11" s="180">
        <v>0</v>
      </c>
      <c r="L11" s="180">
        <v>97542</v>
      </c>
      <c r="M11" s="180"/>
      <c r="N11" s="180">
        <v>0</v>
      </c>
      <c r="O11" s="180"/>
      <c r="P11" s="180">
        <v>4627558</v>
      </c>
      <c r="Q11" s="180">
        <v>0</v>
      </c>
      <c r="R11" s="180">
        <v>0</v>
      </c>
      <c r="S11" s="180">
        <v>1251837</v>
      </c>
      <c r="T11" s="180">
        <v>0</v>
      </c>
      <c r="U11" s="180">
        <v>0</v>
      </c>
      <c r="V11" s="180">
        <v>0</v>
      </c>
      <c r="W11" s="180">
        <v>3000000</v>
      </c>
      <c r="X11" s="180">
        <v>1400728</v>
      </c>
      <c r="Y11" s="180">
        <v>0</v>
      </c>
      <c r="Z11" s="180">
        <v>40650</v>
      </c>
      <c r="AA11" s="180">
        <v>1600000</v>
      </c>
      <c r="AB11" s="180">
        <v>0</v>
      </c>
      <c r="AC11" s="180">
        <v>0</v>
      </c>
      <c r="AD11" s="180">
        <v>3500</v>
      </c>
      <c r="AE11" s="180">
        <v>286766</v>
      </c>
      <c r="AF11" s="180">
        <v>0</v>
      </c>
      <c r="AG11" s="180">
        <v>0</v>
      </c>
      <c r="AH11" s="180">
        <v>0</v>
      </c>
      <c r="AI11" s="180">
        <v>1000000</v>
      </c>
      <c r="AJ11" s="180">
        <v>369999</v>
      </c>
      <c r="AK11" s="180">
        <v>0</v>
      </c>
      <c r="AL11" s="180">
        <v>0</v>
      </c>
      <c r="AM11" s="180">
        <v>7564000</v>
      </c>
      <c r="AN11" s="180">
        <v>358760</v>
      </c>
      <c r="AO11" s="180"/>
      <c r="AP11" s="180">
        <v>235000</v>
      </c>
      <c r="AQ11" s="180">
        <v>466485</v>
      </c>
      <c r="AR11" s="180"/>
      <c r="AS11" s="180"/>
      <c r="AT11" s="180"/>
      <c r="AU11" s="180">
        <v>0</v>
      </c>
      <c r="AV11" s="180">
        <v>0</v>
      </c>
      <c r="AW11" s="180"/>
      <c r="AX11" s="180">
        <v>0</v>
      </c>
      <c r="AY11" s="180">
        <v>0</v>
      </c>
      <c r="AZ11" s="180"/>
      <c r="BA11" s="180">
        <v>0</v>
      </c>
      <c r="BB11" s="180">
        <v>0</v>
      </c>
      <c r="BC11" s="180"/>
      <c r="BD11" s="180">
        <v>0</v>
      </c>
      <c r="BE11" s="180">
        <v>0</v>
      </c>
      <c r="BF11" s="180"/>
      <c r="BG11" s="180"/>
      <c r="BH11" s="180">
        <v>0</v>
      </c>
      <c r="BI11" s="180">
        <v>0</v>
      </c>
      <c r="BJ11" s="180">
        <v>0</v>
      </c>
      <c r="BK11" s="180">
        <v>133703</v>
      </c>
      <c r="BL11" s="180">
        <v>0</v>
      </c>
      <c r="BM11" s="180">
        <v>0</v>
      </c>
      <c r="BN11" s="180">
        <v>1232791</v>
      </c>
      <c r="BO11" s="180">
        <v>0</v>
      </c>
      <c r="BP11" s="180">
        <v>0</v>
      </c>
      <c r="BQ11" s="180">
        <v>0</v>
      </c>
      <c r="BR11" s="180">
        <v>0</v>
      </c>
      <c r="BS11" s="180">
        <v>473139</v>
      </c>
      <c r="BT11" s="180">
        <v>3258</v>
      </c>
      <c r="BU11" s="180">
        <v>7500</v>
      </c>
      <c r="BV11" s="180">
        <v>0</v>
      </c>
      <c r="BW11" s="180">
        <v>0</v>
      </c>
      <c r="BX11" s="180"/>
      <c r="BY11" s="180">
        <v>0</v>
      </c>
      <c r="BZ11" s="180">
        <v>129423</v>
      </c>
      <c r="CA11" s="180">
        <v>0</v>
      </c>
      <c r="CB11" s="180"/>
      <c r="CC11" s="180"/>
      <c r="CD11" s="180"/>
      <c r="CE11" s="180"/>
      <c r="CF11" s="180"/>
      <c r="CG11" s="180"/>
      <c r="CH11" s="180"/>
      <c r="CI11" s="180"/>
      <c r="CJ11" s="180"/>
      <c r="CK11" s="180"/>
      <c r="CL11" s="180"/>
      <c r="CM11" s="180"/>
      <c r="CN11" s="180"/>
      <c r="CO11" s="180"/>
      <c r="CP11" s="180"/>
      <c r="CQ11" s="180"/>
      <c r="CR11" s="180"/>
      <c r="CS11" s="180"/>
      <c r="CT11" s="180"/>
      <c r="CU11" s="180"/>
    </row>
    <row r="12" spans="1:99" x14ac:dyDescent="0.3">
      <c r="A12" s="155">
        <v>22</v>
      </c>
      <c r="B12" s="180" t="s">
        <v>203</v>
      </c>
      <c r="C12" s="180"/>
      <c r="D12" s="180">
        <v>36245</v>
      </c>
      <c r="E12" s="180">
        <v>31222</v>
      </c>
      <c r="F12" s="180"/>
      <c r="G12" s="180">
        <v>1195270</v>
      </c>
      <c r="H12" s="180">
        <v>13800</v>
      </c>
      <c r="I12" s="180">
        <v>0</v>
      </c>
      <c r="J12" s="180">
        <v>0</v>
      </c>
      <c r="K12" s="180">
        <v>0</v>
      </c>
      <c r="L12" s="180">
        <v>0</v>
      </c>
      <c r="M12" s="180"/>
      <c r="N12" s="180">
        <v>0</v>
      </c>
      <c r="O12" s="180"/>
      <c r="P12" s="180">
        <v>106337</v>
      </c>
      <c r="Q12" s="180">
        <v>1524446</v>
      </c>
      <c r="R12" s="180">
        <v>85915</v>
      </c>
      <c r="S12" s="180">
        <v>0</v>
      </c>
      <c r="T12" s="180">
        <v>0</v>
      </c>
      <c r="U12" s="180">
        <v>0</v>
      </c>
      <c r="V12" s="180">
        <v>0</v>
      </c>
      <c r="W12" s="180">
        <v>0</v>
      </c>
      <c r="X12" s="180">
        <v>644342</v>
      </c>
      <c r="Y12" s="180">
        <v>0</v>
      </c>
      <c r="Z12" s="180">
        <v>0</v>
      </c>
      <c r="AA12" s="180">
        <v>0</v>
      </c>
      <c r="AB12" s="180">
        <v>0</v>
      </c>
      <c r="AC12" s="180">
        <v>0</v>
      </c>
      <c r="AD12" s="180">
        <v>0</v>
      </c>
      <c r="AE12" s="180">
        <v>0</v>
      </c>
      <c r="AF12" s="180">
        <v>0</v>
      </c>
      <c r="AG12" s="180">
        <v>0</v>
      </c>
      <c r="AH12" s="180">
        <v>0</v>
      </c>
      <c r="AI12" s="180">
        <v>0</v>
      </c>
      <c r="AJ12" s="180">
        <v>114454</v>
      </c>
      <c r="AK12" s="180">
        <v>15700</v>
      </c>
      <c r="AL12" s="180">
        <v>0</v>
      </c>
      <c r="AM12" s="180">
        <v>165011</v>
      </c>
      <c r="AN12" s="180">
        <v>0</v>
      </c>
      <c r="AO12" s="180"/>
      <c r="AP12" s="180">
        <v>0</v>
      </c>
      <c r="AQ12" s="180">
        <v>256217</v>
      </c>
      <c r="AR12" s="180"/>
      <c r="AS12" s="180"/>
      <c r="AT12" s="180"/>
      <c r="AU12" s="180">
        <v>0</v>
      </c>
      <c r="AV12" s="180">
        <v>0</v>
      </c>
      <c r="AW12" s="180"/>
      <c r="AX12" s="180">
        <v>0</v>
      </c>
      <c r="AY12" s="180">
        <v>0</v>
      </c>
      <c r="AZ12" s="180"/>
      <c r="BA12" s="180">
        <v>0</v>
      </c>
      <c r="BB12" s="180">
        <v>0</v>
      </c>
      <c r="BC12" s="180"/>
      <c r="BD12" s="180">
        <v>0</v>
      </c>
      <c r="BE12" s="180">
        <v>0</v>
      </c>
      <c r="BF12" s="180"/>
      <c r="BG12" s="180"/>
      <c r="BH12" s="180">
        <v>0</v>
      </c>
      <c r="BI12" s="180">
        <v>0</v>
      </c>
      <c r="BJ12" s="180">
        <v>0</v>
      </c>
      <c r="BK12" s="180">
        <v>344158</v>
      </c>
      <c r="BL12" s="180">
        <v>0</v>
      </c>
      <c r="BM12" s="180">
        <v>0</v>
      </c>
      <c r="BN12" s="180">
        <v>107130</v>
      </c>
      <c r="BO12" s="180">
        <v>5606</v>
      </c>
      <c r="BP12" s="180">
        <v>0</v>
      </c>
      <c r="BQ12" s="180">
        <v>8260</v>
      </c>
      <c r="BR12" s="180">
        <v>0</v>
      </c>
      <c r="BS12" s="180">
        <v>379847</v>
      </c>
      <c r="BT12" s="180">
        <v>0</v>
      </c>
      <c r="BU12" s="180">
        <v>0</v>
      </c>
      <c r="BV12" s="180">
        <v>34638</v>
      </c>
      <c r="BW12" s="180">
        <v>0</v>
      </c>
      <c r="BX12" s="180"/>
      <c r="BY12" s="180">
        <v>0</v>
      </c>
      <c r="BZ12" s="180">
        <v>0</v>
      </c>
      <c r="CA12" s="180">
        <v>0</v>
      </c>
      <c r="CB12" s="180"/>
      <c r="CC12" s="180"/>
      <c r="CD12" s="180"/>
      <c r="CE12" s="180"/>
      <c r="CF12" s="180"/>
      <c r="CG12" s="180"/>
      <c r="CH12" s="180"/>
      <c r="CI12" s="180"/>
      <c r="CJ12" s="180"/>
      <c r="CK12" s="180"/>
      <c r="CL12" s="180"/>
      <c r="CM12" s="180"/>
      <c r="CN12" s="180"/>
      <c r="CO12" s="180"/>
      <c r="CP12" s="180"/>
      <c r="CQ12" s="180"/>
      <c r="CR12" s="180"/>
      <c r="CS12" s="180"/>
      <c r="CT12" s="180"/>
      <c r="CU12" s="180"/>
    </row>
    <row r="13" spans="1:99" x14ac:dyDescent="0.3">
      <c r="A13" s="155">
        <v>23</v>
      </c>
      <c r="B13" s="180" t="s">
        <v>206</v>
      </c>
      <c r="C13" s="180"/>
      <c r="D13" s="180">
        <v>49336</v>
      </c>
      <c r="E13" s="180">
        <v>2242192</v>
      </c>
      <c r="F13" s="180"/>
      <c r="G13" s="180">
        <v>1312806</v>
      </c>
      <c r="H13" s="180">
        <v>-299225</v>
      </c>
      <c r="I13" s="180">
        <v>20275</v>
      </c>
      <c r="J13" s="180">
        <v>100832</v>
      </c>
      <c r="K13" s="180">
        <v>27564</v>
      </c>
      <c r="L13" s="180">
        <v>24263702</v>
      </c>
      <c r="M13" s="180"/>
      <c r="N13" s="180">
        <v>27343</v>
      </c>
      <c r="O13" s="180"/>
      <c r="P13" s="180">
        <v>6840041</v>
      </c>
      <c r="Q13" s="180">
        <v>7128377</v>
      </c>
      <c r="R13" s="180">
        <v>644525</v>
      </c>
      <c r="S13" s="180">
        <v>1736586</v>
      </c>
      <c r="T13" s="180">
        <v>84805</v>
      </c>
      <c r="U13" s="180">
        <v>5174121</v>
      </c>
      <c r="V13" s="180">
        <v>-10244</v>
      </c>
      <c r="W13" s="180">
        <v>-203224</v>
      </c>
      <c r="X13" s="180">
        <v>2620883</v>
      </c>
      <c r="Y13" s="180">
        <v>844708</v>
      </c>
      <c r="Z13" s="180">
        <v>75316</v>
      </c>
      <c r="AA13" s="180">
        <v>84655</v>
      </c>
      <c r="AB13" s="180">
        <v>207267</v>
      </c>
      <c r="AC13" s="180">
        <v>109978</v>
      </c>
      <c r="AD13" s="180">
        <v>136753</v>
      </c>
      <c r="AE13" s="180">
        <v>225053</v>
      </c>
      <c r="AF13" s="180">
        <v>38666</v>
      </c>
      <c r="AG13" s="180">
        <v>2439</v>
      </c>
      <c r="AH13" s="180">
        <v>3447</v>
      </c>
      <c r="AI13" s="180">
        <v>-180751</v>
      </c>
      <c r="AJ13" s="180">
        <v>418233</v>
      </c>
      <c r="AK13" s="180">
        <v>63798</v>
      </c>
      <c r="AL13" s="180">
        <v>1110</v>
      </c>
      <c r="AM13" s="180">
        <v>-657478</v>
      </c>
      <c r="AN13" s="180">
        <v>2438875</v>
      </c>
      <c r="AO13" s="180"/>
      <c r="AP13" s="180">
        <v>1775270</v>
      </c>
      <c r="AQ13" s="180">
        <v>1347111</v>
      </c>
      <c r="AR13" s="180"/>
      <c r="AS13" s="180"/>
      <c r="AT13" s="180"/>
      <c r="AU13" s="180">
        <v>1277690</v>
      </c>
      <c r="AV13" s="180">
        <v>43386</v>
      </c>
      <c r="AW13" s="180"/>
      <c r="AX13" s="180">
        <v>95595</v>
      </c>
      <c r="AY13" s="180">
        <v>524773</v>
      </c>
      <c r="AZ13" s="180"/>
      <c r="BA13" s="180">
        <v>57275</v>
      </c>
      <c r="BB13" s="180">
        <v>366553</v>
      </c>
      <c r="BC13" s="180"/>
      <c r="BD13" s="180">
        <v>7898</v>
      </c>
      <c r="BE13" s="180">
        <v>2212854</v>
      </c>
      <c r="BF13" s="180"/>
      <c r="BG13" s="180"/>
      <c r="BH13" s="180">
        <v>-106064</v>
      </c>
      <c r="BI13" s="180">
        <v>869365</v>
      </c>
      <c r="BJ13" s="180">
        <v>49363</v>
      </c>
      <c r="BK13" s="180">
        <v>920085</v>
      </c>
      <c r="BL13" s="180">
        <v>223400</v>
      </c>
      <c r="BM13" s="180">
        <v>16315</v>
      </c>
      <c r="BN13" s="180">
        <v>754723</v>
      </c>
      <c r="BO13" s="180">
        <v>727788</v>
      </c>
      <c r="BP13" s="180">
        <v>133658</v>
      </c>
      <c r="BQ13" s="180">
        <v>1523463</v>
      </c>
      <c r="BR13" s="180">
        <v>437732</v>
      </c>
      <c r="BS13" s="180">
        <v>6302610</v>
      </c>
      <c r="BT13" s="180">
        <v>-60585</v>
      </c>
      <c r="BU13" s="180">
        <v>306535</v>
      </c>
      <c r="BV13" s="180">
        <v>90110</v>
      </c>
      <c r="BW13" s="180">
        <v>133809</v>
      </c>
      <c r="BX13" s="180"/>
      <c r="BY13" s="180">
        <v>3788</v>
      </c>
      <c r="BZ13" s="180">
        <v>5008192</v>
      </c>
      <c r="CA13" s="180">
        <v>4330</v>
      </c>
      <c r="CB13" s="180"/>
      <c r="CC13" s="180"/>
      <c r="CD13" s="180"/>
      <c r="CE13" s="180"/>
      <c r="CF13" s="180"/>
      <c r="CG13" s="180"/>
      <c r="CH13" s="180"/>
      <c r="CI13" s="180"/>
      <c r="CJ13" s="180"/>
      <c r="CK13" s="180"/>
      <c r="CL13" s="180"/>
      <c r="CM13" s="180"/>
      <c r="CN13" s="180"/>
      <c r="CO13" s="180"/>
      <c r="CP13" s="180"/>
      <c r="CQ13" s="180"/>
      <c r="CR13" s="180"/>
      <c r="CS13" s="180"/>
      <c r="CT13" s="180"/>
      <c r="CU13" s="180"/>
    </row>
    <row r="14" spans="1:99" s="560" customFormat="1" x14ac:dyDescent="0.3">
      <c r="A14" s="559">
        <v>44</v>
      </c>
      <c r="B14" s="560" t="s">
        <v>909</v>
      </c>
      <c r="D14" s="560">
        <v>0</v>
      </c>
      <c r="E14" s="560">
        <v>0</v>
      </c>
      <c r="G14" s="560">
        <v>59157562</v>
      </c>
      <c r="H14" s="560">
        <v>10239148</v>
      </c>
      <c r="I14" s="560">
        <v>253619</v>
      </c>
      <c r="J14" s="560">
        <v>6558780</v>
      </c>
      <c r="K14" s="560">
        <v>1195527</v>
      </c>
      <c r="L14" s="560">
        <v>19843565</v>
      </c>
      <c r="N14" s="560">
        <v>1788319</v>
      </c>
      <c r="P14" s="560">
        <v>0</v>
      </c>
      <c r="Q14" s="560">
        <v>9264382</v>
      </c>
      <c r="R14" s="560">
        <v>8804312</v>
      </c>
      <c r="S14" s="560">
        <v>8346745</v>
      </c>
      <c r="T14" s="560">
        <v>74484</v>
      </c>
      <c r="U14" s="560">
        <v>14864001</v>
      </c>
      <c r="V14" s="560">
        <v>0</v>
      </c>
      <c r="W14" s="560">
        <v>0</v>
      </c>
      <c r="X14" s="560">
        <v>0</v>
      </c>
      <c r="Y14" s="560">
        <v>4078395</v>
      </c>
      <c r="Z14" s="560">
        <v>1585180</v>
      </c>
      <c r="AA14" s="560">
        <v>2328448</v>
      </c>
      <c r="AB14" s="560">
        <v>0</v>
      </c>
      <c r="AC14" s="560">
        <v>115006</v>
      </c>
      <c r="AD14" s="560">
        <v>2429679</v>
      </c>
      <c r="AE14" s="560">
        <v>2703829</v>
      </c>
      <c r="AF14" s="560">
        <v>51072</v>
      </c>
      <c r="AG14" s="560">
        <v>0</v>
      </c>
      <c r="AH14" s="560">
        <v>0</v>
      </c>
      <c r="AI14" s="560">
        <v>0</v>
      </c>
      <c r="AJ14" s="560">
        <v>4154565</v>
      </c>
      <c r="AK14" s="560">
        <v>187058</v>
      </c>
      <c r="AL14" s="560">
        <v>0</v>
      </c>
      <c r="AM14" s="560">
        <v>0</v>
      </c>
      <c r="AN14" s="560">
        <v>12464696</v>
      </c>
      <c r="AP14" s="560">
        <v>0</v>
      </c>
      <c r="AQ14" s="560">
        <v>8228952</v>
      </c>
      <c r="AU14" s="560">
        <v>8450301</v>
      </c>
      <c r="AV14" s="560">
        <v>1401667</v>
      </c>
      <c r="AX14" s="560">
        <v>3008673</v>
      </c>
      <c r="AY14" s="560">
        <v>1583112</v>
      </c>
      <c r="BA14" s="560">
        <v>5335</v>
      </c>
      <c r="BB14" s="560">
        <v>827628</v>
      </c>
      <c r="BD14" s="560">
        <v>0</v>
      </c>
      <c r="BE14" s="560">
        <v>9822629</v>
      </c>
      <c r="BH14" s="560">
        <v>992460</v>
      </c>
      <c r="BI14" s="560">
        <v>2666211</v>
      </c>
      <c r="BJ14" s="560">
        <v>272056</v>
      </c>
      <c r="BK14" s="560">
        <v>6255378</v>
      </c>
      <c r="BL14" s="560">
        <v>8981882</v>
      </c>
      <c r="BM14" s="560">
        <v>0</v>
      </c>
      <c r="BN14" s="560">
        <v>3291999</v>
      </c>
      <c r="BO14" s="560">
        <v>4121378</v>
      </c>
      <c r="BP14" s="560">
        <v>1644161</v>
      </c>
      <c r="BQ14" s="560">
        <v>3057112</v>
      </c>
      <c r="BR14" s="560">
        <v>0</v>
      </c>
      <c r="BS14" s="560">
        <v>0</v>
      </c>
      <c r="BT14" s="560">
        <v>1199833</v>
      </c>
      <c r="BU14" s="560">
        <v>2790993</v>
      </c>
      <c r="BV14" s="560">
        <v>789500</v>
      </c>
      <c r="BW14" s="560">
        <v>1800953</v>
      </c>
      <c r="BY14" s="560">
        <v>0</v>
      </c>
      <c r="BZ14" s="560">
        <v>11173521</v>
      </c>
      <c r="CA14" s="560">
        <v>0</v>
      </c>
    </row>
    <row r="15" spans="1:99" s="560" customFormat="1" x14ac:dyDescent="0.3">
      <c r="A15" s="559">
        <v>45</v>
      </c>
      <c r="B15" s="560" t="s">
        <v>910</v>
      </c>
      <c r="D15" s="560">
        <v>0</v>
      </c>
      <c r="E15" s="560">
        <v>0</v>
      </c>
      <c r="G15" s="560">
        <v>15591761</v>
      </c>
      <c r="H15" s="560">
        <v>322128</v>
      </c>
      <c r="I15" s="560">
        <v>36243</v>
      </c>
      <c r="J15" s="560">
        <v>9779</v>
      </c>
      <c r="K15" s="560">
        <v>349315</v>
      </c>
      <c r="L15" s="560">
        <v>6241525</v>
      </c>
      <c r="N15" s="560">
        <v>20340</v>
      </c>
      <c r="P15" s="560">
        <v>0</v>
      </c>
      <c r="Q15" s="560">
        <v>1049367</v>
      </c>
      <c r="R15" s="560">
        <v>952021</v>
      </c>
      <c r="S15" s="560">
        <v>1996257</v>
      </c>
      <c r="T15" s="560">
        <v>134173</v>
      </c>
      <c r="U15" s="560">
        <v>2381679</v>
      </c>
      <c r="V15" s="560">
        <v>0</v>
      </c>
      <c r="W15" s="560">
        <v>0</v>
      </c>
      <c r="X15" s="560">
        <v>0</v>
      </c>
      <c r="Y15" s="560">
        <v>797620</v>
      </c>
      <c r="Z15" s="560">
        <v>55362</v>
      </c>
      <c r="AA15" s="560">
        <v>991283</v>
      </c>
      <c r="AB15" s="560">
        <v>0</v>
      </c>
      <c r="AC15" s="560">
        <v>32477</v>
      </c>
      <c r="AD15" s="560">
        <v>192210</v>
      </c>
      <c r="AE15" s="560">
        <v>304805</v>
      </c>
      <c r="AF15" s="560">
        <v>7475</v>
      </c>
      <c r="AG15" s="560">
        <v>0</v>
      </c>
      <c r="AH15" s="560">
        <v>0</v>
      </c>
      <c r="AI15" s="560">
        <v>0</v>
      </c>
      <c r="AJ15" s="560">
        <v>1491008</v>
      </c>
      <c r="AK15" s="560">
        <v>62817</v>
      </c>
      <c r="AL15" s="560">
        <v>0</v>
      </c>
      <c r="AM15" s="560">
        <v>0</v>
      </c>
      <c r="AN15" s="560">
        <v>1924131</v>
      </c>
      <c r="AP15" s="560">
        <v>0</v>
      </c>
      <c r="AQ15" s="560">
        <v>1067235</v>
      </c>
      <c r="AU15" s="560">
        <v>1251336</v>
      </c>
      <c r="AV15" s="560">
        <v>35777</v>
      </c>
      <c r="AX15" s="560">
        <v>70894</v>
      </c>
      <c r="AY15" s="560">
        <v>87804</v>
      </c>
      <c r="BA15" s="560">
        <v>37846</v>
      </c>
      <c r="BB15" s="560">
        <v>160025</v>
      </c>
      <c r="BD15" s="560">
        <v>0</v>
      </c>
      <c r="BE15" s="560">
        <v>3776011</v>
      </c>
      <c r="BH15" s="560">
        <v>396433</v>
      </c>
      <c r="BI15" s="560">
        <v>192495</v>
      </c>
      <c r="BJ15" s="560">
        <v>172872</v>
      </c>
      <c r="BK15" s="560">
        <v>170835</v>
      </c>
      <c r="BL15" s="560">
        <v>525246</v>
      </c>
      <c r="BM15" s="560">
        <v>0</v>
      </c>
      <c r="BN15" s="560">
        <v>386801</v>
      </c>
      <c r="BO15" s="560">
        <v>49524</v>
      </c>
      <c r="BP15" s="560">
        <v>40539</v>
      </c>
      <c r="BQ15" s="560">
        <v>213564</v>
      </c>
      <c r="BR15" s="560">
        <v>0</v>
      </c>
      <c r="BS15" s="560">
        <v>0</v>
      </c>
      <c r="BT15" s="560">
        <v>130735</v>
      </c>
      <c r="BU15" s="560">
        <v>349358</v>
      </c>
      <c r="BV15" s="560">
        <v>96441</v>
      </c>
      <c r="BW15" s="560">
        <v>129085</v>
      </c>
      <c r="BY15" s="560">
        <v>0</v>
      </c>
      <c r="BZ15" s="560">
        <v>3753181</v>
      </c>
      <c r="CA15" s="560">
        <v>0</v>
      </c>
    </row>
    <row r="16" spans="1:99" s="560" customFormat="1" x14ac:dyDescent="0.3">
      <c r="A16" s="559">
        <v>47</v>
      </c>
      <c r="B16" s="560" t="s">
        <v>911</v>
      </c>
      <c r="D16" s="560">
        <v>0</v>
      </c>
      <c r="E16" s="560">
        <v>0</v>
      </c>
      <c r="G16" s="560">
        <v>0</v>
      </c>
      <c r="H16" s="560">
        <v>0</v>
      </c>
      <c r="I16" s="560">
        <v>0</v>
      </c>
      <c r="J16" s="560">
        <v>0</v>
      </c>
      <c r="K16" s="560">
        <v>0</v>
      </c>
      <c r="L16" s="560">
        <v>0</v>
      </c>
      <c r="N16" s="560">
        <v>0</v>
      </c>
      <c r="P16" s="560">
        <v>0</v>
      </c>
      <c r="Q16" s="560">
        <v>0</v>
      </c>
      <c r="R16" s="560">
        <v>0</v>
      </c>
      <c r="S16" s="560">
        <v>4722443</v>
      </c>
      <c r="T16" s="560">
        <v>0</v>
      </c>
      <c r="U16" s="560">
        <v>42419749</v>
      </c>
      <c r="V16" s="560">
        <v>0</v>
      </c>
      <c r="W16" s="560">
        <v>0</v>
      </c>
      <c r="X16" s="560">
        <v>0</v>
      </c>
      <c r="Y16" s="560">
        <v>0</v>
      </c>
      <c r="Z16" s="560">
        <v>1282182</v>
      </c>
      <c r="AA16" s="560">
        <v>0</v>
      </c>
      <c r="AB16" s="560">
        <v>0</v>
      </c>
      <c r="AC16" s="560">
        <v>0</v>
      </c>
      <c r="AD16" s="560">
        <v>0</v>
      </c>
      <c r="AE16" s="560">
        <v>2937560</v>
      </c>
      <c r="AF16" s="560">
        <v>0</v>
      </c>
      <c r="AG16" s="560">
        <v>0</v>
      </c>
      <c r="AH16" s="560">
        <v>0</v>
      </c>
      <c r="AI16" s="560">
        <v>0</v>
      </c>
      <c r="AJ16" s="560">
        <v>4954291</v>
      </c>
      <c r="AK16" s="560">
        <v>0</v>
      </c>
      <c r="AL16" s="560">
        <v>0</v>
      </c>
      <c r="AM16" s="560">
        <v>0</v>
      </c>
      <c r="AN16" s="560">
        <v>0</v>
      </c>
      <c r="AP16" s="560">
        <v>0</v>
      </c>
      <c r="AQ16" s="560">
        <v>24443460</v>
      </c>
      <c r="AU16" s="560">
        <v>3335706</v>
      </c>
      <c r="AV16" s="560">
        <v>0</v>
      </c>
      <c r="AX16" s="560">
        <v>0</v>
      </c>
      <c r="AY16" s="560">
        <v>0</v>
      </c>
      <c r="BA16" s="560">
        <v>0</v>
      </c>
      <c r="BB16" s="560">
        <v>0</v>
      </c>
      <c r="BD16" s="560">
        <v>0</v>
      </c>
      <c r="BE16" s="560">
        <v>14463323</v>
      </c>
      <c r="BH16" s="560">
        <v>0</v>
      </c>
      <c r="BI16" s="560">
        <v>0</v>
      </c>
      <c r="BJ16" s="560">
        <v>0</v>
      </c>
      <c r="BK16" s="560">
        <v>3989422</v>
      </c>
      <c r="BL16" s="560">
        <v>0</v>
      </c>
      <c r="BM16" s="560">
        <v>0</v>
      </c>
      <c r="BN16" s="560">
        <v>0</v>
      </c>
      <c r="BO16" s="560">
        <v>0</v>
      </c>
      <c r="BP16" s="560">
        <v>0</v>
      </c>
      <c r="BQ16" s="560">
        <v>0</v>
      </c>
      <c r="BR16" s="560">
        <v>0</v>
      </c>
      <c r="BS16" s="560">
        <v>0</v>
      </c>
      <c r="BT16" s="560">
        <v>0</v>
      </c>
      <c r="BU16" s="560">
        <v>0</v>
      </c>
      <c r="BV16" s="560">
        <v>0</v>
      </c>
      <c r="BW16" s="560">
        <v>0</v>
      </c>
      <c r="BY16" s="560">
        <v>0</v>
      </c>
      <c r="BZ16" s="560">
        <v>0</v>
      </c>
      <c r="CA16" s="560">
        <v>0</v>
      </c>
    </row>
    <row r="17" spans="1:99" s="560" customFormat="1" x14ac:dyDescent="0.3">
      <c r="A17" s="559">
        <v>48</v>
      </c>
      <c r="B17" s="560" t="s">
        <v>115</v>
      </c>
      <c r="D17" s="560">
        <v>0</v>
      </c>
      <c r="E17" s="560">
        <v>0</v>
      </c>
      <c r="G17" s="560">
        <v>0</v>
      </c>
      <c r="H17" s="560">
        <v>0</v>
      </c>
      <c r="I17" s="560">
        <v>0</v>
      </c>
      <c r="J17" s="560">
        <v>0</v>
      </c>
      <c r="K17" s="560">
        <v>0</v>
      </c>
      <c r="L17" s="560">
        <v>0</v>
      </c>
      <c r="N17" s="560">
        <v>0</v>
      </c>
      <c r="P17" s="560">
        <v>0</v>
      </c>
      <c r="Q17" s="560">
        <v>0</v>
      </c>
      <c r="R17" s="560">
        <v>0</v>
      </c>
      <c r="S17" s="560">
        <v>1580297</v>
      </c>
      <c r="T17" s="560">
        <v>0</v>
      </c>
      <c r="U17" s="560">
        <v>1837837</v>
      </c>
      <c r="V17" s="560">
        <v>0</v>
      </c>
      <c r="W17" s="560">
        <v>0</v>
      </c>
      <c r="X17" s="560">
        <v>0</v>
      </c>
      <c r="Y17" s="560">
        <v>0</v>
      </c>
      <c r="Z17" s="560">
        <v>760916</v>
      </c>
      <c r="AA17" s="560">
        <v>333900</v>
      </c>
      <c r="AB17" s="560">
        <v>0</v>
      </c>
      <c r="AC17" s="560">
        <v>0</v>
      </c>
      <c r="AD17" s="560">
        <v>0</v>
      </c>
      <c r="AE17" s="560">
        <v>477797</v>
      </c>
      <c r="AF17" s="560">
        <v>0</v>
      </c>
      <c r="AG17" s="560">
        <v>0</v>
      </c>
      <c r="AH17" s="560">
        <v>0</v>
      </c>
      <c r="AI17" s="560">
        <v>0</v>
      </c>
      <c r="AJ17" s="560">
        <v>2082589</v>
      </c>
      <c r="AK17" s="560">
        <v>0</v>
      </c>
      <c r="AL17" s="560">
        <v>0</v>
      </c>
      <c r="AM17" s="560">
        <v>0</v>
      </c>
      <c r="AN17" s="560">
        <v>0</v>
      </c>
      <c r="AP17" s="560">
        <v>0</v>
      </c>
      <c r="AQ17" s="560">
        <v>4768395</v>
      </c>
      <c r="AU17" s="560">
        <v>638525</v>
      </c>
      <c r="AV17" s="560">
        <v>0</v>
      </c>
      <c r="AX17" s="560">
        <v>0</v>
      </c>
      <c r="AY17" s="560">
        <v>0</v>
      </c>
      <c r="BA17" s="560">
        <v>0</v>
      </c>
      <c r="BB17" s="560">
        <v>0</v>
      </c>
      <c r="BD17" s="560">
        <v>0</v>
      </c>
      <c r="BE17" s="560">
        <v>2536908</v>
      </c>
      <c r="BH17" s="560">
        <v>0</v>
      </c>
      <c r="BI17" s="560">
        <v>0</v>
      </c>
      <c r="BJ17" s="560">
        <v>0</v>
      </c>
      <c r="BK17" s="560">
        <v>20894</v>
      </c>
      <c r="BL17" s="560">
        <v>0</v>
      </c>
      <c r="BM17" s="560">
        <v>0</v>
      </c>
      <c r="BN17" s="560">
        <v>0</v>
      </c>
      <c r="BO17" s="560">
        <v>0</v>
      </c>
      <c r="BP17" s="560">
        <v>0</v>
      </c>
      <c r="BQ17" s="560">
        <v>0</v>
      </c>
      <c r="BR17" s="560">
        <v>0</v>
      </c>
      <c r="BS17" s="560">
        <v>0</v>
      </c>
      <c r="BT17" s="560">
        <v>0</v>
      </c>
      <c r="BU17" s="560">
        <v>0</v>
      </c>
      <c r="BV17" s="560">
        <v>0</v>
      </c>
      <c r="BW17" s="560">
        <v>0</v>
      </c>
      <c r="BY17" s="560">
        <v>0</v>
      </c>
      <c r="BZ17" s="560">
        <v>0</v>
      </c>
      <c r="CA17" s="560">
        <v>0</v>
      </c>
    </row>
    <row r="18" spans="1:99" x14ac:dyDescent="0.3">
      <c r="A18" s="155">
        <v>49</v>
      </c>
      <c r="B18" s="180" t="s">
        <v>219</v>
      </c>
      <c r="C18" s="180"/>
      <c r="D18" s="180">
        <v>0</v>
      </c>
      <c r="E18" s="180">
        <v>0</v>
      </c>
      <c r="F18" s="180"/>
      <c r="G18" s="180">
        <v>8551442</v>
      </c>
      <c r="H18" s="180">
        <v>715830</v>
      </c>
      <c r="I18" s="180">
        <v>28022</v>
      </c>
      <c r="J18" s="180">
        <v>230766</v>
      </c>
      <c r="K18" s="180">
        <v>165175</v>
      </c>
      <c r="L18" s="180">
        <v>3637780</v>
      </c>
      <c r="M18" s="180"/>
      <c r="N18" s="180">
        <v>134602</v>
      </c>
      <c r="O18" s="180"/>
      <c r="P18" s="180">
        <v>0</v>
      </c>
      <c r="Q18" s="180">
        <v>711210</v>
      </c>
      <c r="R18" s="180">
        <v>1039679</v>
      </c>
      <c r="S18" s="180">
        <v>2918472</v>
      </c>
      <c r="T18" s="180">
        <v>89418</v>
      </c>
      <c r="U18" s="180">
        <v>2865414</v>
      </c>
      <c r="V18" s="180">
        <v>0</v>
      </c>
      <c r="W18" s="180">
        <v>0</v>
      </c>
      <c r="X18" s="180">
        <v>0</v>
      </c>
      <c r="Y18" s="180">
        <v>386377</v>
      </c>
      <c r="Z18" s="180">
        <v>334919</v>
      </c>
      <c r="AA18" s="180">
        <v>339340</v>
      </c>
      <c r="AB18" s="180">
        <v>0</v>
      </c>
      <c r="AC18" s="180">
        <v>6741</v>
      </c>
      <c r="AD18" s="180">
        <v>307898</v>
      </c>
      <c r="AE18" s="180">
        <v>557393</v>
      </c>
      <c r="AF18" s="180">
        <v>26927</v>
      </c>
      <c r="AG18" s="180">
        <v>0</v>
      </c>
      <c r="AH18" s="180">
        <v>0</v>
      </c>
      <c r="AI18" s="180">
        <v>0</v>
      </c>
      <c r="AJ18" s="180">
        <v>1635201</v>
      </c>
      <c r="AK18" s="180">
        <v>44598</v>
      </c>
      <c r="AL18" s="180">
        <v>0</v>
      </c>
      <c r="AM18" s="180">
        <v>0</v>
      </c>
      <c r="AN18" s="180">
        <v>1637246</v>
      </c>
      <c r="AO18" s="180"/>
      <c r="AP18" s="180">
        <v>0</v>
      </c>
      <c r="AQ18" s="180">
        <v>1469398</v>
      </c>
      <c r="AR18" s="180"/>
      <c r="AS18" s="180"/>
      <c r="AT18" s="180"/>
      <c r="AU18" s="180">
        <v>2016779</v>
      </c>
      <c r="AV18" s="180">
        <v>56469</v>
      </c>
      <c r="AW18" s="180"/>
      <c r="AX18" s="180">
        <v>348164</v>
      </c>
      <c r="AY18" s="180">
        <v>345947</v>
      </c>
      <c r="AZ18" s="180"/>
      <c r="BA18" s="180">
        <v>0</v>
      </c>
      <c r="BB18" s="180">
        <v>171085</v>
      </c>
      <c r="BC18" s="180"/>
      <c r="BD18" s="180">
        <v>0</v>
      </c>
      <c r="BE18" s="180">
        <v>1981667</v>
      </c>
      <c r="BF18" s="180"/>
      <c r="BG18" s="180"/>
      <c r="BH18" s="180">
        <v>296163</v>
      </c>
      <c r="BI18" s="180">
        <v>186431</v>
      </c>
      <c r="BJ18" s="180">
        <v>280805</v>
      </c>
      <c r="BK18" s="180">
        <v>402034</v>
      </c>
      <c r="BL18" s="180">
        <v>339171</v>
      </c>
      <c r="BM18" s="180">
        <v>0</v>
      </c>
      <c r="BN18" s="180">
        <v>900711</v>
      </c>
      <c r="BO18" s="180">
        <v>330553</v>
      </c>
      <c r="BP18" s="180">
        <v>317135</v>
      </c>
      <c r="BQ18" s="180">
        <v>418948</v>
      </c>
      <c r="BR18" s="180">
        <v>0</v>
      </c>
      <c r="BS18" s="180">
        <v>0</v>
      </c>
      <c r="BT18" s="180">
        <v>236452</v>
      </c>
      <c r="BU18" s="180">
        <v>547701</v>
      </c>
      <c r="BV18" s="180">
        <v>186738</v>
      </c>
      <c r="BW18" s="180">
        <v>45281</v>
      </c>
      <c r="BX18" s="180"/>
      <c r="BY18" s="180">
        <v>0</v>
      </c>
      <c r="BZ18" s="180">
        <v>1710866</v>
      </c>
      <c r="CA18" s="180">
        <v>0</v>
      </c>
      <c r="CB18" s="180"/>
      <c r="CC18" s="180"/>
      <c r="CD18" s="180"/>
      <c r="CE18" s="180"/>
      <c r="CF18" s="180"/>
      <c r="CG18" s="180"/>
      <c r="CH18" s="180"/>
      <c r="CI18" s="180"/>
      <c r="CJ18" s="180"/>
      <c r="CK18" s="180"/>
      <c r="CL18" s="180"/>
      <c r="CM18" s="180"/>
      <c r="CN18" s="180"/>
      <c r="CO18" s="180"/>
      <c r="CP18" s="180"/>
      <c r="CQ18" s="180"/>
      <c r="CR18" s="180"/>
      <c r="CS18" s="180"/>
      <c r="CT18" s="180"/>
      <c r="CU18" s="180"/>
    </row>
    <row r="19" spans="1:99" x14ac:dyDescent="0.3">
      <c r="A19" s="155">
        <v>50</v>
      </c>
      <c r="B19" s="180" t="s">
        <v>92</v>
      </c>
      <c r="C19" s="180"/>
      <c r="D19" s="180">
        <v>0</v>
      </c>
      <c r="E19" s="180">
        <v>0</v>
      </c>
      <c r="F19" s="180"/>
      <c r="G19" s="180">
        <v>4987861</v>
      </c>
      <c r="H19" s="180">
        <v>930317</v>
      </c>
      <c r="I19" s="180">
        <v>123542</v>
      </c>
      <c r="J19" s="180">
        <v>-107723</v>
      </c>
      <c r="K19" s="180">
        <v>1442567</v>
      </c>
      <c r="L19" s="180">
        <v>6190668</v>
      </c>
      <c r="M19" s="180"/>
      <c r="N19" s="180">
        <v>-166483</v>
      </c>
      <c r="O19" s="180"/>
      <c r="P19" s="180">
        <v>0</v>
      </c>
      <c r="Q19" s="180">
        <v>1593947</v>
      </c>
      <c r="R19" s="180">
        <v>611103</v>
      </c>
      <c r="S19" s="180">
        <v>145157</v>
      </c>
      <c r="T19" s="180">
        <v>94077</v>
      </c>
      <c r="U19" s="180">
        <v>2632397</v>
      </c>
      <c r="V19" s="180">
        <v>0</v>
      </c>
      <c r="W19" s="180">
        <v>0</v>
      </c>
      <c r="X19" s="180">
        <v>-38450</v>
      </c>
      <c r="Y19" s="180">
        <v>384182</v>
      </c>
      <c r="Z19" s="180">
        <v>582151</v>
      </c>
      <c r="AA19" s="180">
        <v>1195936</v>
      </c>
      <c r="AB19" s="180">
        <v>0</v>
      </c>
      <c r="AC19" s="180">
        <v>37880</v>
      </c>
      <c r="AD19" s="180">
        <v>358576</v>
      </c>
      <c r="AE19" s="180">
        <v>420585</v>
      </c>
      <c r="AF19" s="180">
        <v>-31663</v>
      </c>
      <c r="AG19" s="180">
        <v>0</v>
      </c>
      <c r="AH19" s="180">
        <v>0</v>
      </c>
      <c r="AI19" s="180">
        <v>-927871</v>
      </c>
      <c r="AJ19" s="180">
        <v>-199514</v>
      </c>
      <c r="AK19" s="180">
        <v>-68032</v>
      </c>
      <c r="AL19" s="180">
        <v>0</v>
      </c>
      <c r="AM19" s="180">
        <v>0</v>
      </c>
      <c r="AN19" s="180">
        <v>1568225</v>
      </c>
      <c r="AO19" s="180"/>
      <c r="AP19" s="180">
        <v>0</v>
      </c>
      <c r="AQ19" s="180">
        <v>569982</v>
      </c>
      <c r="AR19" s="180"/>
      <c r="AS19" s="180"/>
      <c r="AT19" s="180"/>
      <c r="AU19" s="180">
        <v>913738</v>
      </c>
      <c r="AV19" s="180">
        <v>67536</v>
      </c>
      <c r="AW19" s="180"/>
      <c r="AX19" s="180">
        <v>1220552</v>
      </c>
      <c r="AY19" s="180">
        <v>-142976</v>
      </c>
      <c r="AZ19" s="180"/>
      <c r="BA19" s="180">
        <v>-4335</v>
      </c>
      <c r="BB19" s="180">
        <v>83826</v>
      </c>
      <c r="BC19" s="180"/>
      <c r="BD19" s="180">
        <v>0</v>
      </c>
      <c r="BE19" s="180">
        <v>5877048</v>
      </c>
      <c r="BF19" s="180"/>
      <c r="BG19" s="180"/>
      <c r="BH19" s="180">
        <v>70345</v>
      </c>
      <c r="BI19" s="180">
        <v>298494</v>
      </c>
      <c r="BJ19" s="180">
        <v>816087</v>
      </c>
      <c r="BK19" s="180">
        <v>-336645</v>
      </c>
      <c r="BL19" s="180">
        <v>9496</v>
      </c>
      <c r="BM19" s="180">
        <v>0</v>
      </c>
      <c r="BN19" s="180">
        <v>498355</v>
      </c>
      <c r="BO19" s="180">
        <v>159485</v>
      </c>
      <c r="BP19" s="180">
        <v>87531</v>
      </c>
      <c r="BQ19" s="180">
        <v>-9802</v>
      </c>
      <c r="BR19" s="180">
        <v>0</v>
      </c>
      <c r="BS19" s="180">
        <v>0</v>
      </c>
      <c r="BT19" s="180">
        <v>-15393</v>
      </c>
      <c r="BU19" s="180">
        <v>1096182</v>
      </c>
      <c r="BV19" s="180">
        <v>253216</v>
      </c>
      <c r="BW19" s="180">
        <v>216565</v>
      </c>
      <c r="BX19" s="180"/>
      <c r="BY19" s="180">
        <v>0</v>
      </c>
      <c r="BZ19" s="180">
        <v>8002436</v>
      </c>
      <c r="CA19" s="180">
        <v>0</v>
      </c>
      <c r="CB19" s="180"/>
      <c r="CC19" s="180"/>
      <c r="CD19" s="180"/>
      <c r="CE19" s="180"/>
      <c r="CF19" s="180"/>
      <c r="CG19" s="180"/>
      <c r="CH19" s="180"/>
      <c r="CI19" s="180"/>
      <c r="CJ19" s="180"/>
      <c r="CK19" s="180"/>
      <c r="CL19" s="180"/>
      <c r="CM19" s="180"/>
      <c r="CN19" s="180"/>
      <c r="CO19" s="180"/>
      <c r="CP19" s="180"/>
      <c r="CQ19" s="180"/>
      <c r="CR19" s="180"/>
      <c r="CS19" s="180"/>
      <c r="CT19" s="180"/>
      <c r="CU19" s="180"/>
    </row>
    <row r="20" spans="1:99" x14ac:dyDescent="0.3">
      <c r="A20" s="155">
        <v>51</v>
      </c>
      <c r="B20" s="180" t="s">
        <v>237</v>
      </c>
      <c r="C20" s="180"/>
      <c r="D20" s="180">
        <v>0</v>
      </c>
      <c r="E20" s="180">
        <v>0</v>
      </c>
      <c r="F20" s="180"/>
      <c r="G20" s="180">
        <v>17257746</v>
      </c>
      <c r="H20" s="180">
        <v>1382970</v>
      </c>
      <c r="I20" s="180">
        <v>170055</v>
      </c>
      <c r="J20" s="180">
        <v>105131</v>
      </c>
      <c r="K20" s="180">
        <v>68694</v>
      </c>
      <c r="L20" s="180">
        <v>9678970</v>
      </c>
      <c r="M20" s="180"/>
      <c r="N20" s="180">
        <v>-15438</v>
      </c>
      <c r="O20" s="180"/>
      <c r="P20" s="180">
        <v>0</v>
      </c>
      <c r="Q20" s="180">
        <v>2575277</v>
      </c>
      <c r="R20" s="180">
        <v>1510276</v>
      </c>
      <c r="S20" s="180">
        <v>1237535</v>
      </c>
      <c r="T20" s="180">
        <v>-166339</v>
      </c>
      <c r="U20" s="180">
        <v>4915148</v>
      </c>
      <c r="V20" s="180">
        <v>0</v>
      </c>
      <c r="W20" s="180">
        <v>0</v>
      </c>
      <c r="X20" s="180">
        <v>0</v>
      </c>
      <c r="Y20" s="180">
        <v>1153309</v>
      </c>
      <c r="Z20" s="180">
        <v>336334</v>
      </c>
      <c r="AA20" s="180">
        <v>425498</v>
      </c>
      <c r="AB20" s="180">
        <v>0</v>
      </c>
      <c r="AC20" s="180">
        <v>32228</v>
      </c>
      <c r="AD20" s="180">
        <v>538146</v>
      </c>
      <c r="AE20" s="180">
        <v>787710</v>
      </c>
      <c r="AF20" s="180">
        <v>-2277</v>
      </c>
      <c r="AG20" s="180">
        <v>0</v>
      </c>
      <c r="AH20" s="180">
        <v>0</v>
      </c>
      <c r="AI20" s="180">
        <v>18724</v>
      </c>
      <c r="AJ20" s="180">
        <v>563788</v>
      </c>
      <c r="AK20" s="180">
        <v>-100506</v>
      </c>
      <c r="AL20" s="180">
        <v>0</v>
      </c>
      <c r="AM20" s="180">
        <v>0</v>
      </c>
      <c r="AN20" s="180">
        <v>3746404</v>
      </c>
      <c r="AO20" s="180"/>
      <c r="AP20" s="180">
        <v>0</v>
      </c>
      <c r="AQ20" s="180">
        <v>1123190</v>
      </c>
      <c r="AR20" s="180"/>
      <c r="AS20" s="180"/>
      <c r="AT20" s="180"/>
      <c r="AU20" s="180">
        <v>3528075</v>
      </c>
      <c r="AV20" s="180">
        <v>132590</v>
      </c>
      <c r="AW20" s="180"/>
      <c r="AX20" s="180">
        <v>1773228</v>
      </c>
      <c r="AY20" s="180">
        <v>243506</v>
      </c>
      <c r="AZ20" s="180"/>
      <c r="BA20" s="180">
        <v>-6335</v>
      </c>
      <c r="BB20" s="180">
        <v>220367</v>
      </c>
      <c r="BC20" s="180"/>
      <c r="BD20" s="180">
        <v>0</v>
      </c>
      <c r="BE20" s="180">
        <v>3491484</v>
      </c>
      <c r="BF20" s="180"/>
      <c r="BG20" s="180"/>
      <c r="BH20" s="180">
        <v>76916</v>
      </c>
      <c r="BI20" s="180">
        <v>534489</v>
      </c>
      <c r="BJ20" s="180">
        <v>159431</v>
      </c>
      <c r="BK20" s="180">
        <v>150764</v>
      </c>
      <c r="BL20" s="180">
        <v>618012</v>
      </c>
      <c r="BM20" s="180">
        <v>0</v>
      </c>
      <c r="BN20" s="180">
        <v>497901</v>
      </c>
      <c r="BO20" s="180">
        <v>432869</v>
      </c>
      <c r="BP20" s="180">
        <v>299201</v>
      </c>
      <c r="BQ20" s="180">
        <v>0</v>
      </c>
      <c r="BR20" s="180">
        <v>0</v>
      </c>
      <c r="BS20" s="180">
        <v>0</v>
      </c>
      <c r="BT20" s="180">
        <v>-25314</v>
      </c>
      <c r="BU20" s="180">
        <v>591206</v>
      </c>
      <c r="BV20" s="180">
        <v>-212839</v>
      </c>
      <c r="BW20" s="180">
        <v>103667</v>
      </c>
      <c r="BX20" s="180"/>
      <c r="BY20" s="180">
        <v>0</v>
      </c>
      <c r="BZ20" s="180">
        <v>5461786</v>
      </c>
      <c r="CA20" s="180">
        <v>0</v>
      </c>
      <c r="CB20" s="180"/>
      <c r="CC20" s="180"/>
      <c r="CD20" s="180"/>
      <c r="CE20" s="180"/>
      <c r="CF20" s="180"/>
      <c r="CG20" s="180"/>
      <c r="CH20" s="180"/>
      <c r="CI20" s="180"/>
      <c r="CJ20" s="180"/>
      <c r="CK20" s="180"/>
      <c r="CL20" s="180"/>
      <c r="CM20" s="180"/>
      <c r="CN20" s="180"/>
      <c r="CO20" s="180"/>
      <c r="CP20" s="180"/>
      <c r="CQ20" s="180"/>
      <c r="CR20" s="180"/>
      <c r="CS20" s="180"/>
      <c r="CT20" s="180"/>
      <c r="CU20" s="180"/>
    </row>
    <row r="21" spans="1:99" x14ac:dyDescent="0.3">
      <c r="A21" s="155">
        <v>52</v>
      </c>
      <c r="B21" s="180" t="s">
        <v>230</v>
      </c>
      <c r="C21" s="180"/>
      <c r="D21" s="180">
        <v>0</v>
      </c>
      <c r="E21" s="180">
        <v>0</v>
      </c>
      <c r="F21" s="180"/>
      <c r="G21" s="180">
        <v>0</v>
      </c>
      <c r="H21" s="180">
        <v>0</v>
      </c>
      <c r="I21" s="180">
        <v>0</v>
      </c>
      <c r="J21" s="180">
        <v>0</v>
      </c>
      <c r="K21" s="180">
        <v>0</v>
      </c>
      <c r="L21" s="180">
        <v>0</v>
      </c>
      <c r="M21" s="180"/>
      <c r="N21" s="180">
        <v>0</v>
      </c>
      <c r="O21" s="180"/>
      <c r="P21" s="180">
        <v>0</v>
      </c>
      <c r="Q21" s="180">
        <v>0</v>
      </c>
      <c r="R21" s="180">
        <v>0</v>
      </c>
      <c r="S21" s="180">
        <v>676314</v>
      </c>
      <c r="T21" s="180">
        <v>0</v>
      </c>
      <c r="U21" s="180">
        <v>1100135</v>
      </c>
      <c r="V21" s="180">
        <v>0</v>
      </c>
      <c r="W21" s="180">
        <v>0</v>
      </c>
      <c r="X21" s="180">
        <v>0</v>
      </c>
      <c r="Y21" s="180">
        <v>0</v>
      </c>
      <c r="Z21" s="180">
        <v>64406</v>
      </c>
      <c r="AA21" s="180">
        <v>96436</v>
      </c>
      <c r="AB21" s="180">
        <v>0</v>
      </c>
      <c r="AC21" s="180">
        <v>0</v>
      </c>
      <c r="AD21" s="180">
        <v>0</v>
      </c>
      <c r="AE21" s="180">
        <v>192332</v>
      </c>
      <c r="AF21" s="180">
        <v>0</v>
      </c>
      <c r="AG21" s="180">
        <v>0</v>
      </c>
      <c r="AH21" s="180">
        <v>0</v>
      </c>
      <c r="AI21" s="180">
        <v>0</v>
      </c>
      <c r="AJ21" s="180">
        <v>509867</v>
      </c>
      <c r="AK21" s="180">
        <v>0</v>
      </c>
      <c r="AL21" s="180">
        <v>0</v>
      </c>
      <c r="AM21" s="180">
        <v>0</v>
      </c>
      <c r="AN21" s="180">
        <v>0</v>
      </c>
      <c r="AO21" s="180"/>
      <c r="AP21" s="180">
        <v>0</v>
      </c>
      <c r="AQ21" s="180">
        <v>1353136</v>
      </c>
      <c r="AR21" s="180"/>
      <c r="AS21" s="180"/>
      <c r="AT21" s="180"/>
      <c r="AU21" s="180">
        <v>260189</v>
      </c>
      <c r="AV21" s="180">
        <v>0</v>
      </c>
      <c r="AW21" s="180"/>
      <c r="AX21" s="180">
        <v>0</v>
      </c>
      <c r="AY21" s="180">
        <v>0</v>
      </c>
      <c r="AZ21" s="180"/>
      <c r="BA21" s="180">
        <v>0</v>
      </c>
      <c r="BB21" s="180">
        <v>0</v>
      </c>
      <c r="BC21" s="180"/>
      <c r="BD21" s="180">
        <v>0</v>
      </c>
      <c r="BE21" s="180">
        <v>1412552</v>
      </c>
      <c r="BF21" s="180"/>
      <c r="BG21" s="180"/>
      <c r="BH21" s="180">
        <v>0</v>
      </c>
      <c r="BI21" s="180">
        <v>0</v>
      </c>
      <c r="BJ21" s="180">
        <v>0</v>
      </c>
      <c r="BK21" s="180">
        <v>141151</v>
      </c>
      <c r="BL21" s="180">
        <v>0</v>
      </c>
      <c r="BM21" s="180">
        <v>0</v>
      </c>
      <c r="BN21" s="180">
        <v>0</v>
      </c>
      <c r="BO21" s="180">
        <v>0</v>
      </c>
      <c r="BP21" s="180">
        <v>0</v>
      </c>
      <c r="BQ21" s="180">
        <v>0</v>
      </c>
      <c r="BR21" s="180">
        <v>0</v>
      </c>
      <c r="BS21" s="180">
        <v>0</v>
      </c>
      <c r="BT21" s="180">
        <v>0</v>
      </c>
      <c r="BU21" s="180">
        <v>0</v>
      </c>
      <c r="BV21" s="180">
        <v>0</v>
      </c>
      <c r="BW21" s="180">
        <v>0</v>
      </c>
      <c r="BX21" s="180"/>
      <c r="BY21" s="180">
        <v>0</v>
      </c>
      <c r="BZ21" s="180">
        <v>0</v>
      </c>
      <c r="CA21" s="180">
        <v>0</v>
      </c>
      <c r="CB21" s="180"/>
      <c r="CC21" s="180"/>
      <c r="CD21" s="180"/>
      <c r="CE21" s="180"/>
      <c r="CF21" s="180"/>
      <c r="CG21" s="180"/>
      <c r="CH21" s="180"/>
      <c r="CI21" s="180"/>
      <c r="CJ21" s="180"/>
      <c r="CK21" s="180"/>
      <c r="CL21" s="180"/>
      <c r="CM21" s="180"/>
      <c r="CN21" s="180"/>
      <c r="CO21" s="180"/>
      <c r="CP21" s="180"/>
      <c r="CQ21" s="180"/>
      <c r="CR21" s="180"/>
      <c r="CS21" s="180"/>
      <c r="CT21" s="180"/>
      <c r="CU21" s="180"/>
    </row>
    <row r="22" spans="1:99" x14ac:dyDescent="0.3">
      <c r="A22" s="155">
        <v>53</v>
      </c>
      <c r="B22" s="180" t="s">
        <v>93</v>
      </c>
      <c r="C22" s="180"/>
      <c r="D22" s="180">
        <v>0</v>
      </c>
      <c r="E22" s="180">
        <v>0</v>
      </c>
      <c r="F22" s="180"/>
      <c r="G22" s="180">
        <v>0</v>
      </c>
      <c r="H22" s="180">
        <v>0</v>
      </c>
      <c r="I22" s="180">
        <v>0</v>
      </c>
      <c r="J22" s="180">
        <v>0</v>
      </c>
      <c r="K22" s="180">
        <v>0</v>
      </c>
      <c r="L22" s="180">
        <v>0</v>
      </c>
      <c r="M22" s="180"/>
      <c r="N22" s="180">
        <v>0</v>
      </c>
      <c r="O22" s="180"/>
      <c r="P22" s="180">
        <v>0</v>
      </c>
      <c r="Q22" s="180">
        <v>0</v>
      </c>
      <c r="R22" s="180">
        <v>0</v>
      </c>
      <c r="S22" s="180">
        <v>-2149759</v>
      </c>
      <c r="T22" s="180">
        <v>0</v>
      </c>
      <c r="U22" s="180">
        <v>6882491</v>
      </c>
      <c r="V22" s="180">
        <v>0</v>
      </c>
      <c r="W22" s="180">
        <v>0</v>
      </c>
      <c r="X22" s="180">
        <v>0</v>
      </c>
      <c r="Y22" s="180">
        <v>0</v>
      </c>
      <c r="Z22" s="180">
        <v>56443</v>
      </c>
      <c r="AA22" s="180">
        <v>-182640</v>
      </c>
      <c r="AB22" s="180">
        <v>0</v>
      </c>
      <c r="AC22" s="180">
        <v>0</v>
      </c>
      <c r="AD22" s="180">
        <v>0</v>
      </c>
      <c r="AE22" s="180">
        <v>390554</v>
      </c>
      <c r="AF22" s="180">
        <v>0</v>
      </c>
      <c r="AG22" s="180">
        <v>0</v>
      </c>
      <c r="AH22" s="180">
        <v>0</v>
      </c>
      <c r="AI22" s="180">
        <v>0</v>
      </c>
      <c r="AJ22" s="180">
        <v>213489</v>
      </c>
      <c r="AK22" s="180">
        <v>0</v>
      </c>
      <c r="AL22" s="180">
        <v>0</v>
      </c>
      <c r="AM22" s="180">
        <v>0</v>
      </c>
      <c r="AN22" s="180">
        <v>0</v>
      </c>
      <c r="AO22" s="180"/>
      <c r="AP22" s="180">
        <v>0</v>
      </c>
      <c r="AQ22" s="180">
        <v>653391</v>
      </c>
      <c r="AR22" s="180"/>
      <c r="AS22" s="180"/>
      <c r="AT22" s="180"/>
      <c r="AU22" s="180">
        <v>2894</v>
      </c>
      <c r="AV22" s="180">
        <v>0</v>
      </c>
      <c r="AW22" s="180"/>
      <c r="AX22" s="180">
        <v>0</v>
      </c>
      <c r="AY22" s="180">
        <v>0</v>
      </c>
      <c r="AZ22" s="180"/>
      <c r="BA22" s="180">
        <v>0</v>
      </c>
      <c r="BB22" s="180">
        <v>0</v>
      </c>
      <c r="BC22" s="180"/>
      <c r="BD22" s="180">
        <v>0</v>
      </c>
      <c r="BE22" s="180">
        <v>1491040</v>
      </c>
      <c r="BF22" s="180"/>
      <c r="BG22" s="180"/>
      <c r="BH22" s="180">
        <v>0</v>
      </c>
      <c r="BI22" s="180">
        <v>0</v>
      </c>
      <c r="BJ22" s="180">
        <v>0</v>
      </c>
      <c r="BK22" s="180">
        <v>-611578</v>
      </c>
      <c r="BL22" s="180">
        <v>0</v>
      </c>
      <c r="BM22" s="180">
        <v>0</v>
      </c>
      <c r="BN22" s="180">
        <v>0</v>
      </c>
      <c r="BO22" s="180">
        <v>0</v>
      </c>
      <c r="BP22" s="180">
        <v>0</v>
      </c>
      <c r="BQ22" s="180">
        <v>0</v>
      </c>
      <c r="BR22" s="180">
        <v>0</v>
      </c>
      <c r="BS22" s="180">
        <v>0</v>
      </c>
      <c r="BT22" s="180">
        <v>0</v>
      </c>
      <c r="BU22" s="180">
        <v>0</v>
      </c>
      <c r="BV22" s="180">
        <v>0</v>
      </c>
      <c r="BW22" s="180">
        <v>0</v>
      </c>
      <c r="BX22" s="180"/>
      <c r="BY22" s="180">
        <v>0</v>
      </c>
      <c r="BZ22" s="180">
        <v>0</v>
      </c>
      <c r="CA22" s="180">
        <v>0</v>
      </c>
      <c r="CB22" s="180"/>
      <c r="CC22" s="180"/>
      <c r="CD22" s="180"/>
      <c r="CE22" s="180"/>
      <c r="CF22" s="180"/>
      <c r="CG22" s="180"/>
      <c r="CH22" s="180"/>
      <c r="CI22" s="180"/>
      <c r="CJ22" s="180"/>
      <c r="CK22" s="180"/>
      <c r="CL22" s="180"/>
      <c r="CM22" s="180"/>
      <c r="CN22" s="180"/>
      <c r="CO22" s="180"/>
      <c r="CP22" s="180"/>
      <c r="CQ22" s="180"/>
      <c r="CR22" s="180"/>
      <c r="CS22" s="180"/>
      <c r="CT22" s="180"/>
      <c r="CU22" s="180"/>
    </row>
    <row r="23" spans="1:99" x14ac:dyDescent="0.3">
      <c r="A23" s="155">
        <v>55</v>
      </c>
      <c r="B23" s="180" t="s">
        <v>240</v>
      </c>
      <c r="C23" s="180"/>
      <c r="D23" s="180">
        <v>0</v>
      </c>
      <c r="E23" s="180">
        <v>0</v>
      </c>
      <c r="F23" s="180"/>
      <c r="G23" s="180">
        <v>0</v>
      </c>
      <c r="H23" s="180">
        <v>0</v>
      </c>
      <c r="I23" s="180">
        <v>0</v>
      </c>
      <c r="J23" s="180">
        <v>0</v>
      </c>
      <c r="K23" s="180">
        <v>0</v>
      </c>
      <c r="L23" s="180">
        <v>0</v>
      </c>
      <c r="M23" s="180"/>
      <c r="N23" s="180">
        <v>0</v>
      </c>
      <c r="O23" s="180"/>
      <c r="P23" s="180">
        <v>0</v>
      </c>
      <c r="Q23" s="180">
        <v>0</v>
      </c>
      <c r="R23" s="180">
        <v>0</v>
      </c>
      <c r="S23" s="180">
        <v>1009008</v>
      </c>
      <c r="T23" s="180">
        <v>0</v>
      </c>
      <c r="U23" s="180">
        <v>9947488</v>
      </c>
      <c r="V23" s="180">
        <v>0</v>
      </c>
      <c r="W23" s="180">
        <v>0</v>
      </c>
      <c r="X23" s="180">
        <v>0</v>
      </c>
      <c r="Y23" s="180">
        <v>0</v>
      </c>
      <c r="Z23" s="180">
        <v>119956</v>
      </c>
      <c r="AA23" s="180">
        <v>-115567</v>
      </c>
      <c r="AB23" s="180">
        <v>0</v>
      </c>
      <c r="AC23" s="180">
        <v>0</v>
      </c>
      <c r="AD23" s="180">
        <v>0</v>
      </c>
      <c r="AE23" s="180">
        <v>518804</v>
      </c>
      <c r="AF23" s="180">
        <v>0</v>
      </c>
      <c r="AG23" s="180">
        <v>0</v>
      </c>
      <c r="AH23" s="180">
        <v>0</v>
      </c>
      <c r="AI23" s="180">
        <v>0</v>
      </c>
      <c r="AJ23" s="180">
        <v>1686096</v>
      </c>
      <c r="AK23" s="180">
        <v>0</v>
      </c>
      <c r="AL23" s="180">
        <v>0</v>
      </c>
      <c r="AM23" s="180">
        <v>0</v>
      </c>
      <c r="AN23" s="180">
        <v>0</v>
      </c>
      <c r="AO23" s="180"/>
      <c r="AP23" s="180">
        <v>0</v>
      </c>
      <c r="AQ23" s="180">
        <v>1102407</v>
      </c>
      <c r="AR23" s="180"/>
      <c r="AS23" s="180"/>
      <c r="AT23" s="180"/>
      <c r="AU23" s="180">
        <v>504238</v>
      </c>
      <c r="AV23" s="180">
        <v>0</v>
      </c>
      <c r="AW23" s="180"/>
      <c r="AX23" s="180">
        <v>0</v>
      </c>
      <c r="AY23" s="180">
        <v>0</v>
      </c>
      <c r="AZ23" s="180"/>
      <c r="BA23" s="180">
        <v>0</v>
      </c>
      <c r="BB23" s="180">
        <v>0</v>
      </c>
      <c r="BC23" s="180"/>
      <c r="BD23" s="180">
        <v>0</v>
      </c>
      <c r="BE23" s="180">
        <v>1585645</v>
      </c>
      <c r="BF23" s="180"/>
      <c r="BG23" s="180"/>
      <c r="BH23" s="180">
        <v>0</v>
      </c>
      <c r="BI23" s="180">
        <v>0</v>
      </c>
      <c r="BJ23" s="180">
        <v>0</v>
      </c>
      <c r="BK23" s="180">
        <v>-580210</v>
      </c>
      <c r="BL23" s="180">
        <v>0</v>
      </c>
      <c r="BM23" s="180">
        <v>0</v>
      </c>
      <c r="BN23" s="180">
        <v>0</v>
      </c>
      <c r="BO23" s="180">
        <v>0</v>
      </c>
      <c r="BP23" s="180">
        <v>0</v>
      </c>
      <c r="BQ23" s="180">
        <v>0</v>
      </c>
      <c r="BR23" s="180">
        <v>0</v>
      </c>
      <c r="BS23" s="180">
        <v>0</v>
      </c>
      <c r="BT23" s="180">
        <v>0</v>
      </c>
      <c r="BU23" s="180">
        <v>0</v>
      </c>
      <c r="BV23" s="180">
        <v>0</v>
      </c>
      <c r="BW23" s="180">
        <v>0</v>
      </c>
      <c r="BX23" s="180"/>
      <c r="BY23" s="180">
        <v>0</v>
      </c>
      <c r="BZ23" s="180">
        <v>0</v>
      </c>
      <c r="CA23" s="180">
        <v>0</v>
      </c>
      <c r="CB23" s="180"/>
      <c r="CC23" s="180"/>
      <c r="CD23" s="180"/>
      <c r="CE23" s="180"/>
      <c r="CF23" s="180"/>
      <c r="CG23" s="180"/>
      <c r="CH23" s="180"/>
      <c r="CI23" s="180"/>
      <c r="CJ23" s="180"/>
      <c r="CK23" s="180"/>
      <c r="CL23" s="180"/>
      <c r="CM23" s="180"/>
      <c r="CN23" s="180"/>
      <c r="CO23" s="180"/>
      <c r="CP23" s="180"/>
      <c r="CQ23" s="180"/>
      <c r="CR23" s="180"/>
      <c r="CS23" s="180"/>
      <c r="CT23" s="180"/>
      <c r="CU23" s="180"/>
    </row>
    <row r="24" spans="1:99" x14ac:dyDescent="0.3">
      <c r="A24" s="155">
        <v>61</v>
      </c>
      <c r="B24" s="180" t="s">
        <v>254</v>
      </c>
      <c r="C24" s="180"/>
      <c r="D24" s="180">
        <v>99.56</v>
      </c>
      <c r="E24" s="180">
        <v>99.87</v>
      </c>
      <c r="F24" s="180"/>
      <c r="G24" s="180">
        <v>99.2</v>
      </c>
      <c r="H24" s="180">
        <v>99.75</v>
      </c>
      <c r="I24" s="180">
        <v>90.13</v>
      </c>
      <c r="J24" s="180">
        <v>97.78</v>
      </c>
      <c r="K24" s="180">
        <v>97.68</v>
      </c>
      <c r="L24" s="180">
        <v>98.95</v>
      </c>
      <c r="M24" s="180"/>
      <c r="N24" s="180">
        <v>98.58</v>
      </c>
      <c r="O24" s="180"/>
      <c r="P24" s="180">
        <v>99.42</v>
      </c>
      <c r="Q24" s="180">
        <v>99.74</v>
      </c>
      <c r="R24" s="180">
        <v>99.03</v>
      </c>
      <c r="S24" s="180">
        <v>99.21</v>
      </c>
      <c r="T24" s="180">
        <v>89.78</v>
      </c>
      <c r="U24" s="180">
        <v>97.84</v>
      </c>
      <c r="V24" s="180">
        <v>97.45</v>
      </c>
      <c r="W24" s="180">
        <v>99.43</v>
      </c>
      <c r="X24" s="180">
        <v>99.76</v>
      </c>
      <c r="Y24" s="180">
        <v>99.67</v>
      </c>
      <c r="Z24" s="180">
        <v>95.38</v>
      </c>
      <c r="AA24" s="180">
        <v>99.34</v>
      </c>
      <c r="AB24" s="180">
        <v>100</v>
      </c>
      <c r="AC24" s="180">
        <v>98.73</v>
      </c>
      <c r="AD24" s="180">
        <v>98.9</v>
      </c>
      <c r="AE24" s="180">
        <v>97.48</v>
      </c>
      <c r="AF24" s="180">
        <v>90.29</v>
      </c>
      <c r="AG24" s="180">
        <v>96.28</v>
      </c>
      <c r="AH24" s="180">
        <v>98.75</v>
      </c>
      <c r="AI24" s="180">
        <v>99.85</v>
      </c>
      <c r="AJ24" s="180">
        <v>95.22</v>
      </c>
      <c r="AK24" s="180">
        <v>96.36</v>
      </c>
      <c r="AL24" s="180">
        <v>97.76</v>
      </c>
      <c r="AM24" s="180">
        <v>99.57</v>
      </c>
      <c r="AN24" s="180">
        <v>97.17</v>
      </c>
      <c r="AO24" s="180"/>
      <c r="AP24" s="180">
        <v>99.68</v>
      </c>
      <c r="AQ24" s="180">
        <v>97.77</v>
      </c>
      <c r="AR24" s="180"/>
      <c r="AS24" s="180"/>
      <c r="AT24" s="180"/>
      <c r="AU24" s="180">
        <v>99.14</v>
      </c>
      <c r="AV24" s="180">
        <v>98.82</v>
      </c>
      <c r="AW24" s="180"/>
      <c r="AX24" s="180">
        <v>99.25</v>
      </c>
      <c r="AY24" s="180">
        <v>97.8</v>
      </c>
      <c r="AZ24" s="180"/>
      <c r="BA24" s="180">
        <v>93.24</v>
      </c>
      <c r="BB24" s="180">
        <v>98.94</v>
      </c>
      <c r="BC24" s="180"/>
      <c r="BD24" s="180">
        <v>97.26</v>
      </c>
      <c r="BE24" s="180">
        <v>93.39</v>
      </c>
      <c r="BF24" s="180"/>
      <c r="BG24" s="180"/>
      <c r="BH24" s="180">
        <v>98.73</v>
      </c>
      <c r="BI24" s="180">
        <v>98.52</v>
      </c>
      <c r="BJ24" s="180">
        <v>94.08</v>
      </c>
      <c r="BK24" s="180">
        <v>99.88</v>
      </c>
      <c r="BL24" s="180">
        <v>99.68</v>
      </c>
      <c r="BM24" s="180">
        <v>0</v>
      </c>
      <c r="BN24" s="180">
        <v>99.53</v>
      </c>
      <c r="BO24" s="180">
        <v>93.77</v>
      </c>
      <c r="BP24" s="180">
        <v>98.09</v>
      </c>
      <c r="BQ24" s="180">
        <v>99.4</v>
      </c>
      <c r="BR24" s="180">
        <v>99.97</v>
      </c>
      <c r="BS24" s="180">
        <v>99.52</v>
      </c>
      <c r="BT24" s="180">
        <v>84.41</v>
      </c>
      <c r="BU24" s="180">
        <v>99.12</v>
      </c>
      <c r="BV24" s="180">
        <v>95.14</v>
      </c>
      <c r="BW24" s="180">
        <v>99.7</v>
      </c>
      <c r="BX24" s="180"/>
      <c r="BY24" s="180">
        <v>99.27</v>
      </c>
      <c r="BZ24" s="180">
        <v>99.76</v>
      </c>
      <c r="CA24" s="180">
        <v>93.89</v>
      </c>
      <c r="CB24" s="180"/>
      <c r="CC24" s="180"/>
      <c r="CD24" s="180"/>
      <c r="CE24" s="180"/>
      <c r="CF24" s="180"/>
      <c r="CG24" s="180"/>
      <c r="CH24" s="180"/>
      <c r="CI24" s="180"/>
      <c r="CJ24" s="180"/>
      <c r="CK24" s="180"/>
      <c r="CL24" s="180"/>
      <c r="CM24" s="180"/>
      <c r="CN24" s="180"/>
      <c r="CO24" s="180"/>
      <c r="CP24" s="180"/>
      <c r="CQ24" s="180"/>
      <c r="CR24" s="180"/>
      <c r="CS24" s="180"/>
      <c r="CT24" s="180"/>
      <c r="CU24" s="180"/>
    </row>
    <row r="25" spans="1:99" x14ac:dyDescent="0.3">
      <c r="A25" s="155">
        <v>80</v>
      </c>
      <c r="B25" s="180" t="s">
        <v>209</v>
      </c>
      <c r="C25" s="180"/>
      <c r="D25" s="180">
        <v>0</v>
      </c>
      <c r="E25" s="180">
        <v>0</v>
      </c>
      <c r="F25" s="180"/>
      <c r="G25" s="180">
        <v>55540848</v>
      </c>
      <c r="H25" s="180">
        <v>9550687</v>
      </c>
      <c r="I25" s="180">
        <v>229515</v>
      </c>
      <c r="J25" s="180">
        <v>6497405</v>
      </c>
      <c r="K25" s="180">
        <v>716449</v>
      </c>
      <c r="L25" s="180">
        <v>14385134</v>
      </c>
      <c r="M25" s="180"/>
      <c r="N25" s="180">
        <v>1708328</v>
      </c>
      <c r="O25" s="180"/>
      <c r="P25" s="180">
        <v>0</v>
      </c>
      <c r="Q25" s="180">
        <v>8063107</v>
      </c>
      <c r="R25" s="180">
        <v>7155256</v>
      </c>
      <c r="S25" s="180">
        <v>7288181</v>
      </c>
      <c r="T25" s="180">
        <v>28098</v>
      </c>
      <c r="U25" s="180">
        <v>12161738</v>
      </c>
      <c r="V25" s="180">
        <v>0</v>
      </c>
      <c r="W25" s="180">
        <v>0</v>
      </c>
      <c r="X25" s="180">
        <v>0</v>
      </c>
      <c r="Y25" s="180">
        <v>3327113</v>
      </c>
      <c r="Z25" s="180">
        <v>958372</v>
      </c>
      <c r="AA25" s="180">
        <v>1049354</v>
      </c>
      <c r="AB25" s="180">
        <v>0</v>
      </c>
      <c r="AC25" s="180">
        <v>83004</v>
      </c>
      <c r="AD25" s="180">
        <v>2257700</v>
      </c>
      <c r="AE25" s="180">
        <v>2238119</v>
      </c>
      <c r="AF25" s="180">
        <v>39268</v>
      </c>
      <c r="AG25" s="180">
        <v>0</v>
      </c>
      <c r="AH25" s="180">
        <v>0</v>
      </c>
      <c r="AI25" s="180">
        <v>0</v>
      </c>
      <c r="AJ25" s="180">
        <v>2668236</v>
      </c>
      <c r="AK25" s="180">
        <v>100651</v>
      </c>
      <c r="AL25" s="180">
        <v>0</v>
      </c>
      <c r="AM25" s="180">
        <v>0</v>
      </c>
      <c r="AN25" s="180">
        <v>10909415</v>
      </c>
      <c r="AO25" s="180"/>
      <c r="AP25" s="180">
        <v>0</v>
      </c>
      <c r="AQ25" s="180">
        <v>5517103</v>
      </c>
      <c r="AR25" s="180"/>
      <c r="AS25" s="180"/>
      <c r="AT25" s="180"/>
      <c r="AU25" s="180">
        <v>7805955</v>
      </c>
      <c r="AV25" s="180">
        <v>1302798</v>
      </c>
      <c r="AW25" s="180"/>
      <c r="AX25" s="180">
        <v>949613</v>
      </c>
      <c r="AY25" s="180">
        <v>1188711</v>
      </c>
      <c r="AZ25" s="180"/>
      <c r="BA25" s="180">
        <v>5335</v>
      </c>
      <c r="BB25" s="180">
        <v>466699</v>
      </c>
      <c r="BC25" s="180"/>
      <c r="BD25" s="180">
        <v>0</v>
      </c>
      <c r="BE25" s="180">
        <v>4325187</v>
      </c>
      <c r="BF25" s="180"/>
      <c r="BG25" s="180"/>
      <c r="BH25" s="180">
        <v>697700</v>
      </c>
      <c r="BI25" s="180">
        <v>2493203</v>
      </c>
      <c r="BJ25" s="180">
        <v>0</v>
      </c>
      <c r="BK25" s="180">
        <v>5836048</v>
      </c>
      <c r="BL25" s="180">
        <v>3553312</v>
      </c>
      <c r="BM25" s="180">
        <v>0</v>
      </c>
      <c r="BN25" s="180">
        <v>2556527</v>
      </c>
      <c r="BO25" s="180">
        <v>3928745</v>
      </c>
      <c r="BP25" s="180">
        <v>1563787</v>
      </c>
      <c r="BQ25" s="180">
        <v>2817493</v>
      </c>
      <c r="BR25" s="180">
        <v>0</v>
      </c>
      <c r="BS25" s="180">
        <v>0</v>
      </c>
      <c r="BT25" s="180">
        <v>1024178</v>
      </c>
      <c r="BU25" s="180">
        <v>1948068</v>
      </c>
      <c r="BV25" s="180">
        <v>720068</v>
      </c>
      <c r="BW25" s="180">
        <v>1606939</v>
      </c>
      <c r="BX25" s="180"/>
      <c r="BY25" s="180">
        <v>0</v>
      </c>
      <c r="BZ25" s="180">
        <v>10061364</v>
      </c>
      <c r="CA25" s="180">
        <v>0</v>
      </c>
      <c r="CB25" s="180"/>
      <c r="CC25" s="180"/>
      <c r="CD25" s="180"/>
      <c r="CE25" s="180"/>
      <c r="CF25" s="180"/>
      <c r="CG25" s="180"/>
      <c r="CH25" s="180"/>
      <c r="CI25" s="180"/>
      <c r="CJ25" s="180"/>
      <c r="CK25" s="180"/>
      <c r="CL25" s="180"/>
      <c r="CM25" s="180"/>
      <c r="CN25" s="180"/>
      <c r="CO25" s="180"/>
      <c r="CP25" s="180"/>
      <c r="CQ25" s="180"/>
      <c r="CR25" s="180"/>
      <c r="CS25" s="180"/>
      <c r="CT25" s="180"/>
      <c r="CU25" s="180"/>
    </row>
    <row r="26" spans="1:99" x14ac:dyDescent="0.3">
      <c r="A26" s="155">
        <v>81</v>
      </c>
      <c r="B26" s="180" t="s">
        <v>210</v>
      </c>
      <c r="C26" s="180"/>
      <c r="D26" s="180">
        <v>0</v>
      </c>
      <c r="E26" s="180">
        <v>0</v>
      </c>
      <c r="F26" s="180"/>
      <c r="G26" s="180">
        <v>3040060</v>
      </c>
      <c r="H26" s="180">
        <v>284973</v>
      </c>
      <c r="I26" s="180">
        <v>24104</v>
      </c>
      <c r="J26" s="180">
        <v>58246</v>
      </c>
      <c r="K26" s="180">
        <v>206581</v>
      </c>
      <c r="L26" s="180">
        <v>5252954</v>
      </c>
      <c r="M26" s="180"/>
      <c r="N26" s="180">
        <v>79991</v>
      </c>
      <c r="O26" s="180"/>
      <c r="P26" s="180">
        <v>0</v>
      </c>
      <c r="Q26" s="180">
        <v>1038068</v>
      </c>
      <c r="R26" s="180">
        <v>492399</v>
      </c>
      <c r="S26" s="180">
        <v>653102</v>
      </c>
      <c r="T26" s="180">
        <v>35080</v>
      </c>
      <c r="U26" s="180">
        <v>2141092</v>
      </c>
      <c r="V26" s="180">
        <v>0</v>
      </c>
      <c r="W26" s="180">
        <v>0</v>
      </c>
      <c r="X26" s="180">
        <v>0</v>
      </c>
      <c r="Y26" s="180">
        <v>400526</v>
      </c>
      <c r="Z26" s="180">
        <v>60404</v>
      </c>
      <c r="AA26" s="180">
        <v>223516</v>
      </c>
      <c r="AB26" s="180">
        <v>0</v>
      </c>
      <c r="AC26" s="180">
        <v>32002</v>
      </c>
      <c r="AD26" s="180">
        <v>165675</v>
      </c>
      <c r="AE26" s="180">
        <v>451673</v>
      </c>
      <c r="AF26" s="180">
        <v>11804</v>
      </c>
      <c r="AG26" s="180">
        <v>0</v>
      </c>
      <c r="AH26" s="180">
        <v>0</v>
      </c>
      <c r="AI26" s="180">
        <v>0</v>
      </c>
      <c r="AJ26" s="180">
        <v>697764</v>
      </c>
      <c r="AK26" s="180">
        <v>16584</v>
      </c>
      <c r="AL26" s="180">
        <v>0</v>
      </c>
      <c r="AM26" s="180">
        <v>0</v>
      </c>
      <c r="AN26" s="180">
        <v>401210</v>
      </c>
      <c r="AO26" s="180"/>
      <c r="AP26" s="180">
        <v>0</v>
      </c>
      <c r="AQ26" s="180">
        <v>1590689</v>
      </c>
      <c r="AR26" s="180"/>
      <c r="AS26" s="180"/>
      <c r="AT26" s="180"/>
      <c r="AU26" s="180">
        <v>670213</v>
      </c>
      <c r="AV26" s="180">
        <v>43140</v>
      </c>
      <c r="AW26" s="180"/>
      <c r="AX26" s="180">
        <v>159961</v>
      </c>
      <c r="AY26" s="180">
        <v>182393</v>
      </c>
      <c r="AZ26" s="180"/>
      <c r="BA26" s="180">
        <v>0</v>
      </c>
      <c r="BB26" s="180">
        <v>162284</v>
      </c>
      <c r="BC26" s="180"/>
      <c r="BD26" s="180">
        <v>0</v>
      </c>
      <c r="BE26" s="180">
        <v>4671442</v>
      </c>
      <c r="BF26" s="180"/>
      <c r="BG26" s="180"/>
      <c r="BH26" s="180">
        <v>161540</v>
      </c>
      <c r="BI26" s="180">
        <v>171698</v>
      </c>
      <c r="BJ26" s="180">
        <v>60253</v>
      </c>
      <c r="BK26" s="180">
        <v>219639</v>
      </c>
      <c r="BL26" s="180">
        <v>259555</v>
      </c>
      <c r="BM26" s="180">
        <v>0</v>
      </c>
      <c r="BN26" s="180">
        <v>578015</v>
      </c>
      <c r="BO26" s="180">
        <v>109255</v>
      </c>
      <c r="BP26" s="180">
        <v>71373</v>
      </c>
      <c r="BQ26" s="180">
        <v>166814</v>
      </c>
      <c r="BR26" s="180">
        <v>0</v>
      </c>
      <c r="BS26" s="180">
        <v>0</v>
      </c>
      <c r="BT26" s="180">
        <v>153209</v>
      </c>
      <c r="BU26" s="180">
        <v>454823</v>
      </c>
      <c r="BV26" s="180">
        <v>41683</v>
      </c>
      <c r="BW26" s="180">
        <v>93837</v>
      </c>
      <c r="BX26" s="180"/>
      <c r="BY26" s="180">
        <v>0</v>
      </c>
      <c r="BZ26" s="180">
        <v>1107036</v>
      </c>
      <c r="CA26" s="180">
        <v>0</v>
      </c>
      <c r="CB26" s="180"/>
      <c r="CC26" s="180"/>
      <c r="CD26" s="180"/>
      <c r="CE26" s="180"/>
      <c r="CF26" s="180"/>
      <c r="CG26" s="180"/>
      <c r="CH26" s="180"/>
      <c r="CI26" s="180"/>
      <c r="CJ26" s="180"/>
      <c r="CK26" s="180"/>
      <c r="CL26" s="180"/>
      <c r="CM26" s="180"/>
      <c r="CN26" s="180"/>
      <c r="CO26" s="180"/>
      <c r="CP26" s="180"/>
      <c r="CQ26" s="180"/>
      <c r="CR26" s="180"/>
      <c r="CS26" s="180"/>
      <c r="CT26" s="180"/>
      <c r="CU26" s="180"/>
    </row>
    <row r="27" spans="1:99" s="562" customFormat="1" x14ac:dyDescent="0.3">
      <c r="A27" s="561">
        <v>82</v>
      </c>
      <c r="B27" s="562" t="s">
        <v>309</v>
      </c>
      <c r="D27" s="562">
        <v>0</v>
      </c>
      <c r="E27" s="562">
        <v>0</v>
      </c>
      <c r="G27" s="562">
        <v>50328714</v>
      </c>
      <c r="H27" s="562">
        <v>1152161</v>
      </c>
      <c r="I27" s="562">
        <v>36000</v>
      </c>
      <c r="J27" s="562">
        <v>0</v>
      </c>
      <c r="K27" s="562">
        <v>2320527</v>
      </c>
      <c r="L27" s="562">
        <v>60861029</v>
      </c>
      <c r="N27" s="562">
        <v>0</v>
      </c>
      <c r="P27" s="562">
        <v>0</v>
      </c>
      <c r="Q27" s="562">
        <v>24635</v>
      </c>
      <c r="R27" s="562">
        <v>9444755</v>
      </c>
      <c r="S27" s="562">
        <v>20320041</v>
      </c>
      <c r="T27" s="562">
        <v>0</v>
      </c>
      <c r="U27" s="562">
        <v>11426475</v>
      </c>
      <c r="V27" s="562">
        <v>0</v>
      </c>
      <c r="W27" s="562">
        <v>0</v>
      </c>
      <c r="X27" s="562">
        <v>0</v>
      </c>
      <c r="Y27" s="562">
        <v>1985600</v>
      </c>
      <c r="Z27" s="562">
        <v>496969</v>
      </c>
      <c r="AA27" s="562">
        <v>799724</v>
      </c>
      <c r="AB27" s="562">
        <v>0</v>
      </c>
      <c r="AC27" s="562">
        <v>171667</v>
      </c>
      <c r="AD27" s="562">
        <v>1326211</v>
      </c>
      <c r="AE27" s="562">
        <v>4656977</v>
      </c>
      <c r="AF27" s="562">
        <v>0</v>
      </c>
      <c r="AG27" s="562">
        <v>0</v>
      </c>
      <c r="AH27" s="562">
        <v>0</v>
      </c>
      <c r="AI27" s="562">
        <v>0</v>
      </c>
      <c r="AJ27" s="562">
        <v>2663947</v>
      </c>
      <c r="AK27" s="562">
        <v>0</v>
      </c>
      <c r="AL27" s="562">
        <v>0</v>
      </c>
      <c r="AM27" s="562">
        <v>0</v>
      </c>
      <c r="AN27" s="562">
        <v>21115739</v>
      </c>
      <c r="AP27" s="562">
        <v>0</v>
      </c>
      <c r="AQ27" s="562">
        <v>5472448</v>
      </c>
      <c r="AU27" s="562">
        <v>2428750</v>
      </c>
      <c r="AV27" s="562">
        <v>125103</v>
      </c>
      <c r="AX27" s="562">
        <v>0</v>
      </c>
      <c r="AY27" s="562">
        <v>267699</v>
      </c>
      <c r="BA27" s="562">
        <v>0</v>
      </c>
      <c r="BB27" s="562">
        <v>688684</v>
      </c>
      <c r="BD27" s="562">
        <v>0</v>
      </c>
      <c r="BE27" s="562">
        <v>4824512</v>
      </c>
      <c r="BH27" s="562">
        <v>674642</v>
      </c>
      <c r="BI27" s="562">
        <v>977766</v>
      </c>
      <c r="BJ27" s="562">
        <v>0</v>
      </c>
      <c r="BK27" s="562">
        <v>382680</v>
      </c>
      <c r="BL27" s="562">
        <v>731059</v>
      </c>
      <c r="BM27" s="562">
        <v>0</v>
      </c>
      <c r="BN27" s="562">
        <v>1057146</v>
      </c>
      <c r="BO27" s="562">
        <v>513456</v>
      </c>
      <c r="BP27" s="562">
        <v>643242</v>
      </c>
      <c r="BQ27" s="562">
        <v>1494213</v>
      </c>
      <c r="BR27" s="562">
        <v>0</v>
      </c>
      <c r="BS27" s="562">
        <v>0</v>
      </c>
      <c r="BT27" s="562">
        <v>206822</v>
      </c>
      <c r="BU27" s="562">
        <v>772456</v>
      </c>
      <c r="BV27" s="562">
        <v>630162</v>
      </c>
      <c r="BW27" s="562">
        <v>0</v>
      </c>
      <c r="BY27" s="562">
        <v>0</v>
      </c>
      <c r="BZ27" s="562">
        <v>16928873</v>
      </c>
      <c r="CA27" s="562">
        <v>0</v>
      </c>
    </row>
    <row r="28" spans="1:99" s="562" customFormat="1" x14ac:dyDescent="0.3">
      <c r="A28" s="561">
        <v>83</v>
      </c>
      <c r="B28" s="562" t="s">
        <v>94</v>
      </c>
      <c r="D28" s="562">
        <v>0</v>
      </c>
      <c r="E28" s="562">
        <v>0</v>
      </c>
      <c r="G28" s="562">
        <v>78080864</v>
      </c>
      <c r="H28" s="562">
        <v>24798266</v>
      </c>
      <c r="I28" s="562">
        <v>382879</v>
      </c>
      <c r="J28" s="562">
        <v>11283967</v>
      </c>
      <c r="K28" s="562">
        <v>5586148</v>
      </c>
      <c r="L28" s="562">
        <v>83458913</v>
      </c>
      <c r="N28" s="562">
        <v>2901247</v>
      </c>
      <c r="P28" s="562">
        <v>0</v>
      </c>
      <c r="Q28" s="562">
        <v>24562497</v>
      </c>
      <c r="R28" s="562">
        <v>25206030</v>
      </c>
      <c r="S28" s="562">
        <v>35732802</v>
      </c>
      <c r="T28" s="562">
        <v>2200723</v>
      </c>
      <c r="U28" s="562">
        <v>78391432</v>
      </c>
      <c r="V28" s="562">
        <v>0</v>
      </c>
      <c r="W28" s="562">
        <v>0</v>
      </c>
      <c r="X28" s="562">
        <v>0</v>
      </c>
      <c r="Y28" s="562">
        <v>8112107</v>
      </c>
      <c r="Z28" s="562">
        <v>8843702</v>
      </c>
      <c r="AA28" s="562">
        <v>7473842</v>
      </c>
      <c r="AB28" s="562">
        <v>0</v>
      </c>
      <c r="AC28" s="562">
        <v>249910</v>
      </c>
      <c r="AD28" s="562">
        <v>9062923</v>
      </c>
      <c r="AE28" s="562">
        <v>9651771</v>
      </c>
      <c r="AF28" s="562">
        <v>626155</v>
      </c>
      <c r="AG28" s="562">
        <v>0</v>
      </c>
      <c r="AH28" s="562">
        <v>0</v>
      </c>
      <c r="AI28" s="562">
        <v>0</v>
      </c>
      <c r="AJ28" s="562">
        <v>38723322</v>
      </c>
      <c r="AK28" s="562">
        <v>1667181</v>
      </c>
      <c r="AL28" s="562">
        <v>0</v>
      </c>
      <c r="AM28" s="562">
        <v>0</v>
      </c>
      <c r="AN28" s="562">
        <v>59007738</v>
      </c>
      <c r="AP28" s="562">
        <v>0</v>
      </c>
      <c r="AQ28" s="562">
        <v>45216543</v>
      </c>
      <c r="AU28" s="562">
        <v>28907508</v>
      </c>
      <c r="AV28" s="562">
        <v>1738046</v>
      </c>
      <c r="AX28" s="562">
        <v>12824838</v>
      </c>
      <c r="AY28" s="562">
        <v>8724561</v>
      </c>
      <c r="BA28" s="562">
        <v>-32511</v>
      </c>
      <c r="BB28" s="562">
        <v>3064601</v>
      </c>
      <c r="BD28" s="562">
        <v>0</v>
      </c>
      <c r="BE28" s="562">
        <v>54525737</v>
      </c>
      <c r="BH28" s="562">
        <v>5532935</v>
      </c>
      <c r="BI28" s="562">
        <v>6702478</v>
      </c>
      <c r="BJ28" s="562">
        <v>6493984</v>
      </c>
      <c r="BK28" s="562">
        <v>13611847</v>
      </c>
      <c r="BL28" s="562">
        <v>7171675</v>
      </c>
      <c r="BM28" s="562">
        <v>0</v>
      </c>
      <c r="BN28" s="562">
        <v>19443184</v>
      </c>
      <c r="BO28" s="562">
        <v>11916074</v>
      </c>
      <c r="BP28" s="562">
        <v>8168138</v>
      </c>
      <c r="BQ28" s="562">
        <v>6875481</v>
      </c>
      <c r="BR28" s="562">
        <v>0</v>
      </c>
      <c r="BS28" s="562">
        <v>0</v>
      </c>
      <c r="BT28" s="562">
        <v>6435158</v>
      </c>
      <c r="BU28" s="562">
        <v>13528582</v>
      </c>
      <c r="BV28" s="562">
        <v>5419594</v>
      </c>
      <c r="BW28" s="562">
        <v>3062385</v>
      </c>
      <c r="BY28" s="562">
        <v>0</v>
      </c>
      <c r="BZ28" s="562">
        <v>65364887</v>
      </c>
      <c r="CA28" s="562">
        <v>0</v>
      </c>
    </row>
    <row r="29" spans="1:99" s="562" customFormat="1" x14ac:dyDescent="0.3">
      <c r="A29" s="561">
        <v>84</v>
      </c>
      <c r="B29" s="562" t="s">
        <v>218</v>
      </c>
      <c r="D29" s="562">
        <v>0</v>
      </c>
      <c r="E29" s="562">
        <v>0</v>
      </c>
      <c r="G29" s="562">
        <v>25423026</v>
      </c>
      <c r="H29" s="562">
        <v>3956659</v>
      </c>
      <c r="I29" s="562">
        <v>341799</v>
      </c>
      <c r="J29" s="562">
        <v>862766</v>
      </c>
      <c r="K29" s="562">
        <v>928155</v>
      </c>
      <c r="L29" s="562">
        <v>23548298</v>
      </c>
      <c r="N29" s="562">
        <v>596284</v>
      </c>
      <c r="P29" s="562">
        <v>0</v>
      </c>
      <c r="Q29" s="562">
        <v>6028722</v>
      </c>
      <c r="R29" s="562">
        <v>6628922</v>
      </c>
      <c r="S29" s="562">
        <v>7021868</v>
      </c>
      <c r="T29" s="562">
        <v>152703</v>
      </c>
      <c r="U29" s="562">
        <v>18279233</v>
      </c>
      <c r="V29" s="562">
        <v>0</v>
      </c>
      <c r="W29" s="562">
        <v>0</v>
      </c>
      <c r="X29" s="562">
        <v>0</v>
      </c>
      <c r="Y29" s="562">
        <v>2442991</v>
      </c>
      <c r="Z29" s="562">
        <v>1333768</v>
      </c>
      <c r="AA29" s="562">
        <v>1612864</v>
      </c>
      <c r="AB29" s="562">
        <v>0</v>
      </c>
      <c r="AC29" s="562">
        <v>131668</v>
      </c>
      <c r="AD29" s="562">
        <v>1134301</v>
      </c>
      <c r="AE29" s="562">
        <v>2327422</v>
      </c>
      <c r="AF29" s="562">
        <v>48021</v>
      </c>
      <c r="AG29" s="562">
        <v>0</v>
      </c>
      <c r="AH29" s="562">
        <v>0</v>
      </c>
      <c r="AI29" s="562">
        <v>0</v>
      </c>
      <c r="AJ29" s="562">
        <v>6519623</v>
      </c>
      <c r="AK29" s="562">
        <v>116266</v>
      </c>
      <c r="AL29" s="562">
        <v>0</v>
      </c>
      <c r="AM29" s="562">
        <v>0</v>
      </c>
      <c r="AN29" s="562">
        <v>9676170</v>
      </c>
      <c r="AP29" s="562">
        <v>0</v>
      </c>
      <c r="AQ29" s="562">
        <v>11998946</v>
      </c>
      <c r="AU29" s="562">
        <v>8284548</v>
      </c>
      <c r="AV29" s="562">
        <v>433447</v>
      </c>
      <c r="AX29" s="562">
        <v>2656257</v>
      </c>
      <c r="AY29" s="562">
        <v>1998338</v>
      </c>
      <c r="BA29" s="562">
        <v>7789</v>
      </c>
      <c r="BB29" s="562">
        <v>1439502</v>
      </c>
      <c r="BD29" s="562">
        <v>0</v>
      </c>
      <c r="BE29" s="562">
        <v>12936696</v>
      </c>
      <c r="BH29" s="562">
        <v>1706655</v>
      </c>
      <c r="BI29" s="562">
        <v>1165645</v>
      </c>
      <c r="BJ29" s="562">
        <v>363088</v>
      </c>
      <c r="BK29" s="562">
        <v>2435200</v>
      </c>
      <c r="BL29" s="562">
        <v>1894229</v>
      </c>
      <c r="BM29" s="562">
        <v>0</v>
      </c>
      <c r="BN29" s="562">
        <v>4154438</v>
      </c>
      <c r="BO29" s="562">
        <v>1195664</v>
      </c>
      <c r="BP29" s="562">
        <v>795943</v>
      </c>
      <c r="BQ29" s="562">
        <v>1610163</v>
      </c>
      <c r="BR29" s="562">
        <v>0</v>
      </c>
      <c r="BS29" s="562">
        <v>0</v>
      </c>
      <c r="BT29" s="562">
        <v>726859</v>
      </c>
      <c r="BU29" s="562">
        <v>3135200</v>
      </c>
      <c r="BV29" s="562">
        <v>515236</v>
      </c>
      <c r="BW29" s="562">
        <v>879568</v>
      </c>
      <c r="BY29" s="562">
        <v>0</v>
      </c>
      <c r="BZ29" s="562">
        <v>9709101</v>
      </c>
      <c r="CA29" s="562">
        <v>0</v>
      </c>
    </row>
    <row r="30" spans="1:99" s="562" customFormat="1" ht="13.95" customHeight="1" x14ac:dyDescent="0.3">
      <c r="A30" s="561">
        <v>85</v>
      </c>
      <c r="B30" s="562" t="s">
        <v>220</v>
      </c>
      <c r="D30" s="562">
        <v>0</v>
      </c>
      <c r="E30" s="562">
        <v>0</v>
      </c>
      <c r="G30" s="562">
        <v>21741415</v>
      </c>
      <c r="H30" s="562">
        <v>3185142</v>
      </c>
      <c r="I30" s="562">
        <v>218815</v>
      </c>
      <c r="J30" s="562">
        <v>970489</v>
      </c>
      <c r="K30" s="562">
        <v>900660</v>
      </c>
      <c r="L30" s="562">
        <v>18366628</v>
      </c>
      <c r="N30" s="562">
        <v>767026</v>
      </c>
      <c r="P30" s="562">
        <v>0</v>
      </c>
      <c r="Q30" s="562">
        <v>4122059</v>
      </c>
      <c r="R30" s="562">
        <v>6064048</v>
      </c>
      <c r="S30" s="562">
        <v>7937391</v>
      </c>
      <c r="T30" s="562">
        <v>236632</v>
      </c>
      <c r="U30" s="562">
        <v>15571564</v>
      </c>
      <c r="V30" s="562">
        <v>0</v>
      </c>
      <c r="W30" s="562">
        <v>0</v>
      </c>
      <c r="X30" s="562">
        <v>0</v>
      </c>
      <c r="Y30" s="562">
        <v>2009479</v>
      </c>
      <c r="Z30" s="562">
        <v>1317891</v>
      </c>
      <c r="AA30" s="562">
        <v>1619433</v>
      </c>
      <c r="AB30" s="562">
        <v>0</v>
      </c>
      <c r="AC30" s="562">
        <v>88914</v>
      </c>
      <c r="AD30" s="562">
        <v>780835</v>
      </c>
      <c r="AE30" s="562">
        <v>2046454</v>
      </c>
      <c r="AF30" s="562">
        <v>79684</v>
      </c>
      <c r="AG30" s="562">
        <v>0</v>
      </c>
      <c r="AH30" s="562">
        <v>0</v>
      </c>
      <c r="AI30" s="562">
        <v>1497</v>
      </c>
      <c r="AJ30" s="562">
        <v>6948176</v>
      </c>
      <c r="AK30" s="562">
        <v>250077</v>
      </c>
      <c r="AL30" s="562">
        <v>0</v>
      </c>
      <c r="AM30" s="562">
        <v>0</v>
      </c>
      <c r="AN30" s="562">
        <v>7841591</v>
      </c>
      <c r="AP30" s="562">
        <v>0</v>
      </c>
      <c r="AQ30" s="562">
        <v>11760246</v>
      </c>
      <c r="AU30" s="562">
        <v>6959879</v>
      </c>
      <c r="AV30" s="562">
        <v>343959</v>
      </c>
      <c r="AX30" s="562">
        <v>1437399</v>
      </c>
      <c r="AY30" s="562">
        <v>2075126</v>
      </c>
      <c r="BA30" s="562">
        <v>14124</v>
      </c>
      <c r="BB30" s="562">
        <v>1386824</v>
      </c>
      <c r="BD30" s="562">
        <v>0</v>
      </c>
      <c r="BE30" s="562">
        <v>11209299</v>
      </c>
      <c r="BH30" s="562">
        <v>1942785</v>
      </c>
      <c r="BI30" s="562">
        <v>848571</v>
      </c>
      <c r="BJ30" s="562">
        <v>635017</v>
      </c>
      <c r="BK30" s="562">
        <v>2777360</v>
      </c>
      <c r="BL30" s="562">
        <v>1894983</v>
      </c>
      <c r="BM30" s="562">
        <v>0</v>
      </c>
      <c r="BN30" s="562">
        <v>4605349</v>
      </c>
      <c r="BO30" s="562">
        <v>1084267</v>
      </c>
      <c r="BP30" s="562">
        <v>823541</v>
      </c>
      <c r="BQ30" s="562">
        <v>1620142</v>
      </c>
      <c r="BR30" s="562">
        <v>0</v>
      </c>
      <c r="BS30" s="562">
        <v>0</v>
      </c>
      <c r="BT30" s="562">
        <v>992864</v>
      </c>
      <c r="BU30" s="562">
        <v>2114914</v>
      </c>
      <c r="BV30" s="562">
        <v>650845</v>
      </c>
      <c r="BW30" s="562">
        <v>675331</v>
      </c>
      <c r="BY30" s="562">
        <v>0</v>
      </c>
      <c r="BZ30" s="562">
        <v>7460966</v>
      </c>
      <c r="CA30" s="562">
        <v>0</v>
      </c>
    </row>
    <row r="31" spans="1:99" x14ac:dyDescent="0.3">
      <c r="A31" s="155">
        <v>88</v>
      </c>
      <c r="B31" s="180" t="s">
        <v>217</v>
      </c>
      <c r="C31" s="180"/>
      <c r="D31" s="180">
        <v>0</v>
      </c>
      <c r="E31" s="180">
        <v>0</v>
      </c>
      <c r="F31" s="180"/>
      <c r="G31" s="180">
        <v>25423026</v>
      </c>
      <c r="H31" s="180">
        <v>3893488</v>
      </c>
      <c r="I31" s="180">
        <v>231695</v>
      </c>
      <c r="J31" s="180">
        <v>796631</v>
      </c>
      <c r="K31" s="180">
        <v>761308</v>
      </c>
      <c r="L31" s="180">
        <v>21398846</v>
      </c>
      <c r="M31" s="180"/>
      <c r="N31" s="180">
        <v>570635</v>
      </c>
      <c r="O31" s="180"/>
      <c r="P31" s="180">
        <v>0</v>
      </c>
      <c r="Q31" s="180">
        <v>4926994</v>
      </c>
      <c r="R31" s="180">
        <v>6345913</v>
      </c>
      <c r="S31" s="180">
        <v>6971385</v>
      </c>
      <c r="T31" s="180">
        <v>152703</v>
      </c>
      <c r="U31" s="180">
        <v>17270788</v>
      </c>
      <c r="V31" s="180">
        <v>0</v>
      </c>
      <c r="W31" s="180">
        <v>0</v>
      </c>
      <c r="X31" s="180">
        <v>0</v>
      </c>
      <c r="Y31" s="180">
        <v>2437216</v>
      </c>
      <c r="Z31" s="180">
        <v>1314848</v>
      </c>
      <c r="AA31" s="180">
        <v>1564834</v>
      </c>
      <c r="AB31" s="180">
        <v>0</v>
      </c>
      <c r="AC31" s="180">
        <v>131668</v>
      </c>
      <c r="AD31" s="180">
        <v>1101721</v>
      </c>
      <c r="AE31" s="180">
        <v>2119495</v>
      </c>
      <c r="AF31" s="180">
        <v>48021</v>
      </c>
      <c r="AG31" s="180">
        <v>0</v>
      </c>
      <c r="AH31" s="180">
        <v>0</v>
      </c>
      <c r="AI31" s="180">
        <v>0</v>
      </c>
      <c r="AJ31" s="180">
        <v>5908827</v>
      </c>
      <c r="AK31" s="180">
        <v>116266</v>
      </c>
      <c r="AL31" s="180">
        <v>0</v>
      </c>
      <c r="AM31" s="180">
        <v>0</v>
      </c>
      <c r="AN31" s="180">
        <v>9662010</v>
      </c>
      <c r="AO31" s="180"/>
      <c r="AP31" s="180">
        <v>0</v>
      </c>
      <c r="AQ31" s="180">
        <v>11372978</v>
      </c>
      <c r="AR31" s="180"/>
      <c r="AS31" s="180"/>
      <c r="AT31" s="180"/>
      <c r="AU31" s="180">
        <v>7680542</v>
      </c>
      <c r="AV31" s="180">
        <v>423306</v>
      </c>
      <c r="AW31" s="180"/>
      <c r="AX31" s="180">
        <v>1343641</v>
      </c>
      <c r="AY31" s="180">
        <v>1998338</v>
      </c>
      <c r="AZ31" s="180"/>
      <c r="BA31" s="180">
        <v>789</v>
      </c>
      <c r="BB31" s="180">
        <v>1338044</v>
      </c>
      <c r="BC31" s="180"/>
      <c r="BD31" s="180">
        <v>0</v>
      </c>
      <c r="BE31" s="180">
        <v>9982086</v>
      </c>
      <c r="BF31" s="180"/>
      <c r="BG31" s="180"/>
      <c r="BH31" s="180">
        <v>1651913</v>
      </c>
      <c r="BI31" s="180">
        <v>921454</v>
      </c>
      <c r="BJ31" s="180">
        <v>335363</v>
      </c>
      <c r="BK31" s="180">
        <v>2259862</v>
      </c>
      <c r="BL31" s="180">
        <v>1789422</v>
      </c>
      <c r="BM31" s="180">
        <v>0</v>
      </c>
      <c r="BN31" s="180">
        <v>3950648</v>
      </c>
      <c r="BO31" s="180">
        <v>1168046</v>
      </c>
      <c r="BP31" s="180">
        <v>774005</v>
      </c>
      <c r="BQ31" s="180">
        <v>1508153</v>
      </c>
      <c r="BR31" s="180">
        <v>0</v>
      </c>
      <c r="BS31" s="180">
        <v>0</v>
      </c>
      <c r="BT31" s="180">
        <v>726859</v>
      </c>
      <c r="BU31" s="180">
        <v>2878153</v>
      </c>
      <c r="BV31" s="180">
        <v>515236</v>
      </c>
      <c r="BW31" s="180">
        <v>872693</v>
      </c>
      <c r="BX31" s="180"/>
      <c r="BY31" s="180">
        <v>0</v>
      </c>
      <c r="BZ31" s="180">
        <v>7616776</v>
      </c>
      <c r="CA31" s="180">
        <v>0</v>
      </c>
      <c r="CB31" s="180"/>
      <c r="CC31" s="180"/>
      <c r="CD31" s="180"/>
      <c r="CE31" s="180"/>
      <c r="CF31" s="180"/>
      <c r="CG31" s="180"/>
      <c r="CH31" s="180"/>
      <c r="CI31" s="180"/>
      <c r="CJ31" s="180"/>
      <c r="CK31" s="180"/>
      <c r="CL31" s="180"/>
      <c r="CM31" s="180"/>
      <c r="CN31" s="180"/>
      <c r="CO31" s="180"/>
      <c r="CP31" s="180"/>
      <c r="CQ31" s="180"/>
      <c r="CR31" s="180"/>
      <c r="CS31" s="180"/>
      <c r="CT31" s="180"/>
      <c r="CU31" s="180"/>
    </row>
    <row r="32" spans="1:99" x14ac:dyDescent="0.3">
      <c r="A32" s="155">
        <v>89</v>
      </c>
      <c r="B32" s="180" t="s">
        <v>221</v>
      </c>
      <c r="C32" s="180"/>
      <c r="D32" s="180">
        <v>0</v>
      </c>
      <c r="E32" s="180">
        <v>0</v>
      </c>
      <c r="F32" s="180"/>
      <c r="G32" s="180">
        <v>1636328</v>
      </c>
      <c r="H32" s="180">
        <v>24546</v>
      </c>
      <c r="I32" s="180">
        <v>0</v>
      </c>
      <c r="J32" s="180">
        <v>0</v>
      </c>
      <c r="K32" s="180">
        <v>63638</v>
      </c>
      <c r="L32" s="180">
        <v>1126140</v>
      </c>
      <c r="M32" s="180"/>
      <c r="N32" s="180">
        <v>0</v>
      </c>
      <c r="O32" s="180"/>
      <c r="P32" s="180">
        <v>0</v>
      </c>
      <c r="Q32" s="180">
        <v>0</v>
      </c>
      <c r="R32" s="180">
        <v>35824</v>
      </c>
      <c r="S32" s="180">
        <v>12662</v>
      </c>
      <c r="T32" s="180">
        <v>0</v>
      </c>
      <c r="U32" s="180">
        <v>83018</v>
      </c>
      <c r="V32" s="180">
        <v>0</v>
      </c>
      <c r="W32" s="180">
        <v>0</v>
      </c>
      <c r="X32" s="180">
        <v>0</v>
      </c>
      <c r="Y32" s="180">
        <v>51685</v>
      </c>
      <c r="Z32" s="180">
        <v>13276</v>
      </c>
      <c r="AA32" s="180">
        <v>6449</v>
      </c>
      <c r="AB32" s="180">
        <v>0</v>
      </c>
      <c r="AC32" s="180">
        <v>5459</v>
      </c>
      <c r="AD32" s="180">
        <v>39145</v>
      </c>
      <c r="AE32" s="180">
        <v>157994</v>
      </c>
      <c r="AF32" s="180">
        <v>0</v>
      </c>
      <c r="AG32" s="180">
        <v>0</v>
      </c>
      <c r="AH32" s="180">
        <v>0</v>
      </c>
      <c r="AI32" s="180">
        <v>0</v>
      </c>
      <c r="AJ32" s="180">
        <v>68689</v>
      </c>
      <c r="AK32" s="180">
        <v>0</v>
      </c>
      <c r="AL32" s="180">
        <v>0</v>
      </c>
      <c r="AM32" s="180">
        <v>0</v>
      </c>
      <c r="AN32" s="180">
        <v>320511</v>
      </c>
      <c r="AO32" s="180"/>
      <c r="AP32" s="180">
        <v>0</v>
      </c>
      <c r="AQ32" s="180">
        <v>64023</v>
      </c>
      <c r="AR32" s="180"/>
      <c r="AS32" s="180"/>
      <c r="AT32" s="180"/>
      <c r="AU32" s="180">
        <v>85747</v>
      </c>
      <c r="AV32" s="180">
        <v>2388</v>
      </c>
      <c r="AW32" s="180"/>
      <c r="AX32" s="180">
        <v>0</v>
      </c>
      <c r="AY32" s="180">
        <v>8640</v>
      </c>
      <c r="AZ32" s="180"/>
      <c r="BA32" s="180">
        <v>0</v>
      </c>
      <c r="BB32" s="180">
        <v>25973</v>
      </c>
      <c r="BC32" s="180"/>
      <c r="BD32" s="180">
        <v>0</v>
      </c>
      <c r="BE32" s="180">
        <v>42585</v>
      </c>
      <c r="BF32" s="180"/>
      <c r="BG32" s="180"/>
      <c r="BH32" s="180">
        <v>31437</v>
      </c>
      <c r="BI32" s="180">
        <v>23955</v>
      </c>
      <c r="BJ32" s="180">
        <v>0</v>
      </c>
      <c r="BK32" s="180">
        <v>0</v>
      </c>
      <c r="BL32" s="180">
        <v>9117</v>
      </c>
      <c r="BM32" s="180">
        <v>0</v>
      </c>
      <c r="BN32" s="180">
        <v>11200</v>
      </c>
      <c r="BO32" s="180">
        <v>17742</v>
      </c>
      <c r="BP32" s="180">
        <v>23754</v>
      </c>
      <c r="BQ32" s="180">
        <v>0</v>
      </c>
      <c r="BR32" s="180">
        <v>0</v>
      </c>
      <c r="BS32" s="180">
        <v>0</v>
      </c>
      <c r="BT32" s="180">
        <v>6357</v>
      </c>
      <c r="BU32" s="180">
        <v>29497</v>
      </c>
      <c r="BV32" s="180">
        <v>0</v>
      </c>
      <c r="BW32" s="180">
        <v>0</v>
      </c>
      <c r="BX32" s="180"/>
      <c r="BY32" s="180">
        <v>0</v>
      </c>
      <c r="BZ32" s="180">
        <v>196006</v>
      </c>
      <c r="CA32" s="180">
        <v>0</v>
      </c>
      <c r="CB32" s="180"/>
      <c r="CC32" s="180"/>
      <c r="CD32" s="180"/>
      <c r="CE32" s="180"/>
      <c r="CF32" s="180"/>
      <c r="CG32" s="180"/>
      <c r="CH32" s="180"/>
      <c r="CI32" s="180"/>
      <c r="CJ32" s="180"/>
      <c r="CK32" s="180"/>
      <c r="CL32" s="180"/>
      <c r="CM32" s="180"/>
      <c r="CN32" s="180"/>
      <c r="CO32" s="180"/>
      <c r="CP32" s="180"/>
      <c r="CQ32" s="180"/>
      <c r="CR32" s="180"/>
      <c r="CS32" s="180"/>
      <c r="CT32" s="180"/>
      <c r="CU32" s="180"/>
    </row>
    <row r="33" spans="1:99" x14ac:dyDescent="0.3">
      <c r="A33" s="155">
        <v>90</v>
      </c>
      <c r="B33" s="180" t="s">
        <v>214</v>
      </c>
      <c r="C33" s="180"/>
      <c r="D33" s="180">
        <v>0</v>
      </c>
      <c r="E33" s="180">
        <v>0</v>
      </c>
      <c r="F33" s="180"/>
      <c r="G33" s="180">
        <v>0</v>
      </c>
      <c r="H33" s="180">
        <v>0</v>
      </c>
      <c r="I33" s="180">
        <v>0</v>
      </c>
      <c r="J33" s="180">
        <v>0</v>
      </c>
      <c r="K33" s="180">
        <v>0</v>
      </c>
      <c r="L33" s="180">
        <v>0</v>
      </c>
      <c r="M33" s="180"/>
      <c r="N33" s="180">
        <v>0</v>
      </c>
      <c r="O33" s="180"/>
      <c r="P33" s="180">
        <v>0</v>
      </c>
      <c r="Q33" s="180">
        <v>0</v>
      </c>
      <c r="R33" s="180">
        <v>0</v>
      </c>
      <c r="S33" s="180">
        <v>2927349</v>
      </c>
      <c r="T33" s="180">
        <v>0</v>
      </c>
      <c r="U33" s="180">
        <v>34878868</v>
      </c>
      <c r="V33" s="180">
        <v>0</v>
      </c>
      <c r="W33" s="180">
        <v>0</v>
      </c>
      <c r="X33" s="180">
        <v>0</v>
      </c>
      <c r="Y33" s="180">
        <v>0</v>
      </c>
      <c r="Z33" s="180">
        <v>722309</v>
      </c>
      <c r="AA33" s="180">
        <v>0</v>
      </c>
      <c r="AB33" s="180">
        <v>0</v>
      </c>
      <c r="AC33" s="180">
        <v>0</v>
      </c>
      <c r="AD33" s="180">
        <v>0</v>
      </c>
      <c r="AE33" s="180">
        <v>1843660</v>
      </c>
      <c r="AF33" s="180">
        <v>0</v>
      </c>
      <c r="AG33" s="180">
        <v>0</v>
      </c>
      <c r="AH33" s="180">
        <v>0</v>
      </c>
      <c r="AI33" s="180">
        <v>0</v>
      </c>
      <c r="AJ33" s="180">
        <v>1772411</v>
      </c>
      <c r="AK33" s="180">
        <v>0</v>
      </c>
      <c r="AL33" s="180">
        <v>0</v>
      </c>
      <c r="AM33" s="180">
        <v>0</v>
      </c>
      <c r="AN33" s="180">
        <v>0</v>
      </c>
      <c r="AO33" s="180"/>
      <c r="AP33" s="180">
        <v>0</v>
      </c>
      <c r="AQ33" s="180">
        <v>15280493</v>
      </c>
      <c r="AR33" s="180"/>
      <c r="AS33" s="180"/>
      <c r="AT33" s="180"/>
      <c r="AU33" s="180">
        <v>4830785</v>
      </c>
      <c r="AV33" s="180">
        <v>0</v>
      </c>
      <c r="AW33" s="180"/>
      <c r="AX33" s="180">
        <v>0</v>
      </c>
      <c r="AY33" s="180">
        <v>0</v>
      </c>
      <c r="AZ33" s="180"/>
      <c r="BA33" s="180">
        <v>0</v>
      </c>
      <c r="BB33" s="180">
        <v>0</v>
      </c>
      <c r="BC33" s="180"/>
      <c r="BD33" s="180">
        <v>0</v>
      </c>
      <c r="BE33" s="180">
        <v>2687780</v>
      </c>
      <c r="BF33" s="180"/>
      <c r="BG33" s="180"/>
      <c r="BH33" s="180">
        <v>0</v>
      </c>
      <c r="BI33" s="180">
        <v>0</v>
      </c>
      <c r="BJ33" s="180">
        <v>0</v>
      </c>
      <c r="BK33" s="180">
        <v>2918403</v>
      </c>
      <c r="BL33" s="180">
        <v>0</v>
      </c>
      <c r="BM33" s="180">
        <v>0</v>
      </c>
      <c r="BN33" s="180">
        <v>0</v>
      </c>
      <c r="BO33" s="180">
        <v>0</v>
      </c>
      <c r="BP33" s="180">
        <v>0</v>
      </c>
      <c r="BQ33" s="180">
        <v>0</v>
      </c>
      <c r="BR33" s="180">
        <v>0</v>
      </c>
      <c r="BS33" s="180">
        <v>0</v>
      </c>
      <c r="BT33" s="180">
        <v>0</v>
      </c>
      <c r="BU33" s="180">
        <v>0</v>
      </c>
      <c r="BV33" s="180">
        <v>0</v>
      </c>
      <c r="BW33" s="180">
        <v>0</v>
      </c>
      <c r="BX33" s="180"/>
      <c r="BY33" s="180">
        <v>0</v>
      </c>
      <c r="BZ33" s="180">
        <v>0</v>
      </c>
      <c r="CA33" s="180">
        <v>0</v>
      </c>
      <c r="CB33" s="180"/>
      <c r="CC33" s="180"/>
      <c r="CD33" s="180"/>
      <c r="CE33" s="180"/>
      <c r="CF33" s="180"/>
      <c r="CG33" s="180"/>
      <c r="CH33" s="180"/>
      <c r="CI33" s="180"/>
      <c r="CJ33" s="180"/>
      <c r="CK33" s="180"/>
      <c r="CL33" s="180"/>
      <c r="CM33" s="180"/>
      <c r="CN33" s="180"/>
      <c r="CO33" s="180"/>
      <c r="CP33" s="180"/>
      <c r="CQ33" s="180"/>
      <c r="CR33" s="180"/>
      <c r="CS33" s="180"/>
      <c r="CT33" s="180"/>
      <c r="CU33" s="180"/>
    </row>
    <row r="34" spans="1:99" x14ac:dyDescent="0.3">
      <c r="A34" s="155">
        <v>91</v>
      </c>
      <c r="B34" s="180" t="s">
        <v>215</v>
      </c>
      <c r="C34" s="180"/>
      <c r="D34" s="180">
        <v>0</v>
      </c>
      <c r="E34" s="180">
        <v>0</v>
      </c>
      <c r="F34" s="180"/>
      <c r="G34" s="180">
        <v>0</v>
      </c>
      <c r="H34" s="180">
        <v>0</v>
      </c>
      <c r="I34" s="180">
        <v>0</v>
      </c>
      <c r="J34" s="180">
        <v>0</v>
      </c>
      <c r="K34" s="180">
        <v>0</v>
      </c>
      <c r="L34" s="180">
        <v>0</v>
      </c>
      <c r="M34" s="180"/>
      <c r="N34" s="180">
        <v>0</v>
      </c>
      <c r="O34" s="180"/>
      <c r="P34" s="180">
        <v>0</v>
      </c>
      <c r="Q34" s="180">
        <v>0</v>
      </c>
      <c r="R34" s="180">
        <v>0</v>
      </c>
      <c r="S34" s="180">
        <v>1408094</v>
      </c>
      <c r="T34" s="180">
        <v>0</v>
      </c>
      <c r="U34" s="180">
        <v>5709147</v>
      </c>
      <c r="V34" s="180">
        <v>0</v>
      </c>
      <c r="W34" s="180">
        <v>0</v>
      </c>
      <c r="X34" s="180">
        <v>0</v>
      </c>
      <c r="Y34" s="180">
        <v>0</v>
      </c>
      <c r="Z34" s="180">
        <v>133938</v>
      </c>
      <c r="AA34" s="180">
        <v>0</v>
      </c>
      <c r="AB34" s="180">
        <v>0</v>
      </c>
      <c r="AC34" s="180">
        <v>0</v>
      </c>
      <c r="AD34" s="180">
        <v>0</v>
      </c>
      <c r="AE34" s="180">
        <v>1076905</v>
      </c>
      <c r="AF34" s="180">
        <v>0</v>
      </c>
      <c r="AG34" s="180">
        <v>0</v>
      </c>
      <c r="AH34" s="180">
        <v>0</v>
      </c>
      <c r="AI34" s="180">
        <v>0</v>
      </c>
      <c r="AJ34" s="180">
        <v>1220634</v>
      </c>
      <c r="AK34" s="180">
        <v>0</v>
      </c>
      <c r="AL34" s="180">
        <v>0</v>
      </c>
      <c r="AM34" s="180">
        <v>0</v>
      </c>
      <c r="AN34" s="180">
        <v>0</v>
      </c>
      <c r="AO34" s="180"/>
      <c r="AP34" s="180">
        <v>0</v>
      </c>
      <c r="AQ34" s="180">
        <v>6351930</v>
      </c>
      <c r="AR34" s="180"/>
      <c r="AS34" s="180"/>
      <c r="AT34" s="180"/>
      <c r="AU34" s="180">
        <v>559574</v>
      </c>
      <c r="AV34" s="180">
        <v>0</v>
      </c>
      <c r="AW34" s="180"/>
      <c r="AX34" s="180">
        <v>0</v>
      </c>
      <c r="AY34" s="180">
        <v>0</v>
      </c>
      <c r="AZ34" s="180"/>
      <c r="BA34" s="180">
        <v>0</v>
      </c>
      <c r="BB34" s="180">
        <v>0</v>
      </c>
      <c r="BC34" s="180"/>
      <c r="BD34" s="180">
        <v>0</v>
      </c>
      <c r="BE34" s="180">
        <v>8338913</v>
      </c>
      <c r="BF34" s="180"/>
      <c r="BG34" s="180"/>
      <c r="BH34" s="180">
        <v>0</v>
      </c>
      <c r="BI34" s="180">
        <v>0</v>
      </c>
      <c r="BJ34" s="180">
        <v>0</v>
      </c>
      <c r="BK34" s="180">
        <v>568082</v>
      </c>
      <c r="BL34" s="180">
        <v>0</v>
      </c>
      <c r="BM34" s="180">
        <v>0</v>
      </c>
      <c r="BN34" s="180">
        <v>0</v>
      </c>
      <c r="BO34" s="180">
        <v>0</v>
      </c>
      <c r="BP34" s="180">
        <v>0</v>
      </c>
      <c r="BQ34" s="180">
        <v>0</v>
      </c>
      <c r="BR34" s="180">
        <v>0</v>
      </c>
      <c r="BS34" s="180">
        <v>0</v>
      </c>
      <c r="BT34" s="180">
        <v>0</v>
      </c>
      <c r="BU34" s="180">
        <v>0</v>
      </c>
      <c r="BV34" s="180">
        <v>0</v>
      </c>
      <c r="BW34" s="180">
        <v>0</v>
      </c>
      <c r="BX34" s="180"/>
      <c r="BY34" s="180">
        <v>0</v>
      </c>
      <c r="BZ34" s="180">
        <v>0</v>
      </c>
      <c r="CA34" s="180">
        <v>0</v>
      </c>
      <c r="CB34" s="180"/>
      <c r="CC34" s="180"/>
      <c r="CD34" s="180"/>
      <c r="CE34" s="180"/>
      <c r="CF34" s="180"/>
      <c r="CG34" s="180"/>
      <c r="CH34" s="180"/>
      <c r="CI34" s="180"/>
      <c r="CJ34" s="180"/>
      <c r="CK34" s="180"/>
      <c r="CL34" s="180"/>
      <c r="CM34" s="180"/>
      <c r="CN34" s="180"/>
      <c r="CO34" s="180"/>
      <c r="CP34" s="180"/>
      <c r="CQ34" s="180"/>
      <c r="CR34" s="180"/>
      <c r="CS34" s="180"/>
      <c r="CT34" s="180"/>
      <c r="CU34" s="180"/>
    </row>
    <row r="35" spans="1:99" x14ac:dyDescent="0.3">
      <c r="A35" s="155">
        <v>93</v>
      </c>
      <c r="B35" s="180" t="s">
        <v>228</v>
      </c>
      <c r="C35" s="180"/>
      <c r="D35" s="180">
        <v>0</v>
      </c>
      <c r="E35" s="180">
        <v>0</v>
      </c>
      <c r="F35" s="180"/>
      <c r="G35" s="180">
        <v>0</v>
      </c>
      <c r="H35" s="180">
        <v>0</v>
      </c>
      <c r="I35" s="180">
        <v>0</v>
      </c>
      <c r="J35" s="180">
        <v>0</v>
      </c>
      <c r="K35" s="180">
        <v>0</v>
      </c>
      <c r="L35" s="180">
        <v>0</v>
      </c>
      <c r="M35" s="180"/>
      <c r="N35" s="180">
        <v>0</v>
      </c>
      <c r="O35" s="180"/>
      <c r="P35" s="180">
        <v>0</v>
      </c>
      <c r="Q35" s="180">
        <v>0</v>
      </c>
      <c r="R35" s="180">
        <v>0</v>
      </c>
      <c r="S35" s="180">
        <v>14498908</v>
      </c>
      <c r="T35" s="180">
        <v>0</v>
      </c>
      <c r="U35" s="180">
        <v>47433657</v>
      </c>
      <c r="V35" s="180">
        <v>0</v>
      </c>
      <c r="W35" s="180">
        <v>0</v>
      </c>
      <c r="X35" s="180">
        <v>0</v>
      </c>
      <c r="Y35" s="180">
        <v>0</v>
      </c>
      <c r="Z35" s="180">
        <v>3506641</v>
      </c>
      <c r="AA35" s="180">
        <v>321999</v>
      </c>
      <c r="AB35" s="180">
        <v>0</v>
      </c>
      <c r="AC35" s="180">
        <v>0</v>
      </c>
      <c r="AD35" s="180">
        <v>0</v>
      </c>
      <c r="AE35" s="180">
        <v>5920638</v>
      </c>
      <c r="AF35" s="180">
        <v>0</v>
      </c>
      <c r="AG35" s="180">
        <v>0</v>
      </c>
      <c r="AH35" s="180">
        <v>0</v>
      </c>
      <c r="AI35" s="180">
        <v>0</v>
      </c>
      <c r="AJ35" s="180">
        <v>14783934</v>
      </c>
      <c r="AK35" s="180">
        <v>0</v>
      </c>
      <c r="AL35" s="180">
        <v>0</v>
      </c>
      <c r="AM35" s="180">
        <v>0</v>
      </c>
      <c r="AN35" s="180">
        <v>0</v>
      </c>
      <c r="AO35" s="180"/>
      <c r="AP35" s="180">
        <v>0</v>
      </c>
      <c r="AQ35" s="180">
        <v>46362739</v>
      </c>
      <c r="AR35" s="180"/>
      <c r="AS35" s="180"/>
      <c r="AT35" s="180"/>
      <c r="AU35" s="180">
        <v>7497646</v>
      </c>
      <c r="AV35" s="180">
        <v>0</v>
      </c>
      <c r="AW35" s="180"/>
      <c r="AX35" s="180">
        <v>0</v>
      </c>
      <c r="AY35" s="180">
        <v>0</v>
      </c>
      <c r="AZ35" s="180"/>
      <c r="BA35" s="180">
        <v>0</v>
      </c>
      <c r="BB35" s="180">
        <v>0</v>
      </c>
      <c r="BC35" s="180"/>
      <c r="BD35" s="180">
        <v>0</v>
      </c>
      <c r="BE35" s="180">
        <v>32672896</v>
      </c>
      <c r="BF35" s="180"/>
      <c r="BG35" s="180"/>
      <c r="BH35" s="180">
        <v>0</v>
      </c>
      <c r="BI35" s="180">
        <v>0</v>
      </c>
      <c r="BJ35" s="180">
        <v>0</v>
      </c>
      <c r="BK35" s="180">
        <v>6873922</v>
      </c>
      <c r="BL35" s="180">
        <v>0</v>
      </c>
      <c r="BM35" s="180">
        <v>0</v>
      </c>
      <c r="BN35" s="180">
        <v>0</v>
      </c>
      <c r="BO35" s="180">
        <v>0</v>
      </c>
      <c r="BP35" s="180">
        <v>0</v>
      </c>
      <c r="BQ35" s="180">
        <v>0</v>
      </c>
      <c r="BR35" s="180">
        <v>0</v>
      </c>
      <c r="BS35" s="180">
        <v>0</v>
      </c>
      <c r="BT35" s="180">
        <v>0</v>
      </c>
      <c r="BU35" s="180">
        <v>0</v>
      </c>
      <c r="BV35" s="180">
        <v>0</v>
      </c>
      <c r="BW35" s="180">
        <v>0</v>
      </c>
      <c r="BX35" s="180"/>
      <c r="BY35" s="180">
        <v>0</v>
      </c>
      <c r="BZ35" s="180">
        <v>0</v>
      </c>
      <c r="CA35" s="180">
        <v>0</v>
      </c>
      <c r="CB35" s="180"/>
      <c r="CC35" s="180"/>
      <c r="CD35" s="180"/>
      <c r="CE35" s="180"/>
      <c r="CF35" s="180"/>
      <c r="CG35" s="180"/>
      <c r="CH35" s="180"/>
      <c r="CI35" s="180"/>
      <c r="CJ35" s="180"/>
      <c r="CK35" s="180"/>
      <c r="CL35" s="180"/>
      <c r="CM35" s="180"/>
      <c r="CN35" s="180"/>
      <c r="CO35" s="180"/>
      <c r="CP35" s="180"/>
      <c r="CQ35" s="180"/>
      <c r="CR35" s="180"/>
      <c r="CS35" s="180"/>
      <c r="CT35" s="180"/>
      <c r="CU35" s="180"/>
    </row>
    <row r="36" spans="1:99" x14ac:dyDescent="0.3">
      <c r="A36" s="155">
        <v>94</v>
      </c>
      <c r="B36" s="180" t="s">
        <v>231</v>
      </c>
      <c r="C36" s="180"/>
      <c r="D36" s="180">
        <v>0</v>
      </c>
      <c r="E36" s="180">
        <v>0</v>
      </c>
      <c r="F36" s="180"/>
      <c r="G36" s="180">
        <v>0</v>
      </c>
      <c r="H36" s="180">
        <v>0</v>
      </c>
      <c r="I36" s="180">
        <v>0</v>
      </c>
      <c r="J36" s="180">
        <v>0</v>
      </c>
      <c r="K36" s="180">
        <v>0</v>
      </c>
      <c r="L36" s="180">
        <v>0</v>
      </c>
      <c r="M36" s="180"/>
      <c r="N36" s="180">
        <v>0</v>
      </c>
      <c r="O36" s="180"/>
      <c r="P36" s="180">
        <v>0</v>
      </c>
      <c r="Q36" s="180">
        <v>0</v>
      </c>
      <c r="R36" s="180">
        <v>0</v>
      </c>
      <c r="S36" s="180">
        <v>14625330</v>
      </c>
      <c r="T36" s="180">
        <v>0</v>
      </c>
      <c r="U36" s="180">
        <v>38287417</v>
      </c>
      <c r="V36" s="180">
        <v>0</v>
      </c>
      <c r="W36" s="180">
        <v>0</v>
      </c>
      <c r="X36" s="180">
        <v>0</v>
      </c>
      <c r="Y36" s="180">
        <v>0</v>
      </c>
      <c r="Z36" s="180">
        <v>3475528</v>
      </c>
      <c r="AA36" s="180">
        <v>504721</v>
      </c>
      <c r="AB36" s="180">
        <v>0</v>
      </c>
      <c r="AC36" s="180">
        <v>0</v>
      </c>
      <c r="AD36" s="180">
        <v>0</v>
      </c>
      <c r="AE36" s="180">
        <v>5532708</v>
      </c>
      <c r="AF36" s="180">
        <v>0</v>
      </c>
      <c r="AG36" s="180">
        <v>0</v>
      </c>
      <c r="AH36" s="180">
        <v>0</v>
      </c>
      <c r="AI36" s="180">
        <v>0</v>
      </c>
      <c r="AJ36" s="180">
        <v>13873273</v>
      </c>
      <c r="AK36" s="180">
        <v>0</v>
      </c>
      <c r="AL36" s="180">
        <v>0</v>
      </c>
      <c r="AM36" s="180">
        <v>0</v>
      </c>
      <c r="AN36" s="180">
        <v>0</v>
      </c>
      <c r="AO36" s="180"/>
      <c r="AP36" s="180">
        <v>0</v>
      </c>
      <c r="AQ36" s="180">
        <v>44529063</v>
      </c>
      <c r="AR36" s="180"/>
      <c r="AS36" s="180"/>
      <c r="AT36" s="180"/>
      <c r="AU36" s="180">
        <v>7514098</v>
      </c>
      <c r="AV36" s="180">
        <v>0</v>
      </c>
      <c r="AW36" s="180"/>
      <c r="AX36" s="180">
        <v>0</v>
      </c>
      <c r="AY36" s="180">
        <v>0</v>
      </c>
      <c r="AZ36" s="180"/>
      <c r="BA36" s="180">
        <v>0</v>
      </c>
      <c r="BB36" s="180">
        <v>0</v>
      </c>
      <c r="BC36" s="180"/>
      <c r="BD36" s="180">
        <v>0</v>
      </c>
      <c r="BE36" s="180">
        <v>30438324</v>
      </c>
      <c r="BF36" s="180"/>
      <c r="BG36" s="180"/>
      <c r="BH36" s="180">
        <v>0</v>
      </c>
      <c r="BI36" s="180">
        <v>0</v>
      </c>
      <c r="BJ36" s="180">
        <v>0</v>
      </c>
      <c r="BK36" s="180">
        <v>7505387</v>
      </c>
      <c r="BL36" s="180">
        <v>0</v>
      </c>
      <c r="BM36" s="180">
        <v>0</v>
      </c>
      <c r="BN36" s="180">
        <v>0</v>
      </c>
      <c r="BO36" s="180">
        <v>0</v>
      </c>
      <c r="BP36" s="180">
        <v>0</v>
      </c>
      <c r="BQ36" s="180">
        <v>0</v>
      </c>
      <c r="BR36" s="180">
        <v>0</v>
      </c>
      <c r="BS36" s="180">
        <v>0</v>
      </c>
      <c r="BT36" s="180">
        <v>0</v>
      </c>
      <c r="BU36" s="180">
        <v>0</v>
      </c>
      <c r="BV36" s="180">
        <v>0</v>
      </c>
      <c r="BW36" s="180">
        <v>0</v>
      </c>
      <c r="BX36" s="180"/>
      <c r="BY36" s="180">
        <v>0</v>
      </c>
      <c r="BZ36" s="180">
        <v>0</v>
      </c>
      <c r="CA36" s="180">
        <v>0</v>
      </c>
      <c r="CB36" s="180"/>
      <c r="CC36" s="180"/>
      <c r="CD36" s="180"/>
      <c r="CE36" s="180"/>
      <c r="CF36" s="180"/>
      <c r="CG36" s="180"/>
      <c r="CH36" s="180"/>
      <c r="CI36" s="180"/>
      <c r="CJ36" s="180"/>
      <c r="CK36" s="180"/>
      <c r="CL36" s="180"/>
      <c r="CM36" s="180"/>
      <c r="CN36" s="180"/>
      <c r="CO36" s="180"/>
      <c r="CP36" s="180"/>
      <c r="CQ36" s="180"/>
      <c r="CR36" s="180"/>
      <c r="CS36" s="180"/>
      <c r="CT36" s="180"/>
      <c r="CU36" s="180"/>
    </row>
    <row r="37" spans="1:99" x14ac:dyDescent="0.3">
      <c r="A37" s="155">
        <v>97</v>
      </c>
      <c r="B37" s="180" t="s">
        <v>227</v>
      </c>
      <c r="C37" s="180"/>
      <c r="D37" s="180">
        <v>0</v>
      </c>
      <c r="E37" s="180">
        <v>0</v>
      </c>
      <c r="F37" s="180"/>
      <c r="G37" s="180">
        <v>0</v>
      </c>
      <c r="H37" s="180">
        <v>0</v>
      </c>
      <c r="I37" s="180">
        <v>0</v>
      </c>
      <c r="J37" s="180">
        <v>0</v>
      </c>
      <c r="K37" s="180">
        <v>0</v>
      </c>
      <c r="L37" s="180">
        <v>0</v>
      </c>
      <c r="M37" s="180"/>
      <c r="N37" s="180">
        <v>0</v>
      </c>
      <c r="O37" s="180"/>
      <c r="P37" s="180">
        <v>0</v>
      </c>
      <c r="Q37" s="180">
        <v>0</v>
      </c>
      <c r="R37" s="180">
        <v>0</v>
      </c>
      <c r="S37" s="180">
        <v>14020654</v>
      </c>
      <c r="T37" s="180">
        <v>0</v>
      </c>
      <c r="U37" s="180">
        <v>47366821</v>
      </c>
      <c r="V37" s="180">
        <v>0</v>
      </c>
      <c r="W37" s="180">
        <v>0</v>
      </c>
      <c r="X37" s="180">
        <v>0</v>
      </c>
      <c r="Y37" s="180">
        <v>0</v>
      </c>
      <c r="Z37" s="180">
        <v>3505941</v>
      </c>
      <c r="AA37" s="180">
        <v>321999</v>
      </c>
      <c r="AB37" s="180">
        <v>0</v>
      </c>
      <c r="AC37" s="180">
        <v>0</v>
      </c>
      <c r="AD37" s="180">
        <v>0</v>
      </c>
      <c r="AE37" s="180">
        <v>5709274</v>
      </c>
      <c r="AF37" s="180">
        <v>0</v>
      </c>
      <c r="AG37" s="180">
        <v>0</v>
      </c>
      <c r="AH37" s="180">
        <v>0</v>
      </c>
      <c r="AI37" s="180">
        <v>0</v>
      </c>
      <c r="AJ37" s="180">
        <v>14088822</v>
      </c>
      <c r="AK37" s="180">
        <v>0</v>
      </c>
      <c r="AL37" s="180">
        <v>0</v>
      </c>
      <c r="AM37" s="180">
        <v>0</v>
      </c>
      <c r="AN37" s="180">
        <v>0</v>
      </c>
      <c r="AO37" s="180"/>
      <c r="AP37" s="180">
        <v>0</v>
      </c>
      <c r="AQ37" s="180">
        <v>46084870</v>
      </c>
      <c r="AR37" s="180"/>
      <c r="AS37" s="180"/>
      <c r="AT37" s="180"/>
      <c r="AU37" s="180">
        <v>6582812</v>
      </c>
      <c r="AV37" s="180">
        <v>0</v>
      </c>
      <c r="AW37" s="180"/>
      <c r="AX37" s="180">
        <v>0</v>
      </c>
      <c r="AY37" s="180">
        <v>0</v>
      </c>
      <c r="AZ37" s="180"/>
      <c r="BA37" s="180">
        <v>0</v>
      </c>
      <c r="BB37" s="180">
        <v>0</v>
      </c>
      <c r="BC37" s="180"/>
      <c r="BD37" s="180">
        <v>0</v>
      </c>
      <c r="BE37" s="180">
        <v>28765015</v>
      </c>
      <c r="BF37" s="180"/>
      <c r="BG37" s="180"/>
      <c r="BH37" s="180">
        <v>0</v>
      </c>
      <c r="BI37" s="180">
        <v>0</v>
      </c>
      <c r="BJ37" s="180">
        <v>0</v>
      </c>
      <c r="BK37" s="180">
        <v>6873922</v>
      </c>
      <c r="BL37" s="180">
        <v>0</v>
      </c>
      <c r="BM37" s="180">
        <v>0</v>
      </c>
      <c r="BN37" s="180">
        <v>0</v>
      </c>
      <c r="BO37" s="180">
        <v>0</v>
      </c>
      <c r="BP37" s="180">
        <v>0</v>
      </c>
      <c r="BQ37" s="180">
        <v>0</v>
      </c>
      <c r="BR37" s="180">
        <v>0</v>
      </c>
      <c r="BS37" s="180">
        <v>0</v>
      </c>
      <c r="BT37" s="180">
        <v>0</v>
      </c>
      <c r="BU37" s="180">
        <v>0</v>
      </c>
      <c r="BV37" s="180">
        <v>0</v>
      </c>
      <c r="BW37" s="180">
        <v>0</v>
      </c>
      <c r="BX37" s="180"/>
      <c r="BY37" s="180">
        <v>0</v>
      </c>
      <c r="BZ37" s="180">
        <v>0</v>
      </c>
      <c r="CA37" s="180">
        <v>0</v>
      </c>
      <c r="CB37" s="180"/>
      <c r="CC37" s="180"/>
      <c r="CD37" s="180"/>
      <c r="CE37" s="180"/>
      <c r="CF37" s="180"/>
      <c r="CG37" s="180"/>
      <c r="CH37" s="180"/>
      <c r="CI37" s="180"/>
      <c r="CJ37" s="180"/>
      <c r="CK37" s="180"/>
      <c r="CL37" s="180"/>
      <c r="CM37" s="180"/>
      <c r="CN37" s="180"/>
      <c r="CO37" s="180"/>
      <c r="CP37" s="180"/>
      <c r="CQ37" s="180"/>
      <c r="CR37" s="180"/>
      <c r="CS37" s="180"/>
      <c r="CT37" s="180"/>
      <c r="CU37" s="180"/>
    </row>
    <row r="38" spans="1:99" x14ac:dyDescent="0.3">
      <c r="A38" s="155">
        <v>98</v>
      </c>
      <c r="B38" s="180" t="s">
        <v>232</v>
      </c>
      <c r="C38" s="180"/>
      <c r="D38" s="180">
        <v>0</v>
      </c>
      <c r="E38" s="180">
        <v>0</v>
      </c>
      <c r="F38" s="180"/>
      <c r="G38" s="180">
        <v>0</v>
      </c>
      <c r="H38" s="180">
        <v>0</v>
      </c>
      <c r="I38" s="180">
        <v>0</v>
      </c>
      <c r="J38" s="180">
        <v>0</v>
      </c>
      <c r="K38" s="180">
        <v>0</v>
      </c>
      <c r="L38" s="180">
        <v>0</v>
      </c>
      <c r="M38" s="180"/>
      <c r="N38" s="180">
        <v>0</v>
      </c>
      <c r="O38" s="180"/>
      <c r="P38" s="180">
        <v>0</v>
      </c>
      <c r="Q38" s="180">
        <v>0</v>
      </c>
      <c r="R38" s="180">
        <v>0</v>
      </c>
      <c r="S38" s="180">
        <v>4347</v>
      </c>
      <c r="T38" s="180">
        <v>0</v>
      </c>
      <c r="U38" s="180">
        <v>7475</v>
      </c>
      <c r="V38" s="180">
        <v>0</v>
      </c>
      <c r="W38" s="180">
        <v>0</v>
      </c>
      <c r="X38" s="180">
        <v>0</v>
      </c>
      <c r="Y38" s="180">
        <v>0</v>
      </c>
      <c r="Z38" s="180">
        <v>273</v>
      </c>
      <c r="AA38" s="180">
        <v>0</v>
      </c>
      <c r="AB38" s="180">
        <v>0</v>
      </c>
      <c r="AC38" s="180">
        <v>0</v>
      </c>
      <c r="AD38" s="180">
        <v>0</v>
      </c>
      <c r="AE38" s="180">
        <v>2321</v>
      </c>
      <c r="AF38" s="180">
        <v>0</v>
      </c>
      <c r="AG38" s="180">
        <v>0</v>
      </c>
      <c r="AH38" s="180">
        <v>0</v>
      </c>
      <c r="AI38" s="180">
        <v>0</v>
      </c>
      <c r="AJ38" s="180">
        <v>32715</v>
      </c>
      <c r="AK38" s="180">
        <v>0</v>
      </c>
      <c r="AL38" s="180">
        <v>0</v>
      </c>
      <c r="AM38" s="180">
        <v>0</v>
      </c>
      <c r="AN38" s="180">
        <v>0</v>
      </c>
      <c r="AO38" s="180"/>
      <c r="AP38" s="180">
        <v>0</v>
      </c>
      <c r="AQ38" s="180">
        <v>86591</v>
      </c>
      <c r="AR38" s="180"/>
      <c r="AS38" s="180"/>
      <c r="AT38" s="180"/>
      <c r="AU38" s="180">
        <v>0</v>
      </c>
      <c r="AV38" s="180">
        <v>0</v>
      </c>
      <c r="AW38" s="180"/>
      <c r="AX38" s="180">
        <v>0</v>
      </c>
      <c r="AY38" s="180">
        <v>0</v>
      </c>
      <c r="AZ38" s="180"/>
      <c r="BA38" s="180">
        <v>0</v>
      </c>
      <c r="BB38" s="180">
        <v>0</v>
      </c>
      <c r="BC38" s="180"/>
      <c r="BD38" s="180">
        <v>0</v>
      </c>
      <c r="BE38" s="180">
        <v>2425</v>
      </c>
      <c r="BF38" s="180"/>
      <c r="BG38" s="180"/>
      <c r="BH38" s="180">
        <v>0</v>
      </c>
      <c r="BI38" s="180">
        <v>0</v>
      </c>
      <c r="BJ38" s="180">
        <v>0</v>
      </c>
      <c r="BK38" s="180">
        <v>0</v>
      </c>
      <c r="BL38" s="180">
        <v>0</v>
      </c>
      <c r="BM38" s="180">
        <v>0</v>
      </c>
      <c r="BN38" s="180">
        <v>0</v>
      </c>
      <c r="BO38" s="180">
        <v>0</v>
      </c>
      <c r="BP38" s="180">
        <v>0</v>
      </c>
      <c r="BQ38" s="180">
        <v>0</v>
      </c>
      <c r="BR38" s="180">
        <v>0</v>
      </c>
      <c r="BS38" s="180">
        <v>0</v>
      </c>
      <c r="BT38" s="180">
        <v>0</v>
      </c>
      <c r="BU38" s="180">
        <v>0</v>
      </c>
      <c r="BV38" s="180">
        <v>0</v>
      </c>
      <c r="BW38" s="180">
        <v>0</v>
      </c>
      <c r="BX38" s="180"/>
      <c r="BY38" s="180">
        <v>0</v>
      </c>
      <c r="BZ38" s="180">
        <v>0</v>
      </c>
      <c r="CA38" s="180">
        <v>0</v>
      </c>
      <c r="CB38" s="180"/>
      <c r="CC38" s="180"/>
      <c r="CD38" s="180"/>
      <c r="CE38" s="180"/>
      <c r="CF38" s="180"/>
      <c r="CG38" s="180"/>
      <c r="CH38" s="180"/>
      <c r="CI38" s="180"/>
      <c r="CJ38" s="180"/>
      <c r="CK38" s="180"/>
      <c r="CL38" s="180"/>
      <c r="CM38" s="180"/>
      <c r="CN38" s="180"/>
      <c r="CO38" s="180"/>
      <c r="CP38" s="180"/>
      <c r="CQ38" s="180"/>
      <c r="CR38" s="180"/>
      <c r="CS38" s="180"/>
      <c r="CT38" s="180"/>
      <c r="CU38" s="180"/>
    </row>
    <row r="39" spans="1:99" x14ac:dyDescent="0.3">
      <c r="A39" s="155">
        <v>99</v>
      </c>
      <c r="B39" s="180" t="s">
        <v>229</v>
      </c>
      <c r="C39" s="180"/>
      <c r="D39" s="180">
        <v>0</v>
      </c>
      <c r="E39" s="180">
        <v>0</v>
      </c>
      <c r="F39" s="180"/>
      <c r="G39" s="180">
        <v>0</v>
      </c>
      <c r="H39" s="180">
        <v>0</v>
      </c>
      <c r="I39" s="180">
        <v>0</v>
      </c>
      <c r="J39" s="180">
        <v>0</v>
      </c>
      <c r="K39" s="180">
        <v>0</v>
      </c>
      <c r="L39" s="180">
        <v>0</v>
      </c>
      <c r="M39" s="180"/>
      <c r="N39" s="180">
        <v>0</v>
      </c>
      <c r="O39" s="180"/>
      <c r="P39" s="180">
        <v>0</v>
      </c>
      <c r="Q39" s="180">
        <v>0</v>
      </c>
      <c r="R39" s="180">
        <v>0</v>
      </c>
      <c r="S39" s="180">
        <v>10285382</v>
      </c>
      <c r="T39" s="180">
        <v>0</v>
      </c>
      <c r="U39" s="180">
        <v>37187282</v>
      </c>
      <c r="V39" s="180">
        <v>0</v>
      </c>
      <c r="W39" s="180">
        <v>0</v>
      </c>
      <c r="X39" s="180">
        <v>0</v>
      </c>
      <c r="Y39" s="180">
        <v>0</v>
      </c>
      <c r="Z39" s="180">
        <v>2363580</v>
      </c>
      <c r="AA39" s="180">
        <v>0</v>
      </c>
      <c r="AB39" s="180">
        <v>0</v>
      </c>
      <c r="AC39" s="180">
        <v>0</v>
      </c>
      <c r="AD39" s="180">
        <v>0</v>
      </c>
      <c r="AE39" s="180">
        <v>3876660</v>
      </c>
      <c r="AF39" s="180">
        <v>0</v>
      </c>
      <c r="AG39" s="180">
        <v>0</v>
      </c>
      <c r="AH39" s="180">
        <v>0</v>
      </c>
      <c r="AI39" s="180">
        <v>0</v>
      </c>
      <c r="AJ39" s="180">
        <v>10592540</v>
      </c>
      <c r="AK39" s="180">
        <v>0</v>
      </c>
      <c r="AL39" s="180">
        <v>0</v>
      </c>
      <c r="AM39" s="180">
        <v>0</v>
      </c>
      <c r="AN39" s="180">
        <v>0</v>
      </c>
      <c r="AO39" s="180"/>
      <c r="AP39" s="180">
        <v>0</v>
      </c>
      <c r="AQ39" s="180">
        <v>32054288</v>
      </c>
      <c r="AR39" s="180"/>
      <c r="AS39" s="180"/>
      <c r="AT39" s="180"/>
      <c r="AU39" s="180">
        <v>4979686</v>
      </c>
      <c r="AV39" s="180">
        <v>0</v>
      </c>
      <c r="AW39" s="180"/>
      <c r="AX39" s="180">
        <v>0</v>
      </c>
      <c r="AY39" s="180">
        <v>0</v>
      </c>
      <c r="AZ39" s="180"/>
      <c r="BA39" s="180">
        <v>0</v>
      </c>
      <c r="BB39" s="180">
        <v>0</v>
      </c>
      <c r="BC39" s="180"/>
      <c r="BD39" s="180">
        <v>0</v>
      </c>
      <c r="BE39" s="180">
        <v>23521660</v>
      </c>
      <c r="BF39" s="180"/>
      <c r="BG39" s="180"/>
      <c r="BH39" s="180">
        <v>0</v>
      </c>
      <c r="BI39" s="180">
        <v>0</v>
      </c>
      <c r="BJ39" s="180">
        <v>0</v>
      </c>
      <c r="BK39" s="180">
        <v>7364235</v>
      </c>
      <c r="BL39" s="180">
        <v>0</v>
      </c>
      <c r="BM39" s="180">
        <v>0</v>
      </c>
      <c r="BN39" s="180">
        <v>0</v>
      </c>
      <c r="BO39" s="180">
        <v>0</v>
      </c>
      <c r="BP39" s="180">
        <v>0</v>
      </c>
      <c r="BQ39" s="180">
        <v>0</v>
      </c>
      <c r="BR39" s="180">
        <v>0</v>
      </c>
      <c r="BS39" s="180">
        <v>0</v>
      </c>
      <c r="BT39" s="180">
        <v>0</v>
      </c>
      <c r="BU39" s="180">
        <v>0</v>
      </c>
      <c r="BV39" s="180">
        <v>0</v>
      </c>
      <c r="BW39" s="180">
        <v>0</v>
      </c>
      <c r="BX39" s="180"/>
      <c r="BY39" s="180">
        <v>0</v>
      </c>
      <c r="BZ39" s="180">
        <v>0</v>
      </c>
      <c r="CA39" s="180">
        <v>0</v>
      </c>
      <c r="CB39" s="180"/>
      <c r="CC39" s="180"/>
      <c r="CD39" s="180"/>
      <c r="CE39" s="180"/>
      <c r="CF39" s="180"/>
      <c r="CG39" s="180"/>
      <c r="CH39" s="180"/>
      <c r="CI39" s="180"/>
      <c r="CJ39" s="180"/>
      <c r="CK39" s="180"/>
      <c r="CL39" s="180"/>
      <c r="CM39" s="180"/>
      <c r="CN39" s="180"/>
      <c r="CO39" s="180"/>
      <c r="CP39" s="180"/>
      <c r="CQ39" s="180"/>
      <c r="CR39" s="180"/>
      <c r="CS39" s="180"/>
      <c r="CT39" s="180"/>
      <c r="CU39" s="180"/>
    </row>
    <row r="40" spans="1:99" x14ac:dyDescent="0.3">
      <c r="A40" s="155">
        <v>100</v>
      </c>
      <c r="B40" s="180" t="s">
        <v>242</v>
      </c>
      <c r="C40" s="180"/>
      <c r="D40" s="180">
        <v>0</v>
      </c>
      <c r="E40" s="180">
        <v>0</v>
      </c>
      <c r="F40" s="180"/>
      <c r="G40" s="180">
        <v>0</v>
      </c>
      <c r="H40" s="180">
        <v>0</v>
      </c>
      <c r="I40" s="180">
        <v>0</v>
      </c>
      <c r="J40" s="180">
        <v>0</v>
      </c>
      <c r="K40" s="180">
        <v>0</v>
      </c>
      <c r="L40" s="180">
        <v>0</v>
      </c>
      <c r="M40" s="180"/>
      <c r="N40" s="180">
        <v>0</v>
      </c>
      <c r="O40" s="180"/>
      <c r="P40" s="180">
        <v>0</v>
      </c>
      <c r="Q40" s="180">
        <v>0</v>
      </c>
      <c r="R40" s="180">
        <v>0</v>
      </c>
      <c r="S40" s="180">
        <v>214153</v>
      </c>
      <c r="T40" s="180">
        <v>0</v>
      </c>
      <c r="U40" s="180">
        <v>214120</v>
      </c>
      <c r="V40" s="180">
        <v>0</v>
      </c>
      <c r="W40" s="180">
        <v>0</v>
      </c>
      <c r="X40" s="180">
        <v>0</v>
      </c>
      <c r="Y40" s="180">
        <v>0</v>
      </c>
      <c r="Z40" s="180">
        <v>46797</v>
      </c>
      <c r="AA40" s="180">
        <v>0</v>
      </c>
      <c r="AB40" s="180">
        <v>0</v>
      </c>
      <c r="AC40" s="180">
        <v>0</v>
      </c>
      <c r="AD40" s="180">
        <v>0</v>
      </c>
      <c r="AE40" s="180">
        <v>34522</v>
      </c>
      <c r="AF40" s="180">
        <v>0</v>
      </c>
      <c r="AG40" s="180">
        <v>0</v>
      </c>
      <c r="AH40" s="180">
        <v>0</v>
      </c>
      <c r="AI40" s="180">
        <v>0</v>
      </c>
      <c r="AJ40" s="180">
        <v>159946</v>
      </c>
      <c r="AK40" s="180">
        <v>0</v>
      </c>
      <c r="AL40" s="180">
        <v>0</v>
      </c>
      <c r="AM40" s="180">
        <v>0</v>
      </c>
      <c r="AN40" s="180">
        <v>0</v>
      </c>
      <c r="AO40" s="180"/>
      <c r="AP40" s="180">
        <v>0</v>
      </c>
      <c r="AQ40" s="180">
        <v>649744</v>
      </c>
      <c r="AR40" s="180"/>
      <c r="AS40" s="180"/>
      <c r="AT40" s="180"/>
      <c r="AU40" s="180">
        <v>172</v>
      </c>
      <c r="AV40" s="180">
        <v>0</v>
      </c>
      <c r="AW40" s="180"/>
      <c r="AX40" s="180">
        <v>0</v>
      </c>
      <c r="AY40" s="180">
        <v>0</v>
      </c>
      <c r="AZ40" s="180"/>
      <c r="BA40" s="180">
        <v>0</v>
      </c>
      <c r="BB40" s="180">
        <v>0</v>
      </c>
      <c r="BC40" s="180"/>
      <c r="BD40" s="180">
        <v>0</v>
      </c>
      <c r="BE40" s="180">
        <v>69191</v>
      </c>
      <c r="BF40" s="180"/>
      <c r="BG40" s="180"/>
      <c r="BH40" s="180">
        <v>0</v>
      </c>
      <c r="BI40" s="180">
        <v>0</v>
      </c>
      <c r="BJ40" s="180">
        <v>0</v>
      </c>
      <c r="BK40" s="180">
        <v>0</v>
      </c>
      <c r="BL40" s="180">
        <v>0</v>
      </c>
      <c r="BM40" s="180">
        <v>0</v>
      </c>
      <c r="BN40" s="180">
        <v>0</v>
      </c>
      <c r="BO40" s="180">
        <v>0</v>
      </c>
      <c r="BP40" s="180">
        <v>0</v>
      </c>
      <c r="BQ40" s="180">
        <v>0</v>
      </c>
      <c r="BR40" s="180">
        <v>0</v>
      </c>
      <c r="BS40" s="180">
        <v>0</v>
      </c>
      <c r="BT40" s="180">
        <v>0</v>
      </c>
      <c r="BU40" s="180">
        <v>0</v>
      </c>
      <c r="BV40" s="180">
        <v>0</v>
      </c>
      <c r="BW40" s="180">
        <v>0</v>
      </c>
      <c r="BX40" s="180"/>
      <c r="BY40" s="180">
        <v>0</v>
      </c>
      <c r="BZ40" s="180">
        <v>0</v>
      </c>
      <c r="CA40" s="180">
        <v>0</v>
      </c>
      <c r="CB40" s="180"/>
      <c r="CC40" s="180"/>
      <c r="CD40" s="180"/>
      <c r="CE40" s="180"/>
      <c r="CF40" s="180"/>
      <c r="CG40" s="180"/>
      <c r="CH40" s="180"/>
      <c r="CI40" s="180"/>
      <c r="CJ40" s="180"/>
      <c r="CK40" s="180"/>
      <c r="CL40" s="180"/>
      <c r="CM40" s="180"/>
      <c r="CN40" s="180"/>
      <c r="CO40" s="180"/>
      <c r="CP40" s="180"/>
      <c r="CQ40" s="180"/>
      <c r="CR40" s="180"/>
      <c r="CS40" s="180"/>
      <c r="CT40" s="180"/>
      <c r="CU40" s="180"/>
    </row>
    <row r="41" spans="1:99" x14ac:dyDescent="0.3">
      <c r="A41" s="155">
        <v>101</v>
      </c>
      <c r="B41" s="180" t="s">
        <v>241</v>
      </c>
      <c r="C41" s="180"/>
      <c r="D41" s="180">
        <v>0</v>
      </c>
      <c r="E41" s="180">
        <v>0</v>
      </c>
      <c r="F41" s="180"/>
      <c r="G41" s="180">
        <v>0</v>
      </c>
      <c r="H41" s="180">
        <v>0</v>
      </c>
      <c r="I41" s="180">
        <v>0</v>
      </c>
      <c r="J41" s="180">
        <v>0</v>
      </c>
      <c r="K41" s="180">
        <v>0</v>
      </c>
      <c r="L41" s="180">
        <v>0</v>
      </c>
      <c r="M41" s="180"/>
      <c r="N41" s="180">
        <v>0</v>
      </c>
      <c r="O41" s="180"/>
      <c r="P41" s="180">
        <v>0</v>
      </c>
      <c r="Q41" s="180">
        <v>0</v>
      </c>
      <c r="R41" s="180">
        <v>0</v>
      </c>
      <c r="S41" s="180">
        <v>1937366</v>
      </c>
      <c r="T41" s="180">
        <v>0</v>
      </c>
      <c r="U41" s="180">
        <v>1374627</v>
      </c>
      <c r="V41" s="180">
        <v>0</v>
      </c>
      <c r="W41" s="180">
        <v>0</v>
      </c>
      <c r="X41" s="180">
        <v>0</v>
      </c>
      <c r="Y41" s="180">
        <v>0</v>
      </c>
      <c r="Z41" s="180">
        <v>1992044</v>
      </c>
      <c r="AA41" s="180">
        <v>19985</v>
      </c>
      <c r="AB41" s="180">
        <v>0</v>
      </c>
      <c r="AC41" s="180">
        <v>0</v>
      </c>
      <c r="AD41" s="180">
        <v>0</v>
      </c>
      <c r="AE41" s="180">
        <v>219964</v>
      </c>
      <c r="AF41" s="180">
        <v>0</v>
      </c>
      <c r="AG41" s="180">
        <v>0</v>
      </c>
      <c r="AH41" s="180">
        <v>0</v>
      </c>
      <c r="AI41" s="180">
        <v>0</v>
      </c>
      <c r="AJ41" s="180">
        <v>754726</v>
      </c>
      <c r="AK41" s="180">
        <v>0</v>
      </c>
      <c r="AL41" s="180">
        <v>0</v>
      </c>
      <c r="AM41" s="180">
        <v>0</v>
      </c>
      <c r="AN41" s="180">
        <v>0</v>
      </c>
      <c r="AO41" s="180"/>
      <c r="AP41" s="180">
        <v>0</v>
      </c>
      <c r="AQ41" s="180">
        <v>3143091</v>
      </c>
      <c r="AR41" s="180"/>
      <c r="AS41" s="180"/>
      <c r="AT41" s="180"/>
      <c r="AU41" s="180">
        <v>26606</v>
      </c>
      <c r="AV41" s="180">
        <v>0</v>
      </c>
      <c r="AW41" s="180"/>
      <c r="AX41" s="180">
        <v>0</v>
      </c>
      <c r="AY41" s="180">
        <v>0</v>
      </c>
      <c r="AZ41" s="180"/>
      <c r="BA41" s="180">
        <v>0</v>
      </c>
      <c r="BB41" s="180">
        <v>0</v>
      </c>
      <c r="BC41" s="180"/>
      <c r="BD41" s="180">
        <v>0</v>
      </c>
      <c r="BE41" s="180">
        <v>2121437</v>
      </c>
      <c r="BF41" s="180"/>
      <c r="BG41" s="180"/>
      <c r="BH41" s="180">
        <v>0</v>
      </c>
      <c r="BI41" s="180">
        <v>0</v>
      </c>
      <c r="BJ41" s="180">
        <v>0</v>
      </c>
      <c r="BK41" s="180">
        <v>75200</v>
      </c>
      <c r="BL41" s="180">
        <v>0</v>
      </c>
      <c r="BM41" s="180">
        <v>0</v>
      </c>
      <c r="BN41" s="180">
        <v>0</v>
      </c>
      <c r="BO41" s="180">
        <v>0</v>
      </c>
      <c r="BP41" s="180">
        <v>0</v>
      </c>
      <c r="BQ41" s="180">
        <v>0</v>
      </c>
      <c r="BR41" s="180">
        <v>0</v>
      </c>
      <c r="BS41" s="180">
        <v>0</v>
      </c>
      <c r="BT41" s="180">
        <v>0</v>
      </c>
      <c r="BU41" s="180">
        <v>0</v>
      </c>
      <c r="BV41" s="180">
        <v>0</v>
      </c>
      <c r="BW41" s="180">
        <v>0</v>
      </c>
      <c r="BX41" s="180"/>
      <c r="BY41" s="180">
        <v>0</v>
      </c>
      <c r="BZ41" s="180">
        <v>0</v>
      </c>
      <c r="CA41" s="180">
        <v>0</v>
      </c>
      <c r="CB41" s="180"/>
      <c r="CC41" s="180"/>
      <c r="CD41" s="180"/>
      <c r="CE41" s="180"/>
      <c r="CF41" s="180"/>
      <c r="CG41" s="180"/>
      <c r="CH41" s="180"/>
      <c r="CI41" s="180"/>
      <c r="CJ41" s="180"/>
      <c r="CK41" s="180"/>
      <c r="CL41" s="180"/>
      <c r="CM41" s="180"/>
      <c r="CN41" s="180"/>
      <c r="CO41" s="180"/>
      <c r="CP41" s="180"/>
      <c r="CQ41" s="180"/>
      <c r="CR41" s="180"/>
      <c r="CS41" s="180"/>
      <c r="CT41" s="180"/>
      <c r="CU41" s="180"/>
    </row>
    <row r="42" spans="1:99" x14ac:dyDescent="0.3">
      <c r="A42" s="155">
        <v>102</v>
      </c>
      <c r="B42" s="180" t="s">
        <v>255</v>
      </c>
      <c r="C42" s="180"/>
      <c r="D42" s="180">
        <v>99.55</v>
      </c>
      <c r="E42" s="180">
        <v>99.86</v>
      </c>
      <c r="F42" s="180"/>
      <c r="G42" s="180">
        <v>99.1</v>
      </c>
      <c r="H42" s="180">
        <v>99.73</v>
      </c>
      <c r="I42" s="180">
        <v>87.63</v>
      </c>
      <c r="J42" s="180">
        <v>97.55</v>
      </c>
      <c r="K42" s="180">
        <v>97.28</v>
      </c>
      <c r="L42" s="180">
        <v>98.85</v>
      </c>
      <c r="M42" s="180"/>
      <c r="N42" s="180">
        <v>98.43</v>
      </c>
      <c r="O42" s="180"/>
      <c r="P42" s="180">
        <v>99.37</v>
      </c>
      <c r="Q42" s="180">
        <v>99.73</v>
      </c>
      <c r="R42" s="180">
        <v>98.92</v>
      </c>
      <c r="S42" s="180">
        <v>99.17</v>
      </c>
      <c r="T42" s="180">
        <v>88.19</v>
      </c>
      <c r="U42" s="180">
        <v>97.58</v>
      </c>
      <c r="V42" s="180">
        <v>96.94</v>
      </c>
      <c r="W42" s="180">
        <v>99.4</v>
      </c>
      <c r="X42" s="180">
        <v>99.77</v>
      </c>
      <c r="Y42" s="180">
        <v>99.66</v>
      </c>
      <c r="Z42" s="180">
        <v>94.54</v>
      </c>
      <c r="AA42" s="180">
        <v>99.33</v>
      </c>
      <c r="AB42" s="180">
        <v>100</v>
      </c>
      <c r="AC42" s="180">
        <v>98.72</v>
      </c>
      <c r="AD42" s="180">
        <v>98.83</v>
      </c>
      <c r="AE42" s="180">
        <v>97.2</v>
      </c>
      <c r="AF42" s="180">
        <v>89.04</v>
      </c>
      <c r="AG42" s="180">
        <v>95.46</v>
      </c>
      <c r="AH42" s="180">
        <v>98.56</v>
      </c>
      <c r="AI42" s="180">
        <v>99.84</v>
      </c>
      <c r="AJ42" s="180">
        <v>94.5</v>
      </c>
      <c r="AK42" s="180">
        <v>95.8</v>
      </c>
      <c r="AL42" s="180">
        <v>97.4</v>
      </c>
      <c r="AM42" s="180">
        <v>99.53</v>
      </c>
      <c r="AN42" s="180">
        <v>96.9</v>
      </c>
      <c r="AO42" s="180"/>
      <c r="AP42" s="180">
        <v>99.65</v>
      </c>
      <c r="AQ42" s="180">
        <v>97.57</v>
      </c>
      <c r="AR42" s="180"/>
      <c r="AS42" s="180"/>
      <c r="AT42" s="180"/>
      <c r="AU42" s="180">
        <v>99.04</v>
      </c>
      <c r="AV42" s="180">
        <v>98.56</v>
      </c>
      <c r="AW42" s="180"/>
      <c r="AX42" s="180">
        <v>99.19</v>
      </c>
      <c r="AY42" s="180">
        <v>97.52</v>
      </c>
      <c r="AZ42" s="180"/>
      <c r="BA42" s="180">
        <v>92.07</v>
      </c>
      <c r="BB42" s="180">
        <v>98.82</v>
      </c>
      <c r="BC42" s="180"/>
      <c r="BD42" s="180">
        <v>96.89</v>
      </c>
      <c r="BE42" s="180">
        <v>92.62</v>
      </c>
      <c r="BF42" s="180"/>
      <c r="BG42" s="180"/>
      <c r="BH42" s="180">
        <v>98.62</v>
      </c>
      <c r="BI42" s="180">
        <v>98.45</v>
      </c>
      <c r="BJ42" s="180">
        <v>92.52</v>
      </c>
      <c r="BK42" s="180">
        <v>99.88</v>
      </c>
      <c r="BL42" s="180">
        <v>99.66</v>
      </c>
      <c r="BM42" s="180">
        <v>0</v>
      </c>
      <c r="BN42" s="180">
        <v>99.48</v>
      </c>
      <c r="BO42" s="180">
        <v>93.23</v>
      </c>
      <c r="BP42" s="180">
        <v>97.98</v>
      </c>
      <c r="BQ42" s="180">
        <v>99.34</v>
      </c>
      <c r="BR42" s="180">
        <v>99.97</v>
      </c>
      <c r="BS42" s="180">
        <v>99.49</v>
      </c>
      <c r="BT42" s="180">
        <v>81.709999999999994</v>
      </c>
      <c r="BU42" s="180">
        <v>99.05</v>
      </c>
      <c r="BV42" s="180">
        <v>94.39</v>
      </c>
      <c r="BW42" s="180">
        <v>99.68</v>
      </c>
      <c r="BX42" s="180"/>
      <c r="BY42" s="180">
        <v>99.11</v>
      </c>
      <c r="BZ42" s="180">
        <v>99.81</v>
      </c>
      <c r="CA42" s="180">
        <v>91.73</v>
      </c>
      <c r="CB42" s="180"/>
      <c r="CC42" s="180"/>
      <c r="CD42" s="180"/>
      <c r="CE42" s="180"/>
      <c r="CF42" s="180"/>
      <c r="CG42" s="180"/>
      <c r="CH42" s="180"/>
      <c r="CI42" s="180"/>
      <c r="CJ42" s="180"/>
      <c r="CK42" s="180"/>
      <c r="CL42" s="180"/>
      <c r="CM42" s="180"/>
      <c r="CN42" s="180"/>
      <c r="CO42" s="180"/>
      <c r="CP42" s="180"/>
      <c r="CQ42" s="180"/>
      <c r="CR42" s="180"/>
      <c r="CS42" s="180"/>
      <c r="CT42" s="180"/>
      <c r="CU42" s="180"/>
    </row>
    <row r="43" spans="1:99" x14ac:dyDescent="0.3">
      <c r="A43" s="155">
        <v>103</v>
      </c>
      <c r="B43" s="180" t="s">
        <v>256</v>
      </c>
      <c r="C43" s="180"/>
      <c r="D43" s="180">
        <v>100</v>
      </c>
      <c r="E43" s="180">
        <v>100</v>
      </c>
      <c r="F43" s="180"/>
      <c r="G43" s="180">
        <v>100</v>
      </c>
      <c r="H43" s="180">
        <v>100</v>
      </c>
      <c r="I43" s="180">
        <v>100</v>
      </c>
      <c r="J43" s="180">
        <v>100</v>
      </c>
      <c r="K43" s="180">
        <v>100</v>
      </c>
      <c r="L43" s="180">
        <v>100</v>
      </c>
      <c r="M43" s="180"/>
      <c r="N43" s="180">
        <v>100</v>
      </c>
      <c r="O43" s="180"/>
      <c r="P43" s="180">
        <v>100</v>
      </c>
      <c r="Q43" s="180">
        <v>100</v>
      </c>
      <c r="R43" s="180">
        <v>100</v>
      </c>
      <c r="S43" s="180">
        <v>100</v>
      </c>
      <c r="T43" s="180">
        <v>96.13</v>
      </c>
      <c r="U43" s="180">
        <v>100</v>
      </c>
      <c r="V43" s="180">
        <v>100</v>
      </c>
      <c r="W43" s="180">
        <v>100</v>
      </c>
      <c r="X43" s="180">
        <v>99.7</v>
      </c>
      <c r="Y43" s="180">
        <v>100</v>
      </c>
      <c r="Z43" s="180">
        <v>100</v>
      </c>
      <c r="AA43" s="180">
        <v>100</v>
      </c>
      <c r="AB43" s="180">
        <v>100</v>
      </c>
      <c r="AC43" s="180">
        <v>100</v>
      </c>
      <c r="AD43" s="180">
        <v>100</v>
      </c>
      <c r="AE43" s="180">
        <v>99.49</v>
      </c>
      <c r="AF43" s="180">
        <v>100</v>
      </c>
      <c r="AG43" s="180">
        <v>100</v>
      </c>
      <c r="AH43" s="180">
        <v>100</v>
      </c>
      <c r="AI43" s="180">
        <v>100</v>
      </c>
      <c r="AJ43" s="180">
        <v>100</v>
      </c>
      <c r="AK43" s="180">
        <v>98.85</v>
      </c>
      <c r="AL43" s="180">
        <v>100</v>
      </c>
      <c r="AM43" s="180">
        <v>100</v>
      </c>
      <c r="AN43" s="180">
        <v>100</v>
      </c>
      <c r="AO43" s="180"/>
      <c r="AP43" s="180">
        <v>100</v>
      </c>
      <c r="AQ43" s="180">
        <v>100</v>
      </c>
      <c r="AR43" s="180"/>
      <c r="AS43" s="180"/>
      <c r="AT43" s="180"/>
      <c r="AU43" s="180">
        <v>100</v>
      </c>
      <c r="AV43" s="180">
        <v>100</v>
      </c>
      <c r="AW43" s="180"/>
      <c r="AX43" s="180">
        <v>99.8</v>
      </c>
      <c r="AY43" s="180">
        <v>100</v>
      </c>
      <c r="AZ43" s="180"/>
      <c r="BA43" s="180">
        <v>100</v>
      </c>
      <c r="BB43" s="180">
        <v>100</v>
      </c>
      <c r="BC43" s="180"/>
      <c r="BD43" s="180">
        <v>100</v>
      </c>
      <c r="BE43" s="180">
        <v>100</v>
      </c>
      <c r="BF43" s="180"/>
      <c r="BG43" s="180"/>
      <c r="BH43" s="180">
        <v>100</v>
      </c>
      <c r="BI43" s="180">
        <v>99.89</v>
      </c>
      <c r="BJ43" s="180">
        <v>100</v>
      </c>
      <c r="BK43" s="180">
        <v>100</v>
      </c>
      <c r="BL43" s="180">
        <v>100</v>
      </c>
      <c r="BM43" s="180">
        <v>0</v>
      </c>
      <c r="BN43" s="180">
        <v>100</v>
      </c>
      <c r="BO43" s="180">
        <v>100</v>
      </c>
      <c r="BP43" s="180">
        <v>100</v>
      </c>
      <c r="BQ43" s="180">
        <v>100</v>
      </c>
      <c r="BR43" s="180">
        <v>100</v>
      </c>
      <c r="BS43" s="180">
        <v>100</v>
      </c>
      <c r="BT43" s="180">
        <v>98.7</v>
      </c>
      <c r="BU43" s="180">
        <v>100</v>
      </c>
      <c r="BV43" s="180">
        <v>100</v>
      </c>
      <c r="BW43" s="180">
        <v>100</v>
      </c>
      <c r="BX43" s="180"/>
      <c r="BY43" s="180">
        <v>100</v>
      </c>
      <c r="BZ43" s="180">
        <v>99.1</v>
      </c>
      <c r="CA43" s="180">
        <v>100</v>
      </c>
      <c r="CB43" s="180"/>
      <c r="CC43" s="180"/>
      <c r="CD43" s="180"/>
      <c r="CE43" s="180"/>
      <c r="CF43" s="180"/>
      <c r="CG43" s="180"/>
      <c r="CH43" s="180"/>
      <c r="CI43" s="180"/>
      <c r="CJ43" s="180"/>
      <c r="CK43" s="180"/>
      <c r="CL43" s="180"/>
      <c r="CM43" s="180"/>
      <c r="CN43" s="180"/>
      <c r="CO43" s="180"/>
      <c r="CP43" s="180"/>
      <c r="CQ43" s="180"/>
      <c r="CR43" s="180"/>
      <c r="CS43" s="180"/>
      <c r="CT43" s="180"/>
      <c r="CU43" s="180"/>
    </row>
    <row r="44" spans="1:99" x14ac:dyDescent="0.3">
      <c r="A44" s="155">
        <v>171</v>
      </c>
      <c r="B44" s="180" t="s">
        <v>208</v>
      </c>
      <c r="C44" s="180"/>
      <c r="D44" s="180">
        <v>0</v>
      </c>
      <c r="E44" s="180">
        <v>1604315</v>
      </c>
      <c r="F44" s="180"/>
      <c r="G44" s="180">
        <v>4918127</v>
      </c>
      <c r="H44" s="180">
        <v>170940</v>
      </c>
      <c r="I44" s="180">
        <v>0</v>
      </c>
      <c r="J44" s="180">
        <v>0</v>
      </c>
      <c r="K44" s="180">
        <v>0</v>
      </c>
      <c r="L44" s="180">
        <v>14471899</v>
      </c>
      <c r="M44" s="180"/>
      <c r="N44" s="180">
        <v>27242</v>
      </c>
      <c r="O44" s="180"/>
      <c r="P44" s="180">
        <v>4620494</v>
      </c>
      <c r="Q44" s="180">
        <v>3408639</v>
      </c>
      <c r="R44" s="180">
        <v>503714</v>
      </c>
      <c r="S44" s="180">
        <v>851894</v>
      </c>
      <c r="T44" s="180">
        <v>0</v>
      </c>
      <c r="U44" s="180">
        <v>1193965</v>
      </c>
      <c r="V44" s="180">
        <v>0</v>
      </c>
      <c r="W44" s="180">
        <v>2071011</v>
      </c>
      <c r="X44" s="180">
        <v>7101472</v>
      </c>
      <c r="Y44" s="180">
        <v>714221</v>
      </c>
      <c r="Z44" s="180">
        <v>0</v>
      </c>
      <c r="AA44" s="180">
        <v>349561</v>
      </c>
      <c r="AB44" s="180">
        <v>0</v>
      </c>
      <c r="AC44" s="180">
        <v>0</v>
      </c>
      <c r="AD44" s="180">
        <v>23761</v>
      </c>
      <c r="AE44" s="180">
        <v>51315</v>
      </c>
      <c r="AF44" s="180">
        <v>0</v>
      </c>
      <c r="AG44" s="180">
        <v>0</v>
      </c>
      <c r="AH44" s="180">
        <v>0</v>
      </c>
      <c r="AI44" s="180">
        <v>48037</v>
      </c>
      <c r="AJ44" s="180">
        <v>634058</v>
      </c>
      <c r="AK44" s="180">
        <v>0</v>
      </c>
      <c r="AL44" s="180">
        <v>0</v>
      </c>
      <c r="AM44" s="180">
        <v>1980234</v>
      </c>
      <c r="AN44" s="180">
        <v>129684</v>
      </c>
      <c r="AO44" s="180"/>
      <c r="AP44" s="180">
        <v>236000</v>
      </c>
      <c r="AQ44" s="180">
        <v>1798043</v>
      </c>
      <c r="AR44" s="180"/>
      <c r="AS44" s="180"/>
      <c r="AT44" s="180"/>
      <c r="AU44" s="180">
        <v>427735</v>
      </c>
      <c r="AV44" s="180">
        <v>0</v>
      </c>
      <c r="AW44" s="180"/>
      <c r="AX44" s="180">
        <v>1607417</v>
      </c>
      <c r="AY44" s="180">
        <v>121295</v>
      </c>
      <c r="AZ44" s="180"/>
      <c r="BA44" s="180">
        <v>0</v>
      </c>
      <c r="BB44" s="180">
        <v>0</v>
      </c>
      <c r="BC44" s="180"/>
      <c r="BD44" s="180">
        <v>0</v>
      </c>
      <c r="BE44" s="180">
        <v>1533868</v>
      </c>
      <c r="BF44" s="180"/>
      <c r="BG44" s="180"/>
      <c r="BH44" s="180">
        <v>17727</v>
      </c>
      <c r="BI44" s="180">
        <v>4548</v>
      </c>
      <c r="BJ44" s="180">
        <v>24496</v>
      </c>
      <c r="BK44" s="180">
        <v>1702879</v>
      </c>
      <c r="BL44" s="180">
        <v>0</v>
      </c>
      <c r="BM44" s="180">
        <v>0</v>
      </c>
      <c r="BN44" s="180">
        <v>331455</v>
      </c>
      <c r="BO44" s="180">
        <v>0</v>
      </c>
      <c r="BP44" s="180">
        <v>0</v>
      </c>
      <c r="BQ44" s="180">
        <v>0</v>
      </c>
      <c r="BR44" s="180">
        <v>102808</v>
      </c>
      <c r="BS44" s="180">
        <v>1511667</v>
      </c>
      <c r="BT44" s="180">
        <v>60867</v>
      </c>
      <c r="BU44" s="180">
        <v>44574</v>
      </c>
      <c r="BV44" s="180">
        <v>63500</v>
      </c>
      <c r="BW44" s="180">
        <v>0</v>
      </c>
      <c r="BX44" s="180"/>
      <c r="BY44" s="180">
        <v>0</v>
      </c>
      <c r="BZ44" s="180">
        <v>1595324</v>
      </c>
      <c r="CA44" s="180">
        <v>2976</v>
      </c>
      <c r="CB44" s="180"/>
      <c r="CC44" s="180"/>
      <c r="CD44" s="180"/>
      <c r="CE44" s="180"/>
      <c r="CF44" s="180"/>
      <c r="CG44" s="180"/>
      <c r="CH44" s="180"/>
      <c r="CI44" s="180"/>
      <c r="CJ44" s="180"/>
      <c r="CK44" s="180"/>
      <c r="CL44" s="180"/>
      <c r="CM44" s="180"/>
      <c r="CN44" s="180"/>
      <c r="CO44" s="180"/>
      <c r="CP44" s="180"/>
      <c r="CQ44" s="180"/>
      <c r="CR44" s="180"/>
      <c r="CS44" s="180"/>
      <c r="CT44" s="180"/>
      <c r="CU44" s="180"/>
    </row>
    <row r="45" spans="1:99" x14ac:dyDescent="0.3">
      <c r="A45" s="155">
        <v>191</v>
      </c>
      <c r="B45" s="180" t="s">
        <v>224</v>
      </c>
      <c r="C45" s="180"/>
      <c r="D45" s="180">
        <v>0</v>
      </c>
      <c r="E45" s="180">
        <v>0</v>
      </c>
      <c r="F45" s="180"/>
      <c r="G45" s="180">
        <v>0</v>
      </c>
      <c r="H45" s="180">
        <v>195375</v>
      </c>
      <c r="I45" s="180">
        <v>0</v>
      </c>
      <c r="J45" s="180">
        <v>0</v>
      </c>
      <c r="K45" s="180">
        <v>1482949</v>
      </c>
      <c r="L45" s="180">
        <v>2500000</v>
      </c>
      <c r="M45" s="180"/>
      <c r="N45" s="180">
        <v>0</v>
      </c>
      <c r="O45" s="180"/>
      <c r="P45" s="180">
        <v>0</v>
      </c>
      <c r="Q45" s="180">
        <v>0</v>
      </c>
      <c r="R45" s="180">
        <v>0</v>
      </c>
      <c r="S45" s="180">
        <v>1062112</v>
      </c>
      <c r="T45" s="180">
        <v>0</v>
      </c>
      <c r="U45" s="180">
        <v>0</v>
      </c>
      <c r="V45" s="180">
        <v>0</v>
      </c>
      <c r="W45" s="180">
        <v>0</v>
      </c>
      <c r="X45" s="180">
        <v>0</v>
      </c>
      <c r="Y45" s="180">
        <v>0</v>
      </c>
      <c r="Z45" s="180">
        <v>0</v>
      </c>
      <c r="AA45" s="180">
        <v>1012000</v>
      </c>
      <c r="AB45" s="180">
        <v>0</v>
      </c>
      <c r="AC45" s="180">
        <v>0</v>
      </c>
      <c r="AD45" s="180">
        <v>0</v>
      </c>
      <c r="AE45" s="180">
        <v>282852</v>
      </c>
      <c r="AF45" s="180">
        <v>0</v>
      </c>
      <c r="AG45" s="180">
        <v>0</v>
      </c>
      <c r="AH45" s="180">
        <v>0</v>
      </c>
      <c r="AI45" s="180">
        <v>0</v>
      </c>
      <c r="AJ45" s="180">
        <v>280841</v>
      </c>
      <c r="AK45" s="180">
        <v>0</v>
      </c>
      <c r="AL45" s="180">
        <v>0</v>
      </c>
      <c r="AM45" s="180">
        <v>0</v>
      </c>
      <c r="AN45" s="180">
        <v>39370</v>
      </c>
      <c r="AO45" s="180"/>
      <c r="AP45" s="180">
        <v>0</v>
      </c>
      <c r="AQ45" s="180">
        <v>209739</v>
      </c>
      <c r="AR45" s="180"/>
      <c r="AS45" s="180"/>
      <c r="AT45" s="180"/>
      <c r="AU45" s="180">
        <v>0</v>
      </c>
      <c r="AV45" s="180">
        <v>0</v>
      </c>
      <c r="AW45" s="180"/>
      <c r="AX45" s="180">
        <v>0</v>
      </c>
      <c r="AY45" s="180">
        <v>0</v>
      </c>
      <c r="AZ45" s="180"/>
      <c r="BA45" s="180">
        <v>0</v>
      </c>
      <c r="BB45" s="180">
        <v>441681</v>
      </c>
      <c r="BC45" s="180"/>
      <c r="BD45" s="180">
        <v>0</v>
      </c>
      <c r="BE45" s="180">
        <v>3515230</v>
      </c>
      <c r="BF45" s="180"/>
      <c r="BG45" s="180"/>
      <c r="BH45" s="180">
        <v>0</v>
      </c>
      <c r="BI45" s="180">
        <v>0</v>
      </c>
      <c r="BJ45" s="180">
        <v>1088016</v>
      </c>
      <c r="BK45" s="180">
        <v>0</v>
      </c>
      <c r="BL45" s="180">
        <v>0</v>
      </c>
      <c r="BM45" s="180">
        <v>0</v>
      </c>
      <c r="BN45" s="180">
        <v>0</v>
      </c>
      <c r="BO45" s="180">
        <v>50000</v>
      </c>
      <c r="BP45" s="180">
        <v>0</v>
      </c>
      <c r="BQ45" s="180">
        <v>0</v>
      </c>
      <c r="BR45" s="180">
        <v>0</v>
      </c>
      <c r="BS45" s="180">
        <v>0</v>
      </c>
      <c r="BT45" s="180">
        <v>252544</v>
      </c>
      <c r="BU45" s="180">
        <v>0</v>
      </c>
      <c r="BV45" s="180">
        <v>378564</v>
      </c>
      <c r="BW45" s="180">
        <v>0</v>
      </c>
      <c r="BX45" s="180"/>
      <c r="BY45" s="180">
        <v>0</v>
      </c>
      <c r="BZ45" s="180">
        <v>3422692</v>
      </c>
      <c r="CA45" s="180">
        <v>0</v>
      </c>
      <c r="CB45" s="180"/>
      <c r="CC45" s="180"/>
      <c r="CD45" s="180"/>
      <c r="CE45" s="180"/>
      <c r="CF45" s="180"/>
      <c r="CG45" s="180"/>
      <c r="CH45" s="180"/>
      <c r="CI45" s="180"/>
      <c r="CJ45" s="180"/>
      <c r="CK45" s="180"/>
      <c r="CL45" s="180"/>
      <c r="CM45" s="180"/>
      <c r="CN45" s="180"/>
      <c r="CO45" s="180"/>
      <c r="CP45" s="180"/>
      <c r="CQ45" s="180"/>
      <c r="CR45" s="180"/>
      <c r="CS45" s="180"/>
      <c r="CT45" s="180"/>
      <c r="CU45" s="180"/>
    </row>
    <row r="46" spans="1:99" x14ac:dyDescent="0.3">
      <c r="A46" s="155">
        <v>192</v>
      </c>
      <c r="B46" s="180" t="s">
        <v>235</v>
      </c>
      <c r="C46" s="180"/>
      <c r="D46" s="180">
        <v>0</v>
      </c>
      <c r="E46" s="180">
        <v>0</v>
      </c>
      <c r="F46" s="180"/>
      <c r="G46" s="180">
        <v>0</v>
      </c>
      <c r="H46" s="180">
        <v>0</v>
      </c>
      <c r="I46" s="180">
        <v>0</v>
      </c>
      <c r="J46" s="180">
        <v>0</v>
      </c>
      <c r="K46" s="180">
        <v>0</v>
      </c>
      <c r="L46" s="180">
        <v>0</v>
      </c>
      <c r="M46" s="180"/>
      <c r="N46" s="180">
        <v>0</v>
      </c>
      <c r="O46" s="180"/>
      <c r="P46" s="180">
        <v>0</v>
      </c>
      <c r="Q46" s="180">
        <v>0</v>
      </c>
      <c r="R46" s="180">
        <v>0</v>
      </c>
      <c r="S46" s="180">
        <v>0</v>
      </c>
      <c r="T46" s="180">
        <v>0</v>
      </c>
      <c r="U46" s="180">
        <v>0</v>
      </c>
      <c r="V46" s="180">
        <v>0</v>
      </c>
      <c r="W46" s="180">
        <v>0</v>
      </c>
      <c r="X46" s="180">
        <v>0</v>
      </c>
      <c r="Y46" s="180">
        <v>0</v>
      </c>
      <c r="Z46" s="180">
        <v>0</v>
      </c>
      <c r="AA46" s="180">
        <v>0</v>
      </c>
      <c r="AB46" s="180">
        <v>0</v>
      </c>
      <c r="AC46" s="180">
        <v>0</v>
      </c>
      <c r="AD46" s="180">
        <v>0</v>
      </c>
      <c r="AE46" s="180">
        <v>0</v>
      </c>
      <c r="AF46" s="180">
        <v>0</v>
      </c>
      <c r="AG46" s="180">
        <v>0</v>
      </c>
      <c r="AH46" s="180">
        <v>0</v>
      </c>
      <c r="AI46" s="180">
        <v>0</v>
      </c>
      <c r="AJ46" s="180">
        <v>0</v>
      </c>
      <c r="AK46" s="180">
        <v>0</v>
      </c>
      <c r="AL46" s="180">
        <v>0</v>
      </c>
      <c r="AM46" s="180">
        <v>0</v>
      </c>
      <c r="AN46" s="180">
        <v>0</v>
      </c>
      <c r="AO46" s="180"/>
      <c r="AP46" s="180">
        <v>0</v>
      </c>
      <c r="AQ46" s="180">
        <v>0</v>
      </c>
      <c r="AR46" s="180"/>
      <c r="AS46" s="180"/>
      <c r="AT46" s="180"/>
      <c r="AU46" s="180">
        <v>0</v>
      </c>
      <c r="AV46" s="180">
        <v>0</v>
      </c>
      <c r="AW46" s="180"/>
      <c r="AX46" s="180">
        <v>0</v>
      </c>
      <c r="AY46" s="180">
        <v>0</v>
      </c>
      <c r="AZ46" s="180"/>
      <c r="BA46" s="180">
        <v>0</v>
      </c>
      <c r="BB46" s="180">
        <v>0</v>
      </c>
      <c r="BC46" s="180"/>
      <c r="BD46" s="180">
        <v>0</v>
      </c>
      <c r="BE46" s="180">
        <v>356807</v>
      </c>
      <c r="BF46" s="180"/>
      <c r="BG46" s="180"/>
      <c r="BH46" s="180">
        <v>0</v>
      </c>
      <c r="BI46" s="180">
        <v>0</v>
      </c>
      <c r="BJ46" s="180">
        <v>0</v>
      </c>
      <c r="BK46" s="180">
        <v>0</v>
      </c>
      <c r="BL46" s="180">
        <v>0</v>
      </c>
      <c r="BM46" s="180">
        <v>0</v>
      </c>
      <c r="BN46" s="180">
        <v>0</v>
      </c>
      <c r="BO46" s="180">
        <v>0</v>
      </c>
      <c r="BP46" s="180">
        <v>0</v>
      </c>
      <c r="BQ46" s="180">
        <v>0</v>
      </c>
      <c r="BR46" s="180">
        <v>0</v>
      </c>
      <c r="BS46" s="180">
        <v>0</v>
      </c>
      <c r="BT46" s="180">
        <v>0</v>
      </c>
      <c r="BU46" s="180">
        <v>0</v>
      </c>
      <c r="BV46" s="180">
        <v>0</v>
      </c>
      <c r="BW46" s="180">
        <v>0</v>
      </c>
      <c r="BX46" s="180"/>
      <c r="BY46" s="180">
        <v>0</v>
      </c>
      <c r="BZ46" s="180">
        <v>0</v>
      </c>
      <c r="CA46" s="180">
        <v>0</v>
      </c>
      <c r="CB46" s="180"/>
      <c r="CC46" s="180"/>
      <c r="CD46" s="180"/>
      <c r="CE46" s="180"/>
      <c r="CF46" s="180"/>
      <c r="CG46" s="180"/>
      <c r="CH46" s="180"/>
      <c r="CI46" s="180"/>
      <c r="CJ46" s="180"/>
      <c r="CK46" s="180"/>
      <c r="CL46" s="180"/>
      <c r="CM46" s="180"/>
      <c r="CN46" s="180"/>
      <c r="CO46" s="180"/>
      <c r="CP46" s="180"/>
      <c r="CQ46" s="180"/>
      <c r="CR46" s="180"/>
      <c r="CS46" s="180"/>
      <c r="CT46" s="180"/>
      <c r="CU46" s="180"/>
    </row>
    <row r="47" spans="1:99" x14ac:dyDescent="0.3">
      <c r="A47" s="155">
        <v>252</v>
      </c>
      <c r="B47" s="180" t="s">
        <v>95</v>
      </c>
      <c r="C47" s="180"/>
      <c r="D47" s="180">
        <v>2302939</v>
      </c>
      <c r="E47" s="180">
        <v>44398000</v>
      </c>
      <c r="F47" s="180"/>
      <c r="G47" s="180">
        <v>82218969</v>
      </c>
      <c r="H47" s="180">
        <v>10183227</v>
      </c>
      <c r="I47" s="180">
        <v>42111</v>
      </c>
      <c r="J47" s="180">
        <v>735455</v>
      </c>
      <c r="K47" s="180">
        <v>1974044</v>
      </c>
      <c r="L47" s="180">
        <v>142693066</v>
      </c>
      <c r="M47" s="180"/>
      <c r="N47" s="180">
        <v>1156598</v>
      </c>
      <c r="O47" s="180"/>
      <c r="P47" s="180">
        <v>141685568</v>
      </c>
      <c r="Q47" s="180">
        <v>27961849</v>
      </c>
      <c r="R47" s="180">
        <v>8852250</v>
      </c>
      <c r="S47" s="180">
        <v>8966426</v>
      </c>
      <c r="T47" s="180">
        <v>259857</v>
      </c>
      <c r="U47" s="180">
        <v>13949335</v>
      </c>
      <c r="V47" s="180">
        <v>703</v>
      </c>
      <c r="W47" s="180">
        <v>10678719</v>
      </c>
      <c r="X47" s="180">
        <v>103849993</v>
      </c>
      <c r="Y47" s="180">
        <v>8437670</v>
      </c>
      <c r="Z47" s="180">
        <v>2193811</v>
      </c>
      <c r="AA47" s="180">
        <v>8376031</v>
      </c>
      <c r="AB47" s="180">
        <v>263950</v>
      </c>
      <c r="AC47" s="180">
        <v>368983</v>
      </c>
      <c r="AD47" s="180">
        <v>2106583</v>
      </c>
      <c r="AE47" s="180">
        <v>6385107</v>
      </c>
      <c r="AF47" s="180">
        <v>1310674</v>
      </c>
      <c r="AG47" s="180">
        <v>93715</v>
      </c>
      <c r="AH47" s="180">
        <v>991755</v>
      </c>
      <c r="AI47" s="180">
        <v>2086293</v>
      </c>
      <c r="AJ47" s="180">
        <v>7816954</v>
      </c>
      <c r="AK47" s="180">
        <v>843170</v>
      </c>
      <c r="AL47" s="180">
        <v>19293</v>
      </c>
      <c r="AM47" s="180">
        <v>97843275</v>
      </c>
      <c r="AN47" s="180">
        <v>22399878</v>
      </c>
      <c r="AO47" s="180"/>
      <c r="AP47" s="180">
        <v>10846428</v>
      </c>
      <c r="AQ47" s="180">
        <v>31969057</v>
      </c>
      <c r="AR47" s="180"/>
      <c r="AS47" s="180"/>
      <c r="AT47" s="180"/>
      <c r="AU47" s="180">
        <v>21487462</v>
      </c>
      <c r="AV47" s="180">
        <v>862352</v>
      </c>
      <c r="AW47" s="180"/>
      <c r="AX47" s="180">
        <v>11928786</v>
      </c>
      <c r="AY47" s="180">
        <v>1743060</v>
      </c>
      <c r="AZ47" s="180"/>
      <c r="BA47" s="180">
        <v>21067</v>
      </c>
      <c r="BB47" s="180">
        <v>1597965</v>
      </c>
      <c r="BC47" s="180"/>
      <c r="BD47" s="180">
        <v>22578</v>
      </c>
      <c r="BE47" s="180">
        <v>28673477</v>
      </c>
      <c r="BF47" s="180"/>
      <c r="BG47" s="180"/>
      <c r="BH47" s="180">
        <v>3789760</v>
      </c>
      <c r="BI47" s="180">
        <v>7559251</v>
      </c>
      <c r="BJ47" s="180">
        <v>220854</v>
      </c>
      <c r="BK47" s="180">
        <v>10858224</v>
      </c>
      <c r="BL47" s="180">
        <v>7472713</v>
      </c>
      <c r="BM47" s="180">
        <v>39368</v>
      </c>
      <c r="BN47" s="180">
        <v>9392760</v>
      </c>
      <c r="BO47" s="180">
        <v>3801903</v>
      </c>
      <c r="BP47" s="180">
        <v>497269</v>
      </c>
      <c r="BQ47" s="180">
        <v>1278211</v>
      </c>
      <c r="BR47" s="180">
        <v>11280775</v>
      </c>
      <c r="BS47" s="180">
        <v>255667560</v>
      </c>
      <c r="BT47" s="180">
        <v>1364253</v>
      </c>
      <c r="BU47" s="180">
        <v>2470083</v>
      </c>
      <c r="BV47" s="180">
        <v>965187</v>
      </c>
      <c r="BW47" s="180">
        <v>3258822</v>
      </c>
      <c r="BX47" s="180"/>
      <c r="BY47" s="180">
        <v>36537</v>
      </c>
      <c r="BZ47" s="180">
        <v>58200076</v>
      </c>
      <c r="CA47" s="180">
        <v>206921</v>
      </c>
      <c r="CB47" s="180"/>
      <c r="CC47" s="180"/>
      <c r="CD47" s="180"/>
      <c r="CE47" s="180"/>
      <c r="CF47" s="180"/>
      <c r="CG47" s="180"/>
      <c r="CH47" s="180"/>
      <c r="CI47" s="180"/>
      <c r="CJ47" s="180"/>
      <c r="CK47" s="180"/>
      <c r="CL47" s="180"/>
      <c r="CM47" s="180"/>
      <c r="CN47" s="180"/>
      <c r="CO47" s="180"/>
      <c r="CP47" s="180"/>
      <c r="CQ47" s="180"/>
      <c r="CR47" s="180"/>
      <c r="CS47" s="180"/>
      <c r="CT47" s="180"/>
      <c r="CU47" s="180"/>
    </row>
    <row r="48" spans="1:99" x14ac:dyDescent="0.3">
      <c r="A48" s="155">
        <v>253</v>
      </c>
      <c r="B48" s="180" t="s">
        <v>96</v>
      </c>
      <c r="C48" s="180"/>
      <c r="D48" s="180">
        <v>418207</v>
      </c>
      <c r="E48" s="180">
        <v>27516113</v>
      </c>
      <c r="F48" s="180"/>
      <c r="G48" s="180">
        <v>14296366</v>
      </c>
      <c r="H48" s="180">
        <v>3252130</v>
      </c>
      <c r="I48" s="180">
        <v>178958</v>
      </c>
      <c r="J48" s="180">
        <v>548958</v>
      </c>
      <c r="K48" s="180">
        <v>527979</v>
      </c>
      <c r="L48" s="180">
        <v>10023589</v>
      </c>
      <c r="M48" s="180"/>
      <c r="N48" s="180">
        <v>211807</v>
      </c>
      <c r="O48" s="180"/>
      <c r="P48" s="180">
        <v>4484657</v>
      </c>
      <c r="Q48" s="180">
        <v>14190930</v>
      </c>
      <c r="R48" s="180">
        <v>724689</v>
      </c>
      <c r="S48" s="180">
        <v>4916998</v>
      </c>
      <c r="T48" s="180">
        <v>321049</v>
      </c>
      <c r="U48" s="180">
        <v>16765812</v>
      </c>
      <c r="V48" s="180">
        <v>95823</v>
      </c>
      <c r="W48" s="180">
        <v>4816933</v>
      </c>
      <c r="X48" s="180">
        <v>6489616</v>
      </c>
      <c r="Y48" s="180">
        <v>729958</v>
      </c>
      <c r="Z48" s="180">
        <v>1113255</v>
      </c>
      <c r="AA48" s="180">
        <v>1308588</v>
      </c>
      <c r="AB48" s="180">
        <v>405636</v>
      </c>
      <c r="AC48" s="180">
        <v>12174</v>
      </c>
      <c r="AD48" s="180">
        <v>336506</v>
      </c>
      <c r="AE48" s="180">
        <v>942177</v>
      </c>
      <c r="AF48" s="180">
        <v>29691</v>
      </c>
      <c r="AG48" s="180">
        <v>13267</v>
      </c>
      <c r="AH48" s="180">
        <v>99228</v>
      </c>
      <c r="AI48" s="180">
        <v>706772</v>
      </c>
      <c r="AJ48" s="180">
        <v>1630980</v>
      </c>
      <c r="AK48" s="180">
        <v>88465</v>
      </c>
      <c r="AL48" s="180">
        <v>2746</v>
      </c>
      <c r="AM48" s="180">
        <v>5055933</v>
      </c>
      <c r="AN48" s="180">
        <v>2428823</v>
      </c>
      <c r="AO48" s="180"/>
      <c r="AP48" s="180">
        <v>1048345</v>
      </c>
      <c r="AQ48" s="180">
        <v>6230231</v>
      </c>
      <c r="AR48" s="180"/>
      <c r="AS48" s="180"/>
      <c r="AT48" s="180"/>
      <c r="AU48" s="180">
        <v>1487501</v>
      </c>
      <c r="AV48" s="180">
        <v>19908</v>
      </c>
      <c r="AW48" s="180"/>
      <c r="AX48" s="180">
        <v>362952</v>
      </c>
      <c r="AY48" s="180">
        <v>990359</v>
      </c>
      <c r="AZ48" s="180"/>
      <c r="BA48" s="180">
        <v>80942</v>
      </c>
      <c r="BB48" s="180">
        <v>2292900</v>
      </c>
      <c r="BC48" s="180"/>
      <c r="BD48" s="180">
        <v>10565</v>
      </c>
      <c r="BE48" s="180">
        <v>3288759</v>
      </c>
      <c r="BF48" s="180"/>
      <c r="BG48" s="180"/>
      <c r="BH48" s="180">
        <v>530513</v>
      </c>
      <c r="BI48" s="180">
        <v>558527</v>
      </c>
      <c r="BJ48" s="180">
        <v>300134</v>
      </c>
      <c r="BK48" s="180">
        <v>889619</v>
      </c>
      <c r="BL48" s="180">
        <v>567039</v>
      </c>
      <c r="BM48" s="180">
        <v>5800</v>
      </c>
      <c r="BN48" s="180">
        <v>2657266</v>
      </c>
      <c r="BO48" s="180">
        <v>628840</v>
      </c>
      <c r="BP48" s="180">
        <v>281696</v>
      </c>
      <c r="BQ48" s="180">
        <v>363030</v>
      </c>
      <c r="BR48" s="180">
        <v>196371</v>
      </c>
      <c r="BS48" s="180">
        <v>6020474</v>
      </c>
      <c r="BT48" s="180">
        <v>294946</v>
      </c>
      <c r="BU48" s="180">
        <v>1820652</v>
      </c>
      <c r="BV48" s="180">
        <v>118000</v>
      </c>
      <c r="BW48" s="180">
        <v>584381</v>
      </c>
      <c r="BX48" s="180"/>
      <c r="BY48" s="180">
        <v>28445</v>
      </c>
      <c r="BZ48" s="180">
        <v>4324267</v>
      </c>
      <c r="CA48" s="180">
        <v>48330</v>
      </c>
      <c r="CB48" s="180"/>
      <c r="CC48" s="180"/>
      <c r="CD48" s="180"/>
      <c r="CE48" s="180"/>
      <c r="CF48" s="180"/>
      <c r="CG48" s="180"/>
      <c r="CH48" s="180"/>
      <c r="CI48" s="180"/>
      <c r="CJ48" s="180"/>
      <c r="CK48" s="180"/>
      <c r="CL48" s="180"/>
      <c r="CM48" s="180"/>
      <c r="CN48" s="180"/>
      <c r="CO48" s="180"/>
      <c r="CP48" s="180"/>
      <c r="CQ48" s="180"/>
      <c r="CR48" s="180"/>
      <c r="CS48" s="180"/>
      <c r="CT48" s="180"/>
      <c r="CU48" s="180"/>
    </row>
    <row r="49" spans="1:99" x14ac:dyDescent="0.3">
      <c r="A49" s="155">
        <v>254</v>
      </c>
      <c r="B49" s="180" t="s">
        <v>97</v>
      </c>
      <c r="C49" s="180"/>
      <c r="D49" s="180">
        <v>1906240</v>
      </c>
      <c r="E49" s="180">
        <v>15059262</v>
      </c>
      <c r="F49" s="180"/>
      <c r="G49" s="180">
        <v>40477089</v>
      </c>
      <c r="H49" s="180">
        <v>2457537</v>
      </c>
      <c r="I49" s="180">
        <v>103933</v>
      </c>
      <c r="J49" s="180">
        <v>2485790</v>
      </c>
      <c r="K49" s="180">
        <v>531959</v>
      </c>
      <c r="L49" s="180">
        <v>-21229487</v>
      </c>
      <c r="M49" s="180"/>
      <c r="N49" s="180">
        <v>-61395</v>
      </c>
      <c r="O49" s="180"/>
      <c r="P49" s="180">
        <v>989922</v>
      </c>
      <c r="Q49" s="180">
        <v>1812796</v>
      </c>
      <c r="R49" s="180">
        <v>2222153</v>
      </c>
      <c r="S49" s="180">
        <v>5058805</v>
      </c>
      <c r="T49" s="180">
        <v>180766</v>
      </c>
      <c r="U49" s="180">
        <v>1904341</v>
      </c>
      <c r="V49" s="180">
        <v>164104</v>
      </c>
      <c r="W49" s="180">
        <v>8663046</v>
      </c>
      <c r="X49" s="180">
        <v>-308347</v>
      </c>
      <c r="Y49" s="180">
        <v>3366964</v>
      </c>
      <c r="Z49" s="180">
        <v>2246589</v>
      </c>
      <c r="AA49" s="180">
        <v>2362381</v>
      </c>
      <c r="AB49" s="180">
        <v>1297619</v>
      </c>
      <c r="AC49" s="180">
        <v>320903</v>
      </c>
      <c r="AD49" s="180">
        <v>1353808</v>
      </c>
      <c r="AE49" s="180">
        <v>1939650</v>
      </c>
      <c r="AF49" s="180">
        <v>120347</v>
      </c>
      <c r="AG49" s="180">
        <v>77109</v>
      </c>
      <c r="AH49" s="180">
        <v>168005</v>
      </c>
      <c r="AI49" s="180">
        <v>3003760</v>
      </c>
      <c r="AJ49" s="180">
        <v>-162586</v>
      </c>
      <c r="AK49" s="180">
        <v>348761</v>
      </c>
      <c r="AL49" s="180">
        <v>124252</v>
      </c>
      <c r="AM49" s="180">
        <v>17370304</v>
      </c>
      <c r="AN49" s="180">
        <v>8541041</v>
      </c>
      <c r="AO49" s="180"/>
      <c r="AP49" s="180">
        <v>10083549</v>
      </c>
      <c r="AQ49" s="180">
        <v>641702</v>
      </c>
      <c r="AR49" s="180"/>
      <c r="AS49" s="180"/>
      <c r="AT49" s="180"/>
      <c r="AU49" s="180">
        <v>-5864033</v>
      </c>
      <c r="AV49" s="180">
        <v>228782</v>
      </c>
      <c r="AW49" s="180"/>
      <c r="AX49" s="180">
        <v>2969201</v>
      </c>
      <c r="AY49" s="180">
        <v>1836102</v>
      </c>
      <c r="AZ49" s="180"/>
      <c r="BA49" s="180">
        <v>137567</v>
      </c>
      <c r="BB49" s="180">
        <v>1411342</v>
      </c>
      <c r="BC49" s="180"/>
      <c r="BD49" s="180">
        <v>400022</v>
      </c>
      <c r="BE49" s="180">
        <v>-35062054</v>
      </c>
      <c r="BF49" s="180"/>
      <c r="BG49" s="180"/>
      <c r="BH49" s="180">
        <v>-1241291</v>
      </c>
      <c r="BI49" s="180">
        <v>3572926</v>
      </c>
      <c r="BJ49" s="180">
        <v>522173</v>
      </c>
      <c r="BK49" s="180">
        <v>2968437</v>
      </c>
      <c r="BL49" s="180">
        <v>4622486</v>
      </c>
      <c r="BM49" s="180">
        <v>176865</v>
      </c>
      <c r="BN49" s="180">
        <v>2097027</v>
      </c>
      <c r="BO49" s="180">
        <v>4332987</v>
      </c>
      <c r="BP49" s="180">
        <v>1474781</v>
      </c>
      <c r="BQ49" s="180">
        <v>1585245</v>
      </c>
      <c r="BR49" s="180">
        <v>2710773</v>
      </c>
      <c r="BS49" s="180">
        <v>10230520</v>
      </c>
      <c r="BT49" s="180">
        <v>2470480</v>
      </c>
      <c r="BU49" s="180">
        <v>-3600168</v>
      </c>
      <c r="BV49" s="180">
        <v>875084</v>
      </c>
      <c r="BW49" s="180">
        <v>1081179</v>
      </c>
      <c r="BX49" s="180"/>
      <c r="BY49" s="180">
        <v>189353</v>
      </c>
      <c r="BZ49" s="180">
        <v>6143209</v>
      </c>
      <c r="CA49" s="180">
        <v>62951</v>
      </c>
      <c r="CB49" s="180"/>
      <c r="CC49" s="180"/>
      <c r="CD49" s="180"/>
      <c r="CE49" s="180"/>
      <c r="CF49" s="180"/>
      <c r="CG49" s="180"/>
      <c r="CH49" s="180"/>
      <c r="CI49" s="180"/>
      <c r="CJ49" s="180"/>
      <c r="CK49" s="180"/>
      <c r="CL49" s="180"/>
      <c r="CM49" s="180"/>
      <c r="CN49" s="180"/>
      <c r="CO49" s="180"/>
      <c r="CP49" s="180"/>
      <c r="CQ49" s="180"/>
      <c r="CR49" s="180"/>
      <c r="CS49" s="180"/>
      <c r="CT49" s="180"/>
      <c r="CU49" s="180"/>
    </row>
    <row r="50" spans="1:99" x14ac:dyDescent="0.3">
      <c r="A50" s="155">
        <v>255</v>
      </c>
      <c r="B50" s="180" t="s">
        <v>188</v>
      </c>
      <c r="C50" s="180"/>
      <c r="D50" s="180">
        <v>291026</v>
      </c>
      <c r="E50" s="180">
        <v>15377230</v>
      </c>
      <c r="F50" s="180"/>
      <c r="G50" s="180">
        <v>10551454</v>
      </c>
      <c r="H50" s="180">
        <v>1306674</v>
      </c>
      <c r="I50" s="180">
        <v>5529</v>
      </c>
      <c r="J50" s="180">
        <v>379207</v>
      </c>
      <c r="K50" s="180">
        <v>141437</v>
      </c>
      <c r="L50" s="180">
        <v>24052369</v>
      </c>
      <c r="M50" s="180"/>
      <c r="N50" s="180">
        <v>-56718</v>
      </c>
      <c r="O50" s="180"/>
      <c r="P50" s="180">
        <v>14586751</v>
      </c>
      <c r="Q50" s="180">
        <v>7315843</v>
      </c>
      <c r="R50" s="180">
        <v>1488366</v>
      </c>
      <c r="S50" s="180">
        <v>3806587</v>
      </c>
      <c r="T50" s="180">
        <v>75027</v>
      </c>
      <c r="U50" s="180">
        <v>7428726</v>
      </c>
      <c r="V50" s="180">
        <v>-11058</v>
      </c>
      <c r="W50" s="180">
        <v>566783</v>
      </c>
      <c r="X50" s="180">
        <v>5111166</v>
      </c>
      <c r="Y50" s="180">
        <v>1782491</v>
      </c>
      <c r="Z50" s="180">
        <v>460720</v>
      </c>
      <c r="AA50" s="180">
        <v>2978455</v>
      </c>
      <c r="AB50" s="180">
        <v>186058</v>
      </c>
      <c r="AC50" s="180">
        <v>157930</v>
      </c>
      <c r="AD50" s="180">
        <v>161059</v>
      </c>
      <c r="AE50" s="180">
        <v>396142</v>
      </c>
      <c r="AF50" s="180">
        <v>132500</v>
      </c>
      <c r="AG50" s="180">
        <v>4288</v>
      </c>
      <c r="AH50" s="180">
        <v>-45794</v>
      </c>
      <c r="AI50" s="180">
        <v>1635350</v>
      </c>
      <c r="AJ50" s="180">
        <v>764498</v>
      </c>
      <c r="AK50" s="180">
        <v>267889</v>
      </c>
      <c r="AL50" s="180">
        <v>-65</v>
      </c>
      <c r="AM50" s="180">
        <v>9566473</v>
      </c>
      <c r="AN50" s="180">
        <v>1514547</v>
      </c>
      <c r="AO50" s="180"/>
      <c r="AP50" s="180">
        <v>2046383</v>
      </c>
      <c r="AQ50" s="180">
        <v>173102</v>
      </c>
      <c r="AR50" s="180"/>
      <c r="AS50" s="180"/>
      <c r="AT50" s="180"/>
      <c r="AU50" s="180">
        <v>2065223</v>
      </c>
      <c r="AV50" s="180">
        <v>32901</v>
      </c>
      <c r="AW50" s="180"/>
      <c r="AX50" s="180">
        <v>1238683</v>
      </c>
      <c r="AY50" s="180">
        <v>160424</v>
      </c>
      <c r="AZ50" s="180"/>
      <c r="BA50" s="180">
        <v>56751</v>
      </c>
      <c r="BB50" s="180">
        <v>2351072</v>
      </c>
      <c r="BC50" s="180"/>
      <c r="BD50" s="180">
        <v>3432</v>
      </c>
      <c r="BE50" s="180">
        <v>159675</v>
      </c>
      <c r="BF50" s="180"/>
      <c r="BG50" s="180"/>
      <c r="BH50" s="180">
        <v>-72983</v>
      </c>
      <c r="BI50" s="180">
        <v>696061</v>
      </c>
      <c r="BJ50" s="180">
        <v>122718</v>
      </c>
      <c r="BK50" s="180">
        <v>2017472</v>
      </c>
      <c r="BL50" s="180">
        <v>111483</v>
      </c>
      <c r="BM50" s="180">
        <v>12279</v>
      </c>
      <c r="BN50" s="180">
        <v>1324913</v>
      </c>
      <c r="BO50" s="180">
        <v>642818</v>
      </c>
      <c r="BP50" s="180">
        <v>102561</v>
      </c>
      <c r="BQ50" s="180">
        <v>645800</v>
      </c>
      <c r="BR50" s="180">
        <v>1207657</v>
      </c>
      <c r="BS50" s="180">
        <v>8855228</v>
      </c>
      <c r="BT50" s="180">
        <v>-145624</v>
      </c>
      <c r="BU50" s="180">
        <v>-369742</v>
      </c>
      <c r="BV50" s="180">
        <v>54180</v>
      </c>
      <c r="BW50" s="180">
        <v>69368</v>
      </c>
      <c r="BX50" s="180"/>
      <c r="BY50" s="180">
        <v>18738</v>
      </c>
      <c r="BZ50" s="180">
        <v>7782168</v>
      </c>
      <c r="CA50" s="180">
        <v>-4521</v>
      </c>
      <c r="CB50" s="180"/>
      <c r="CC50" s="180"/>
      <c r="CD50" s="180"/>
      <c r="CE50" s="180"/>
      <c r="CF50" s="180"/>
      <c r="CG50" s="180"/>
      <c r="CH50" s="180"/>
      <c r="CI50" s="180"/>
      <c r="CJ50" s="180"/>
      <c r="CK50" s="180"/>
      <c r="CL50" s="180"/>
      <c r="CM50" s="180"/>
      <c r="CN50" s="180"/>
      <c r="CO50" s="180"/>
      <c r="CP50" s="180"/>
      <c r="CQ50" s="180"/>
      <c r="CR50" s="180"/>
      <c r="CS50" s="180"/>
      <c r="CT50" s="180"/>
      <c r="CU50" s="180"/>
    </row>
    <row r="51" spans="1:99" x14ac:dyDescent="0.3">
      <c r="A51" s="155">
        <v>327</v>
      </c>
      <c r="B51" s="180" t="s">
        <v>921</v>
      </c>
      <c r="C51" s="180"/>
      <c r="D51" s="180">
        <v>0</v>
      </c>
      <c r="E51" s="180">
        <v>0</v>
      </c>
      <c r="F51" s="180"/>
      <c r="G51" s="180">
        <v>5287537</v>
      </c>
      <c r="H51" s="180">
        <v>0</v>
      </c>
      <c r="I51" s="180">
        <v>16104</v>
      </c>
      <c r="J51" s="180">
        <v>215245</v>
      </c>
      <c r="K51" s="180">
        <v>72530</v>
      </c>
      <c r="L51" s="180">
        <v>839066</v>
      </c>
      <c r="M51" s="180"/>
      <c r="N51" s="180">
        <v>6500</v>
      </c>
      <c r="O51" s="180"/>
      <c r="P51" s="180">
        <v>0</v>
      </c>
      <c r="Q51" s="180">
        <v>224814</v>
      </c>
      <c r="R51" s="180">
        <v>628152</v>
      </c>
      <c r="S51" s="180">
        <v>7174055</v>
      </c>
      <c r="T51" s="180">
        <v>97947</v>
      </c>
      <c r="U51" s="180">
        <v>1020263</v>
      </c>
      <c r="V51" s="180">
        <v>0</v>
      </c>
      <c r="W51" s="180">
        <v>0</v>
      </c>
      <c r="X51" s="180">
        <v>0</v>
      </c>
      <c r="Y51" s="180">
        <v>20697</v>
      </c>
      <c r="Z51" s="180">
        <v>441230</v>
      </c>
      <c r="AA51" s="180">
        <v>32300</v>
      </c>
      <c r="AB51" s="180">
        <v>0</v>
      </c>
      <c r="AC51" s="180">
        <v>70000</v>
      </c>
      <c r="AD51" s="180">
        <v>152665</v>
      </c>
      <c r="AE51" s="180">
        <v>1712356</v>
      </c>
      <c r="AF51" s="180">
        <v>10300</v>
      </c>
      <c r="AG51" s="180">
        <v>0</v>
      </c>
      <c r="AH51" s="180">
        <v>0</v>
      </c>
      <c r="AI51" s="180">
        <v>0</v>
      </c>
      <c r="AJ51" s="180">
        <v>474294</v>
      </c>
      <c r="AK51" s="180">
        <v>63549</v>
      </c>
      <c r="AL51" s="180">
        <v>0</v>
      </c>
      <c r="AM51" s="180">
        <v>0</v>
      </c>
      <c r="AN51" s="180">
        <v>1226471</v>
      </c>
      <c r="AO51" s="180"/>
      <c r="AP51" s="180">
        <v>0</v>
      </c>
      <c r="AQ51" s="180">
        <v>865590</v>
      </c>
      <c r="AR51" s="180"/>
      <c r="AS51" s="180"/>
      <c r="AT51" s="180"/>
      <c r="AU51" s="180">
        <v>131107</v>
      </c>
      <c r="AV51" s="180">
        <v>0</v>
      </c>
      <c r="AW51" s="180"/>
      <c r="AX51" s="180">
        <v>0</v>
      </c>
      <c r="AY51" s="180">
        <v>0</v>
      </c>
      <c r="AZ51" s="180"/>
      <c r="BA51" s="180">
        <v>0</v>
      </c>
      <c r="BB51" s="180">
        <v>15000</v>
      </c>
      <c r="BC51" s="180"/>
      <c r="BD51" s="180">
        <v>0</v>
      </c>
      <c r="BE51" s="180">
        <v>742664</v>
      </c>
      <c r="BF51" s="180"/>
      <c r="BG51" s="180"/>
      <c r="BH51" s="180">
        <v>43326</v>
      </c>
      <c r="BI51" s="180">
        <v>125250</v>
      </c>
      <c r="BJ51" s="180">
        <v>13600</v>
      </c>
      <c r="BK51" s="180">
        <v>242198</v>
      </c>
      <c r="BL51" s="180">
        <v>229735</v>
      </c>
      <c r="BM51" s="180">
        <v>0</v>
      </c>
      <c r="BN51" s="180">
        <v>101245</v>
      </c>
      <c r="BO51" s="180">
        <v>82273</v>
      </c>
      <c r="BP51" s="180">
        <v>62472</v>
      </c>
      <c r="BQ51" s="180">
        <v>325430</v>
      </c>
      <c r="BR51" s="180">
        <v>0</v>
      </c>
      <c r="BS51" s="180">
        <v>0</v>
      </c>
      <c r="BT51" s="180">
        <v>131166</v>
      </c>
      <c r="BU51" s="180">
        <v>111061</v>
      </c>
      <c r="BV51" s="180">
        <v>21500</v>
      </c>
      <c r="BW51" s="180">
        <v>0</v>
      </c>
      <c r="BX51" s="180"/>
      <c r="BY51" s="180">
        <v>0</v>
      </c>
      <c r="BZ51" s="180">
        <v>766326</v>
      </c>
      <c r="CA51" s="180">
        <v>0</v>
      </c>
      <c r="CB51" s="180"/>
      <c r="CC51" s="180"/>
      <c r="CD51" s="180"/>
      <c r="CE51" s="180"/>
      <c r="CF51" s="180"/>
      <c r="CG51" s="180"/>
      <c r="CH51" s="180"/>
      <c r="CI51" s="180"/>
      <c r="CJ51" s="180"/>
      <c r="CK51" s="180"/>
      <c r="CL51" s="180"/>
      <c r="CM51" s="180"/>
      <c r="CN51" s="180"/>
      <c r="CO51" s="180"/>
      <c r="CP51" s="180"/>
      <c r="CQ51" s="180"/>
      <c r="CR51" s="180"/>
      <c r="CS51" s="180"/>
      <c r="CT51" s="180"/>
      <c r="CU51" s="180"/>
    </row>
    <row r="52" spans="1:99" x14ac:dyDescent="0.3">
      <c r="A52" s="155">
        <v>328</v>
      </c>
      <c r="B52" s="180" t="s">
        <v>306</v>
      </c>
      <c r="C52" s="180"/>
      <c r="D52" s="180">
        <v>0</v>
      </c>
      <c r="E52" s="180">
        <v>0</v>
      </c>
      <c r="F52" s="180"/>
      <c r="G52" s="180">
        <v>5719877</v>
      </c>
      <c r="H52" s="180">
        <v>34487</v>
      </c>
      <c r="I52" s="180">
        <v>0</v>
      </c>
      <c r="J52" s="180">
        <v>0</v>
      </c>
      <c r="K52" s="180">
        <v>1842985</v>
      </c>
      <c r="L52" s="180">
        <v>8250993</v>
      </c>
      <c r="M52" s="180"/>
      <c r="N52" s="180">
        <v>78480</v>
      </c>
      <c r="O52" s="180"/>
      <c r="P52" s="180">
        <v>0</v>
      </c>
      <c r="Q52" s="180">
        <v>1348977</v>
      </c>
      <c r="R52" s="180">
        <v>2799562</v>
      </c>
      <c r="S52" s="180">
        <v>1298480</v>
      </c>
      <c r="T52" s="180">
        <v>6131</v>
      </c>
      <c r="U52" s="180">
        <v>19321499</v>
      </c>
      <c r="V52" s="180">
        <v>0</v>
      </c>
      <c r="W52" s="180">
        <v>0</v>
      </c>
      <c r="X52" s="180">
        <v>0</v>
      </c>
      <c r="Y52" s="180">
        <v>0</v>
      </c>
      <c r="Z52" s="180">
        <v>1035516</v>
      </c>
      <c r="AA52" s="180">
        <v>654774</v>
      </c>
      <c r="AB52" s="180">
        <v>0</v>
      </c>
      <c r="AC52" s="180">
        <v>0</v>
      </c>
      <c r="AD52" s="180">
        <v>407545</v>
      </c>
      <c r="AE52" s="180">
        <v>291804</v>
      </c>
      <c r="AF52" s="180">
        <v>0</v>
      </c>
      <c r="AG52" s="180">
        <v>0</v>
      </c>
      <c r="AH52" s="180">
        <v>0</v>
      </c>
      <c r="AI52" s="180">
        <v>0</v>
      </c>
      <c r="AJ52" s="180">
        <v>1867969</v>
      </c>
      <c r="AK52" s="180">
        <v>191594</v>
      </c>
      <c r="AL52" s="180">
        <v>0</v>
      </c>
      <c r="AM52" s="180">
        <v>0</v>
      </c>
      <c r="AN52" s="180">
        <v>11819695</v>
      </c>
      <c r="AO52" s="180"/>
      <c r="AP52" s="180">
        <v>0</v>
      </c>
      <c r="AQ52" s="180">
        <v>1728661</v>
      </c>
      <c r="AR52" s="180"/>
      <c r="AS52" s="180"/>
      <c r="AT52" s="180"/>
      <c r="AU52" s="180">
        <v>224312</v>
      </c>
      <c r="AV52" s="180">
        <v>0</v>
      </c>
      <c r="AW52" s="180"/>
      <c r="AX52" s="180">
        <v>0</v>
      </c>
      <c r="AY52" s="180">
        <v>541472</v>
      </c>
      <c r="AZ52" s="180"/>
      <c r="BA52" s="180">
        <v>0</v>
      </c>
      <c r="BB52" s="180">
        <v>311175</v>
      </c>
      <c r="BC52" s="180"/>
      <c r="BD52" s="180">
        <v>0</v>
      </c>
      <c r="BE52" s="180">
        <v>175121</v>
      </c>
      <c r="BF52" s="180"/>
      <c r="BG52" s="180"/>
      <c r="BH52" s="180">
        <v>0</v>
      </c>
      <c r="BI52" s="180">
        <v>0</v>
      </c>
      <c r="BJ52" s="180">
        <v>1135472</v>
      </c>
      <c r="BK52" s="180">
        <v>800169</v>
      </c>
      <c r="BL52" s="180">
        <v>577067</v>
      </c>
      <c r="BM52" s="180">
        <v>0</v>
      </c>
      <c r="BN52" s="180">
        <v>0</v>
      </c>
      <c r="BO52" s="180">
        <v>0</v>
      </c>
      <c r="BP52" s="180">
        <v>0</v>
      </c>
      <c r="BQ52" s="180">
        <v>707793</v>
      </c>
      <c r="BR52" s="180">
        <v>0</v>
      </c>
      <c r="BS52" s="180">
        <v>0</v>
      </c>
      <c r="BT52" s="180">
        <v>252544</v>
      </c>
      <c r="BU52" s="180">
        <v>39000</v>
      </c>
      <c r="BV52" s="180">
        <v>378564</v>
      </c>
      <c r="BW52" s="180">
        <v>0</v>
      </c>
      <c r="BX52" s="180"/>
      <c r="BY52" s="180">
        <v>0</v>
      </c>
      <c r="BZ52" s="180">
        <v>2915009</v>
      </c>
      <c r="CA52" s="180">
        <v>0</v>
      </c>
      <c r="CB52" s="180"/>
      <c r="CC52" s="180"/>
      <c r="CD52" s="180"/>
      <c r="CE52" s="180"/>
      <c r="CF52" s="180"/>
      <c r="CG52" s="180"/>
      <c r="CH52" s="180"/>
      <c r="CI52" s="180"/>
      <c r="CJ52" s="180"/>
      <c r="CK52" s="180"/>
      <c r="CL52" s="180"/>
      <c r="CM52" s="180"/>
      <c r="CN52" s="180"/>
      <c r="CO52" s="180"/>
      <c r="CP52" s="180"/>
      <c r="CQ52" s="180"/>
      <c r="CR52" s="180"/>
      <c r="CS52" s="180"/>
      <c r="CT52" s="180"/>
      <c r="CU52" s="180"/>
    </row>
    <row r="53" spans="1:99" x14ac:dyDescent="0.3">
      <c r="A53" s="155">
        <v>331</v>
      </c>
      <c r="B53" s="180" t="s">
        <v>238</v>
      </c>
      <c r="C53" s="180"/>
      <c r="D53" s="180">
        <v>0</v>
      </c>
      <c r="E53" s="180">
        <v>0</v>
      </c>
      <c r="F53" s="180"/>
      <c r="G53" s="180">
        <v>4686196</v>
      </c>
      <c r="H53" s="180">
        <v>169661</v>
      </c>
      <c r="I53" s="180">
        <v>0</v>
      </c>
      <c r="J53" s="180">
        <v>0</v>
      </c>
      <c r="K53" s="180">
        <v>5973</v>
      </c>
      <c r="L53" s="180">
        <v>4130418</v>
      </c>
      <c r="M53" s="180"/>
      <c r="N53" s="180">
        <v>0</v>
      </c>
      <c r="O53" s="180"/>
      <c r="P53" s="180">
        <v>0</v>
      </c>
      <c r="Q53" s="180">
        <v>2813</v>
      </c>
      <c r="R53" s="180">
        <v>847745</v>
      </c>
      <c r="S53" s="180">
        <v>1582627</v>
      </c>
      <c r="T53" s="180">
        <v>0</v>
      </c>
      <c r="U53" s="180">
        <v>663853</v>
      </c>
      <c r="V53" s="180">
        <v>0</v>
      </c>
      <c r="W53" s="180">
        <v>0</v>
      </c>
      <c r="X53" s="180">
        <v>144421</v>
      </c>
      <c r="Y53" s="180">
        <v>368921</v>
      </c>
      <c r="Z53" s="180">
        <v>12485</v>
      </c>
      <c r="AA53" s="180">
        <v>119944</v>
      </c>
      <c r="AB53" s="180">
        <v>0</v>
      </c>
      <c r="AC53" s="180">
        <v>20000</v>
      </c>
      <c r="AD53" s="180">
        <v>151537</v>
      </c>
      <c r="AE53" s="180">
        <v>144192</v>
      </c>
      <c r="AF53" s="180">
        <v>0</v>
      </c>
      <c r="AG53" s="180">
        <v>0</v>
      </c>
      <c r="AH53" s="180">
        <v>0</v>
      </c>
      <c r="AI53" s="180">
        <v>0</v>
      </c>
      <c r="AJ53" s="180">
        <v>873721</v>
      </c>
      <c r="AK53" s="180">
        <v>0</v>
      </c>
      <c r="AL53" s="180">
        <v>0</v>
      </c>
      <c r="AM53" s="180">
        <v>0</v>
      </c>
      <c r="AN53" s="180">
        <v>1679668</v>
      </c>
      <c r="AO53" s="180"/>
      <c r="AP53" s="180">
        <v>0</v>
      </c>
      <c r="AQ53" s="180">
        <v>378785</v>
      </c>
      <c r="AR53" s="180"/>
      <c r="AS53" s="180"/>
      <c r="AT53" s="180"/>
      <c r="AU53" s="180">
        <v>90399</v>
      </c>
      <c r="AV53" s="180">
        <v>19237</v>
      </c>
      <c r="AW53" s="180"/>
      <c r="AX53" s="180">
        <v>0</v>
      </c>
      <c r="AY53" s="180">
        <v>80951</v>
      </c>
      <c r="AZ53" s="180"/>
      <c r="BA53" s="180">
        <v>0</v>
      </c>
      <c r="BB53" s="180">
        <v>35593</v>
      </c>
      <c r="BC53" s="180"/>
      <c r="BD53" s="180">
        <v>0</v>
      </c>
      <c r="BE53" s="180">
        <v>1575764</v>
      </c>
      <c r="BF53" s="180"/>
      <c r="BG53" s="180"/>
      <c r="BH53" s="180">
        <v>274321</v>
      </c>
      <c r="BI53" s="180">
        <v>162960</v>
      </c>
      <c r="BJ53" s="180">
        <v>0</v>
      </c>
      <c r="BK53" s="180">
        <v>79013</v>
      </c>
      <c r="BL53" s="180">
        <v>36664</v>
      </c>
      <c r="BM53" s="180">
        <v>0</v>
      </c>
      <c r="BN53" s="180">
        <v>198758</v>
      </c>
      <c r="BO53" s="180">
        <v>93355</v>
      </c>
      <c r="BP53" s="180">
        <v>12452</v>
      </c>
      <c r="BQ53" s="180">
        <v>0</v>
      </c>
      <c r="BR53" s="180">
        <v>0</v>
      </c>
      <c r="BS53" s="180">
        <v>0</v>
      </c>
      <c r="BT53" s="180">
        <v>19062</v>
      </c>
      <c r="BU53" s="180">
        <v>324177</v>
      </c>
      <c r="BV53" s="180">
        <v>23132</v>
      </c>
      <c r="BW53" s="180">
        <v>0</v>
      </c>
      <c r="BX53" s="180"/>
      <c r="BY53" s="180">
        <v>0</v>
      </c>
      <c r="BZ53" s="180">
        <v>3492619</v>
      </c>
      <c r="CA53" s="180">
        <v>0</v>
      </c>
      <c r="CB53" s="180"/>
      <c r="CC53" s="180"/>
      <c r="CD53" s="180"/>
      <c r="CE53" s="180"/>
      <c r="CF53" s="180"/>
      <c r="CG53" s="180"/>
      <c r="CH53" s="180"/>
      <c r="CI53" s="180"/>
      <c r="CJ53" s="180"/>
      <c r="CK53" s="180"/>
      <c r="CL53" s="180"/>
      <c r="CM53" s="180"/>
      <c r="CN53" s="180"/>
      <c r="CO53" s="180"/>
      <c r="CP53" s="180"/>
      <c r="CQ53" s="180"/>
      <c r="CR53" s="180"/>
      <c r="CS53" s="180"/>
      <c r="CT53" s="180"/>
      <c r="CU53" s="180"/>
    </row>
    <row r="54" spans="1:99" x14ac:dyDescent="0.3">
      <c r="A54" s="155">
        <v>332</v>
      </c>
      <c r="B54" s="180" t="s">
        <v>239</v>
      </c>
      <c r="C54" s="180"/>
      <c r="D54" s="180">
        <v>0</v>
      </c>
      <c r="E54" s="180">
        <v>0</v>
      </c>
      <c r="F54" s="180"/>
      <c r="G54" s="180">
        <v>3021800</v>
      </c>
      <c r="H54" s="180">
        <v>259439</v>
      </c>
      <c r="I54" s="180">
        <v>197740</v>
      </c>
      <c r="J54" s="180">
        <v>32733</v>
      </c>
      <c r="K54" s="180">
        <v>94329</v>
      </c>
      <c r="L54" s="180">
        <v>4295135</v>
      </c>
      <c r="M54" s="180"/>
      <c r="N54" s="180">
        <v>0</v>
      </c>
      <c r="O54" s="180"/>
      <c r="P54" s="180">
        <v>0</v>
      </c>
      <c r="Q54" s="180">
        <v>1507970</v>
      </c>
      <c r="R54" s="180">
        <v>691562</v>
      </c>
      <c r="S54" s="180">
        <v>1718219</v>
      </c>
      <c r="T54" s="180">
        <v>0</v>
      </c>
      <c r="U54" s="180">
        <v>1760707</v>
      </c>
      <c r="V54" s="180">
        <v>0</v>
      </c>
      <c r="W54" s="180">
        <v>0</v>
      </c>
      <c r="X54" s="180">
        <v>0</v>
      </c>
      <c r="Y54" s="180">
        <v>219478</v>
      </c>
      <c r="Z54" s="180">
        <v>829975</v>
      </c>
      <c r="AA54" s="180">
        <v>519070</v>
      </c>
      <c r="AB54" s="180">
        <v>0</v>
      </c>
      <c r="AC54" s="180">
        <v>25459</v>
      </c>
      <c r="AD54" s="180">
        <v>122105</v>
      </c>
      <c r="AE54" s="180">
        <v>331410</v>
      </c>
      <c r="AF54" s="180">
        <v>0</v>
      </c>
      <c r="AG54" s="180">
        <v>0</v>
      </c>
      <c r="AH54" s="180">
        <v>0</v>
      </c>
      <c r="AI54" s="180">
        <v>0</v>
      </c>
      <c r="AJ54" s="180">
        <v>2831761</v>
      </c>
      <c r="AK54" s="180">
        <v>43219</v>
      </c>
      <c r="AL54" s="180">
        <v>0</v>
      </c>
      <c r="AM54" s="180">
        <v>0</v>
      </c>
      <c r="AN54" s="180">
        <v>1767367</v>
      </c>
      <c r="AO54" s="180"/>
      <c r="AP54" s="180">
        <v>0</v>
      </c>
      <c r="AQ54" s="180">
        <v>1985720</v>
      </c>
      <c r="AR54" s="180"/>
      <c r="AS54" s="180"/>
      <c r="AT54" s="180"/>
      <c r="AU54" s="180">
        <v>858216</v>
      </c>
      <c r="AV54" s="180">
        <v>0</v>
      </c>
      <c r="AW54" s="180"/>
      <c r="AX54" s="180">
        <v>375604</v>
      </c>
      <c r="AY54" s="180">
        <v>118800</v>
      </c>
      <c r="AZ54" s="180"/>
      <c r="BA54" s="180">
        <v>0</v>
      </c>
      <c r="BB54" s="180">
        <v>411451</v>
      </c>
      <c r="BC54" s="180"/>
      <c r="BD54" s="180">
        <v>0</v>
      </c>
      <c r="BE54" s="180">
        <v>6389283</v>
      </c>
      <c r="BF54" s="180"/>
      <c r="BG54" s="180"/>
      <c r="BH54" s="180">
        <v>0</v>
      </c>
      <c r="BI54" s="180">
        <v>0</v>
      </c>
      <c r="BJ54" s="180">
        <v>73711</v>
      </c>
      <c r="BK54" s="180">
        <v>256779</v>
      </c>
      <c r="BL54" s="180">
        <v>5175</v>
      </c>
      <c r="BM54" s="180">
        <v>0</v>
      </c>
      <c r="BN54" s="180">
        <v>577305</v>
      </c>
      <c r="BO54" s="180">
        <v>127822</v>
      </c>
      <c r="BP54" s="180">
        <v>16721</v>
      </c>
      <c r="BQ54" s="180">
        <v>0</v>
      </c>
      <c r="BR54" s="180">
        <v>0</v>
      </c>
      <c r="BS54" s="180">
        <v>0</v>
      </c>
      <c r="BT54" s="180">
        <v>317413</v>
      </c>
      <c r="BU54" s="180">
        <v>121776</v>
      </c>
      <c r="BV54" s="180">
        <v>378564</v>
      </c>
      <c r="BW54" s="180">
        <v>0</v>
      </c>
      <c r="BX54" s="180"/>
      <c r="BY54" s="180">
        <v>0</v>
      </c>
      <c r="BZ54" s="180">
        <v>4233031</v>
      </c>
      <c r="CA54" s="180">
        <v>0</v>
      </c>
      <c r="CB54" s="180"/>
      <c r="CC54" s="180"/>
      <c r="CD54" s="180"/>
      <c r="CE54" s="180"/>
      <c r="CF54" s="180"/>
      <c r="CG54" s="180"/>
      <c r="CH54" s="180"/>
      <c r="CI54" s="180"/>
      <c r="CJ54" s="180"/>
      <c r="CK54" s="180"/>
      <c r="CL54" s="180"/>
      <c r="CM54" s="180"/>
      <c r="CN54" s="180"/>
      <c r="CO54" s="180"/>
      <c r="CP54" s="180"/>
      <c r="CQ54" s="180"/>
      <c r="CR54" s="180"/>
      <c r="CS54" s="180"/>
      <c r="CT54" s="180"/>
      <c r="CU54" s="180"/>
    </row>
    <row r="55" spans="1:99" x14ac:dyDescent="0.3">
      <c r="A55" s="155">
        <v>333</v>
      </c>
      <c r="B55" s="180" t="s">
        <v>176</v>
      </c>
      <c r="C55" s="180"/>
      <c r="D55" s="180">
        <v>626991</v>
      </c>
      <c r="E55" s="180">
        <v>29420693</v>
      </c>
      <c r="F55" s="180"/>
      <c r="G55" s="180">
        <v>50277945</v>
      </c>
      <c r="H55" s="180">
        <v>3259755</v>
      </c>
      <c r="I55" s="180">
        <v>440637</v>
      </c>
      <c r="J55" s="180">
        <v>2673725</v>
      </c>
      <c r="K55" s="180">
        <v>1161016</v>
      </c>
      <c r="L55" s="180">
        <v>52504926</v>
      </c>
      <c r="M55" s="180"/>
      <c r="N55" s="180">
        <v>783353</v>
      </c>
      <c r="O55" s="180"/>
      <c r="P55" s="180">
        <v>27080088</v>
      </c>
      <c r="Q55" s="180">
        <v>20356718</v>
      </c>
      <c r="R55" s="180">
        <v>2978181</v>
      </c>
      <c r="S55" s="180">
        <v>22117157</v>
      </c>
      <c r="T55" s="180">
        <v>212133</v>
      </c>
      <c r="U55" s="180">
        <v>28466044</v>
      </c>
      <c r="V55" s="180">
        <v>166751</v>
      </c>
      <c r="W55" s="180">
        <v>13264585</v>
      </c>
      <c r="X55" s="180">
        <v>14034373</v>
      </c>
      <c r="Y55" s="180">
        <v>6512653</v>
      </c>
      <c r="Z55" s="180">
        <v>2422053</v>
      </c>
      <c r="AA55" s="180">
        <v>6667064</v>
      </c>
      <c r="AB55" s="180">
        <v>1416249</v>
      </c>
      <c r="AC55" s="180">
        <v>325808</v>
      </c>
      <c r="AD55" s="180">
        <v>1547340</v>
      </c>
      <c r="AE55" s="180">
        <v>2533657</v>
      </c>
      <c r="AF55" s="180">
        <v>120435</v>
      </c>
      <c r="AG55" s="180">
        <v>76904</v>
      </c>
      <c r="AH55" s="180">
        <v>167857</v>
      </c>
      <c r="AI55" s="180">
        <v>3439206</v>
      </c>
      <c r="AJ55" s="180">
        <v>3674705</v>
      </c>
      <c r="AK55" s="180">
        <v>346631</v>
      </c>
      <c r="AL55" s="180">
        <v>127717</v>
      </c>
      <c r="AM55" s="180">
        <v>22758525</v>
      </c>
      <c r="AN55" s="180">
        <v>20868617</v>
      </c>
      <c r="AO55" s="180"/>
      <c r="AP55" s="180">
        <v>10523040</v>
      </c>
      <c r="AQ55" s="180">
        <v>27762345</v>
      </c>
      <c r="AR55" s="180"/>
      <c r="AS55" s="180"/>
      <c r="AT55" s="180"/>
      <c r="AU55" s="180">
        <v>8060745</v>
      </c>
      <c r="AV55" s="180">
        <v>290054</v>
      </c>
      <c r="AW55" s="180"/>
      <c r="AX55" s="180">
        <v>3181941</v>
      </c>
      <c r="AY55" s="180">
        <v>3009156</v>
      </c>
      <c r="AZ55" s="180"/>
      <c r="BA55" s="180">
        <v>132754</v>
      </c>
      <c r="BB55" s="180">
        <v>2371779</v>
      </c>
      <c r="BC55" s="180"/>
      <c r="BD55" s="180">
        <v>399197</v>
      </c>
      <c r="BE55" s="180">
        <v>7289404</v>
      </c>
      <c r="BF55" s="180"/>
      <c r="BG55" s="180"/>
      <c r="BH55" s="180">
        <v>3423953</v>
      </c>
      <c r="BI55" s="180">
        <v>4668289</v>
      </c>
      <c r="BJ55" s="180">
        <v>500803</v>
      </c>
      <c r="BK55" s="180">
        <v>5146721</v>
      </c>
      <c r="BL55" s="180">
        <v>7639393</v>
      </c>
      <c r="BM55" s="180">
        <v>176865</v>
      </c>
      <c r="BN55" s="180">
        <v>4744588</v>
      </c>
      <c r="BO55" s="180">
        <v>4697973</v>
      </c>
      <c r="BP55" s="180">
        <v>1577230</v>
      </c>
      <c r="BQ55" s="180">
        <v>2128446</v>
      </c>
      <c r="BR55" s="180">
        <v>2709778</v>
      </c>
      <c r="BS55" s="180">
        <v>21015006</v>
      </c>
      <c r="BT55" s="180">
        <v>2321055</v>
      </c>
      <c r="BU55" s="180">
        <v>1967927</v>
      </c>
      <c r="BV55" s="180">
        <v>1233107</v>
      </c>
      <c r="BW55" s="180">
        <v>1530804</v>
      </c>
      <c r="BX55" s="180"/>
      <c r="BY55" s="180">
        <v>188656</v>
      </c>
      <c r="BZ55" s="180">
        <v>18920436</v>
      </c>
      <c r="CA55" s="180">
        <v>54257</v>
      </c>
      <c r="CB55" s="180"/>
      <c r="CC55" s="180"/>
      <c r="CD55" s="180"/>
      <c r="CE55" s="180"/>
      <c r="CF55" s="180"/>
      <c r="CG55" s="180"/>
      <c r="CH55" s="180"/>
      <c r="CI55" s="180"/>
      <c r="CJ55" s="180"/>
      <c r="CK55" s="180"/>
      <c r="CL55" s="180"/>
      <c r="CM55" s="180"/>
      <c r="CN55" s="180"/>
      <c r="CO55" s="180"/>
      <c r="CP55" s="180"/>
      <c r="CQ55" s="180"/>
      <c r="CR55" s="180"/>
      <c r="CS55" s="180"/>
      <c r="CT55" s="180"/>
      <c r="CU55" s="180"/>
    </row>
    <row r="56" spans="1:99" x14ac:dyDescent="0.3">
      <c r="A56" s="155">
        <v>334</v>
      </c>
      <c r="B56" s="180" t="s">
        <v>261</v>
      </c>
      <c r="C56" s="180"/>
      <c r="D56" s="180">
        <v>4142403</v>
      </c>
      <c r="E56" s="180">
        <v>68635619</v>
      </c>
      <c r="F56" s="180"/>
      <c r="G56" s="180">
        <v>184542282</v>
      </c>
      <c r="H56" s="180">
        <v>11359381</v>
      </c>
      <c r="I56" s="180">
        <v>148692</v>
      </c>
      <c r="J56" s="180">
        <v>1660223</v>
      </c>
      <c r="K56" s="180">
        <v>3435297</v>
      </c>
      <c r="L56" s="180">
        <v>346556258</v>
      </c>
      <c r="M56" s="180"/>
      <c r="N56" s="180">
        <v>2299995</v>
      </c>
      <c r="O56" s="180"/>
      <c r="P56" s="180">
        <v>157806540</v>
      </c>
      <c r="Q56" s="180">
        <v>55452150</v>
      </c>
      <c r="R56" s="180">
        <v>12022576</v>
      </c>
      <c r="S56" s="180">
        <v>30673547</v>
      </c>
      <c r="T56" s="180">
        <v>585574</v>
      </c>
      <c r="U56" s="180">
        <v>42858786</v>
      </c>
      <c r="V56" s="180">
        <v>10238</v>
      </c>
      <c r="W56" s="180">
        <v>33058023</v>
      </c>
      <c r="X56" s="180">
        <v>122471086</v>
      </c>
      <c r="Y56" s="180">
        <v>14640168</v>
      </c>
      <c r="Z56" s="180">
        <v>18000149</v>
      </c>
      <c r="AA56" s="180">
        <v>12911987</v>
      </c>
      <c r="AB56" s="180">
        <v>787203</v>
      </c>
      <c r="AC56" s="180">
        <v>953108</v>
      </c>
      <c r="AD56" s="180">
        <v>4529594</v>
      </c>
      <c r="AE56" s="180">
        <v>6806009</v>
      </c>
      <c r="AF56" s="180">
        <v>759972</v>
      </c>
      <c r="AG56" s="180">
        <v>178432</v>
      </c>
      <c r="AH56" s="180">
        <v>1890054</v>
      </c>
      <c r="AI56" s="180">
        <v>2445876</v>
      </c>
      <c r="AJ56" s="180">
        <v>20606938</v>
      </c>
      <c r="AK56" s="180">
        <v>1808858</v>
      </c>
      <c r="AL56" s="180">
        <v>37459</v>
      </c>
      <c r="AM56" s="180">
        <v>152567674</v>
      </c>
      <c r="AN56" s="180">
        <v>79273487</v>
      </c>
      <c r="AO56" s="180"/>
      <c r="AP56" s="180">
        <v>13497164</v>
      </c>
      <c r="AQ56" s="180">
        <v>101894842</v>
      </c>
      <c r="AR56" s="180"/>
      <c r="AS56" s="180"/>
      <c r="AT56" s="180"/>
      <c r="AU56" s="180">
        <v>42731477</v>
      </c>
      <c r="AV56" s="180">
        <v>852072</v>
      </c>
      <c r="AW56" s="180"/>
      <c r="AX56" s="180">
        <v>18415592</v>
      </c>
      <c r="AY56" s="180">
        <v>8415589</v>
      </c>
      <c r="AZ56" s="180"/>
      <c r="BA56" s="180">
        <v>5342</v>
      </c>
      <c r="BB56" s="180">
        <v>5574326</v>
      </c>
      <c r="BC56" s="180"/>
      <c r="BD56" s="180">
        <v>110316</v>
      </c>
      <c r="BE56" s="180">
        <v>53263135</v>
      </c>
      <c r="BF56" s="180"/>
      <c r="BG56" s="180"/>
      <c r="BH56" s="180">
        <v>6167859</v>
      </c>
      <c r="BI56" s="180">
        <v>9550688</v>
      </c>
      <c r="BJ56" s="180">
        <v>1104965</v>
      </c>
      <c r="BK56" s="180">
        <v>20253138</v>
      </c>
      <c r="BL56" s="180">
        <v>10361326</v>
      </c>
      <c r="BM56" s="180">
        <v>154058</v>
      </c>
      <c r="BN56" s="180">
        <v>19876606</v>
      </c>
      <c r="BO56" s="180">
        <v>9294744</v>
      </c>
      <c r="BP56" s="180">
        <v>1279907</v>
      </c>
      <c r="BQ56" s="180">
        <v>3404832</v>
      </c>
      <c r="BR56" s="180">
        <v>9560335</v>
      </c>
      <c r="BS56" s="180">
        <v>149504790</v>
      </c>
      <c r="BT56" s="180">
        <v>4993001</v>
      </c>
      <c r="BU56" s="180">
        <v>6290319</v>
      </c>
      <c r="BV56" s="180">
        <v>1886191</v>
      </c>
      <c r="BW56" s="180">
        <v>3850809</v>
      </c>
      <c r="BX56" s="180"/>
      <c r="BY56" s="180">
        <v>99967</v>
      </c>
      <c r="BZ56" s="180">
        <v>77210589</v>
      </c>
      <c r="CA56" s="180">
        <v>316984</v>
      </c>
      <c r="CB56" s="180"/>
      <c r="CC56" s="180"/>
      <c r="CD56" s="180"/>
      <c r="CE56" s="180"/>
      <c r="CF56" s="180"/>
      <c r="CG56" s="180"/>
      <c r="CH56" s="180"/>
      <c r="CI56" s="180"/>
      <c r="CJ56" s="180"/>
      <c r="CK56" s="180"/>
      <c r="CL56" s="180"/>
      <c r="CM56" s="180"/>
      <c r="CN56" s="180"/>
      <c r="CO56" s="180"/>
      <c r="CP56" s="180"/>
      <c r="CQ56" s="180"/>
      <c r="CR56" s="180"/>
      <c r="CS56" s="180"/>
      <c r="CT56" s="180"/>
      <c r="CU56" s="180"/>
    </row>
    <row r="57" spans="1:99" x14ac:dyDescent="0.3">
      <c r="A57" s="155">
        <v>335</v>
      </c>
      <c r="B57" s="180" t="s">
        <v>109</v>
      </c>
      <c r="C57" s="180"/>
      <c r="D57" s="180">
        <v>0</v>
      </c>
      <c r="E57" s="180">
        <v>0</v>
      </c>
      <c r="F57" s="180"/>
      <c r="G57" s="180">
        <v>0</v>
      </c>
      <c r="H57" s="180">
        <v>0</v>
      </c>
      <c r="I57" s="180">
        <v>0</v>
      </c>
      <c r="J57" s="180">
        <v>0</v>
      </c>
      <c r="K57" s="180">
        <v>0</v>
      </c>
      <c r="L57" s="180">
        <v>0</v>
      </c>
      <c r="M57" s="180"/>
      <c r="N57" s="180">
        <v>134012</v>
      </c>
      <c r="O57" s="180"/>
      <c r="P57" s="180">
        <v>47424</v>
      </c>
      <c r="Q57" s="180">
        <v>6820</v>
      </c>
      <c r="R57" s="180">
        <v>788098</v>
      </c>
      <c r="S57" s="180">
        <v>0</v>
      </c>
      <c r="T57" s="180">
        <v>108344</v>
      </c>
      <c r="U57" s="180">
        <v>10135</v>
      </c>
      <c r="V57" s="180">
        <v>0</v>
      </c>
      <c r="W57" s="180">
        <v>0</v>
      </c>
      <c r="X57" s="180">
        <v>0</v>
      </c>
      <c r="Y57" s="180">
        <v>250000</v>
      </c>
      <c r="Z57" s="180">
        <v>0</v>
      </c>
      <c r="AA57" s="180">
        <v>16500000</v>
      </c>
      <c r="AB57" s="180">
        <v>90</v>
      </c>
      <c r="AC57" s="180">
        <v>0</v>
      </c>
      <c r="AD57" s="180">
        <v>0</v>
      </c>
      <c r="AE57" s="180">
        <v>445109</v>
      </c>
      <c r="AF57" s="180">
        <v>250000</v>
      </c>
      <c r="AG57" s="180">
        <v>0</v>
      </c>
      <c r="AH57" s="180">
        <v>10918</v>
      </c>
      <c r="AI57" s="180">
        <v>371283</v>
      </c>
      <c r="AJ57" s="180">
        <v>0</v>
      </c>
      <c r="AK57" s="180">
        <v>77260</v>
      </c>
      <c r="AL57" s="180">
        <v>8764</v>
      </c>
      <c r="AM57" s="180">
        <v>4001706</v>
      </c>
      <c r="AN57" s="180">
        <v>0</v>
      </c>
      <c r="AO57" s="180"/>
      <c r="AP57" s="180">
        <v>0</v>
      </c>
      <c r="AQ57" s="180">
        <v>3024866</v>
      </c>
      <c r="AR57" s="180"/>
      <c r="AS57" s="180"/>
      <c r="AT57" s="180"/>
      <c r="AU57" s="180">
        <v>0</v>
      </c>
      <c r="AV57" s="180">
        <v>0</v>
      </c>
      <c r="AW57" s="180"/>
      <c r="AX57" s="180">
        <v>0</v>
      </c>
      <c r="AY57" s="180">
        <v>0</v>
      </c>
      <c r="AZ57" s="180"/>
      <c r="BA57" s="180">
        <v>0</v>
      </c>
      <c r="BB57" s="180">
        <v>0</v>
      </c>
      <c r="BC57" s="180"/>
      <c r="BD57" s="180">
        <v>0</v>
      </c>
      <c r="BE57" s="180">
        <v>915077</v>
      </c>
      <c r="BF57" s="180"/>
      <c r="BG57" s="180"/>
      <c r="BH57" s="180">
        <v>0</v>
      </c>
      <c r="BI57" s="180">
        <v>8420</v>
      </c>
      <c r="BJ57" s="180">
        <v>0</v>
      </c>
      <c r="BK57" s="180">
        <v>0</v>
      </c>
      <c r="BL57" s="180">
        <v>232012</v>
      </c>
      <c r="BM57" s="180">
        <v>0</v>
      </c>
      <c r="BN57" s="180">
        <v>0</v>
      </c>
      <c r="BO57" s="180">
        <v>0</v>
      </c>
      <c r="BP57" s="180">
        <v>0</v>
      </c>
      <c r="BQ57" s="180">
        <v>0</v>
      </c>
      <c r="BR57" s="180">
        <v>0</v>
      </c>
      <c r="BS57" s="180">
        <v>254319</v>
      </c>
      <c r="BT57" s="180">
        <v>0</v>
      </c>
      <c r="BU57" s="180">
        <v>1302835</v>
      </c>
      <c r="BV57" s="180">
        <v>0</v>
      </c>
      <c r="BW57" s="180">
        <v>107242</v>
      </c>
      <c r="BX57" s="180"/>
      <c r="BY57" s="180">
        <v>0</v>
      </c>
      <c r="BZ57" s="180">
        <v>0</v>
      </c>
      <c r="CA57" s="180">
        <v>33463</v>
      </c>
      <c r="CB57" s="180"/>
      <c r="CC57" s="180"/>
      <c r="CD57" s="180"/>
      <c r="CE57" s="180"/>
      <c r="CF57" s="180"/>
      <c r="CG57" s="180"/>
      <c r="CH57" s="180"/>
      <c r="CI57" s="180"/>
      <c r="CJ57" s="180"/>
      <c r="CK57" s="180"/>
      <c r="CL57" s="180"/>
      <c r="CM57" s="180"/>
      <c r="CN57" s="180"/>
      <c r="CO57" s="180"/>
      <c r="CP57" s="180"/>
      <c r="CQ57" s="180"/>
      <c r="CR57" s="180"/>
      <c r="CS57" s="180"/>
      <c r="CT57" s="180"/>
      <c r="CU57" s="180"/>
    </row>
    <row r="58" spans="1:99" x14ac:dyDescent="0.3">
      <c r="A58" s="559">
        <v>336</v>
      </c>
      <c r="B58" s="560" t="s">
        <v>922</v>
      </c>
      <c r="C58" s="560"/>
      <c r="D58" s="560">
        <v>113665</v>
      </c>
      <c r="E58" s="560">
        <v>2921807</v>
      </c>
      <c r="F58" s="560"/>
      <c r="G58" s="560">
        <v>7257802</v>
      </c>
      <c r="H58" s="560">
        <v>581047</v>
      </c>
      <c r="I58" s="560">
        <v>15890</v>
      </c>
      <c r="J58" s="560">
        <v>15585</v>
      </c>
      <c r="K58" s="560">
        <v>485347</v>
      </c>
      <c r="L58" s="560">
        <v>16335164</v>
      </c>
      <c r="M58" s="560"/>
      <c r="N58" s="560">
        <v>51252</v>
      </c>
      <c r="O58" s="560"/>
      <c r="P58" s="560">
        <v>5900525</v>
      </c>
      <c r="Q58" s="560">
        <v>5781008</v>
      </c>
      <c r="R58" s="560">
        <v>1237733</v>
      </c>
      <c r="S58" s="560">
        <v>2574535</v>
      </c>
      <c r="T58" s="560">
        <v>8350</v>
      </c>
      <c r="U58" s="560">
        <v>3362554</v>
      </c>
      <c r="V58" s="560">
        <v>2859</v>
      </c>
      <c r="W58" s="560">
        <v>1609502</v>
      </c>
      <c r="X58" s="560">
        <v>3090626</v>
      </c>
      <c r="Y58" s="560">
        <v>1062770</v>
      </c>
      <c r="Z58" s="560">
        <v>482570</v>
      </c>
      <c r="AA58" s="560">
        <v>17216551</v>
      </c>
      <c r="AB58" s="560">
        <v>540012</v>
      </c>
      <c r="AC58" s="560">
        <v>4905</v>
      </c>
      <c r="AD58" s="560">
        <v>32304</v>
      </c>
      <c r="AE58" s="560">
        <v>671462</v>
      </c>
      <c r="AF58" s="560">
        <v>3779</v>
      </c>
      <c r="AG58" s="560">
        <v>1204</v>
      </c>
      <c r="AH58" s="560">
        <v>440</v>
      </c>
      <c r="AI58" s="560">
        <v>451332</v>
      </c>
      <c r="AJ58" s="560">
        <v>3668346</v>
      </c>
      <c r="AK58" s="560">
        <v>5765</v>
      </c>
      <c r="AL58" s="560">
        <v>4343</v>
      </c>
      <c r="AM58" s="560">
        <v>10671786</v>
      </c>
      <c r="AN58" s="560">
        <v>4270409</v>
      </c>
      <c r="AO58" s="560"/>
      <c r="AP58" s="560">
        <v>1381014</v>
      </c>
      <c r="AQ58" s="560">
        <v>9838702</v>
      </c>
      <c r="AR58" s="560"/>
      <c r="AS58" s="560"/>
      <c r="AT58" s="560"/>
      <c r="AU58" s="560">
        <v>4541902</v>
      </c>
      <c r="AV58" s="560">
        <v>60271</v>
      </c>
      <c r="AW58" s="560"/>
      <c r="AX58" s="560">
        <v>2344142</v>
      </c>
      <c r="AY58" s="560">
        <v>53231</v>
      </c>
      <c r="AZ58" s="560"/>
      <c r="BA58" s="560">
        <v>0</v>
      </c>
      <c r="BB58" s="560">
        <v>878514</v>
      </c>
      <c r="BC58" s="560"/>
      <c r="BD58" s="560">
        <v>1038</v>
      </c>
      <c r="BE58" s="560">
        <v>6750078</v>
      </c>
      <c r="BF58" s="560"/>
      <c r="BG58" s="560"/>
      <c r="BH58" s="560">
        <v>56836</v>
      </c>
      <c r="BI58" s="560">
        <v>372294</v>
      </c>
      <c r="BJ58" s="560">
        <v>42179</v>
      </c>
      <c r="BK58" s="560">
        <v>252188</v>
      </c>
      <c r="BL58" s="560">
        <v>410329</v>
      </c>
      <c r="BM58" s="560">
        <v>-15750</v>
      </c>
      <c r="BN58" s="560">
        <v>938809</v>
      </c>
      <c r="BO58" s="560">
        <v>381197</v>
      </c>
      <c r="BP58" s="560">
        <v>15166</v>
      </c>
      <c r="BQ58" s="560">
        <v>102774</v>
      </c>
      <c r="BR58" s="560">
        <v>130435</v>
      </c>
      <c r="BS58">
        <v>2840683</v>
      </c>
      <c r="BT58">
        <v>117767</v>
      </c>
      <c r="BU58">
        <v>1465121</v>
      </c>
      <c r="BV58">
        <v>118767</v>
      </c>
      <c r="BW58">
        <v>111777</v>
      </c>
      <c r="BY58">
        <v>0</v>
      </c>
      <c r="BZ58">
        <v>3161023</v>
      </c>
      <c r="CA58">
        <v>35549</v>
      </c>
    </row>
    <row r="59" spans="1:99" x14ac:dyDescent="0.3">
      <c r="A59" s="155">
        <v>337</v>
      </c>
      <c r="B59" s="180" t="s">
        <v>245</v>
      </c>
      <c r="C59" s="180"/>
      <c r="D59" s="180">
        <v>1319779</v>
      </c>
      <c r="E59" s="180">
        <v>18720860</v>
      </c>
      <c r="F59" s="180"/>
      <c r="G59" s="180">
        <v>17096235</v>
      </c>
      <c r="H59" s="180">
        <v>925785</v>
      </c>
      <c r="I59" s="180">
        <v>36000</v>
      </c>
      <c r="J59" s="180">
        <v>0</v>
      </c>
      <c r="K59" s="180">
        <v>1390975</v>
      </c>
      <c r="L59" s="180">
        <v>125191976</v>
      </c>
      <c r="M59" s="180"/>
      <c r="N59" s="180">
        <v>26280</v>
      </c>
      <c r="O59" s="180"/>
      <c r="P59" s="180">
        <v>21569939</v>
      </c>
      <c r="Q59" s="180">
        <v>11026819</v>
      </c>
      <c r="R59" s="180">
        <v>2034591</v>
      </c>
      <c r="S59" s="180">
        <v>1819580</v>
      </c>
      <c r="T59" s="180">
        <v>0</v>
      </c>
      <c r="U59" s="180">
        <v>10440386</v>
      </c>
      <c r="V59" s="180">
        <v>0</v>
      </c>
      <c r="W59" s="180">
        <v>0</v>
      </c>
      <c r="X59" s="180">
        <v>10160285</v>
      </c>
      <c r="Y59" s="180">
        <v>4161329</v>
      </c>
      <c r="Z59" s="180">
        <v>171968</v>
      </c>
      <c r="AA59" s="180">
        <v>1466802</v>
      </c>
      <c r="AB59" s="180">
        <v>0</v>
      </c>
      <c r="AC59" s="180">
        <v>0</v>
      </c>
      <c r="AD59" s="180">
        <v>0</v>
      </c>
      <c r="AE59" s="180">
        <v>806997</v>
      </c>
      <c r="AF59" s="180">
        <v>0</v>
      </c>
      <c r="AG59" s="180">
        <v>0</v>
      </c>
      <c r="AH59" s="180">
        <v>0</v>
      </c>
      <c r="AI59" s="180">
        <v>46935</v>
      </c>
      <c r="AJ59" s="180">
        <v>4480666</v>
      </c>
      <c r="AK59" s="180">
        <v>0</v>
      </c>
      <c r="AL59" s="180">
        <v>0</v>
      </c>
      <c r="AM59" s="180">
        <v>0</v>
      </c>
      <c r="AN59" s="180">
        <v>842948</v>
      </c>
      <c r="AO59" s="180"/>
      <c r="AP59" s="180">
        <v>1800000</v>
      </c>
      <c r="AQ59" s="180">
        <v>5114096</v>
      </c>
      <c r="AR59" s="180"/>
      <c r="AS59" s="180"/>
      <c r="AT59" s="180"/>
      <c r="AU59" s="180">
        <v>2120424</v>
      </c>
      <c r="AV59" s="180">
        <v>0</v>
      </c>
      <c r="AW59" s="180"/>
      <c r="AX59" s="180">
        <v>0</v>
      </c>
      <c r="AY59" s="180">
        <v>872926</v>
      </c>
      <c r="AZ59" s="180"/>
      <c r="BA59" s="180">
        <v>0</v>
      </c>
      <c r="BB59" s="180">
        <v>478139</v>
      </c>
      <c r="BC59" s="180"/>
      <c r="BD59" s="180">
        <v>0</v>
      </c>
      <c r="BE59" s="180">
        <v>13648214</v>
      </c>
      <c r="BF59" s="180"/>
      <c r="BG59" s="180"/>
      <c r="BH59" s="180">
        <v>72691</v>
      </c>
      <c r="BI59" s="180">
        <v>4537</v>
      </c>
      <c r="BJ59" s="180">
        <v>100000</v>
      </c>
      <c r="BK59" s="180">
        <v>0</v>
      </c>
      <c r="BL59" s="180">
        <v>0</v>
      </c>
      <c r="BM59" s="180">
        <v>0</v>
      </c>
      <c r="BN59" s="180">
        <v>2150544</v>
      </c>
      <c r="BO59" s="180">
        <v>0</v>
      </c>
      <c r="BP59" s="180">
        <v>0</v>
      </c>
      <c r="BQ59" s="180">
        <v>0</v>
      </c>
      <c r="BR59" s="180">
        <v>1102000</v>
      </c>
      <c r="BS59">
        <v>6310478</v>
      </c>
      <c r="BT59">
        <v>423960</v>
      </c>
      <c r="BU59">
        <v>356512</v>
      </c>
      <c r="BV59">
        <v>93311</v>
      </c>
      <c r="BW59">
        <v>0</v>
      </c>
      <c r="BY59">
        <v>0</v>
      </c>
      <c r="BZ59">
        <v>7512035</v>
      </c>
      <c r="CA59">
        <v>27797</v>
      </c>
    </row>
    <row r="60" spans="1:99" x14ac:dyDescent="0.3">
      <c r="A60" s="563">
        <v>338</v>
      </c>
      <c r="B60" s="564" t="s">
        <v>108</v>
      </c>
      <c r="C60" s="564"/>
      <c r="D60" s="564">
        <v>2280032</v>
      </c>
      <c r="E60" s="564">
        <v>28283431</v>
      </c>
      <c r="F60" s="564"/>
      <c r="G60" s="564">
        <v>43325465</v>
      </c>
      <c r="H60" s="564">
        <v>3047660</v>
      </c>
      <c r="I60" s="564">
        <v>493391</v>
      </c>
      <c r="J60" s="564">
        <v>579301</v>
      </c>
      <c r="K60" s="564">
        <v>2897573</v>
      </c>
      <c r="L60" s="564">
        <v>239772225</v>
      </c>
      <c r="M60" s="564"/>
      <c r="N60" s="564">
        <v>1198822</v>
      </c>
      <c r="O60" s="564"/>
      <c r="P60" s="564">
        <v>51640196</v>
      </c>
      <c r="Q60" s="564">
        <v>30158114</v>
      </c>
      <c r="R60" s="564">
        <v>6211314</v>
      </c>
      <c r="S60" s="564">
        <v>21538319</v>
      </c>
      <c r="T60" s="564">
        <v>116694</v>
      </c>
      <c r="U60" s="564">
        <v>28342942</v>
      </c>
      <c r="V60" s="564">
        <v>17433</v>
      </c>
      <c r="W60" s="564">
        <v>13463099</v>
      </c>
      <c r="X60" s="564">
        <v>31320062</v>
      </c>
      <c r="Y60" s="564">
        <v>10207832</v>
      </c>
      <c r="Z60" s="564">
        <v>783540</v>
      </c>
      <c r="AA60" s="564">
        <v>24411646</v>
      </c>
      <c r="AB60" s="564">
        <v>540102</v>
      </c>
      <c r="AC60" s="564">
        <v>4905</v>
      </c>
      <c r="AD60" s="564">
        <v>404363</v>
      </c>
      <c r="AE60" s="564">
        <v>2405930</v>
      </c>
      <c r="AF60" s="564">
        <v>253779</v>
      </c>
      <c r="AG60" s="564">
        <v>1204</v>
      </c>
      <c r="AH60" s="564">
        <v>11358</v>
      </c>
      <c r="AI60" s="564">
        <v>1378198</v>
      </c>
      <c r="AJ60" s="564">
        <v>14866020</v>
      </c>
      <c r="AK60" s="564">
        <v>83025</v>
      </c>
      <c r="AL60" s="564">
        <v>13107</v>
      </c>
      <c r="AM60" s="564">
        <v>30660290</v>
      </c>
      <c r="AN60" s="564">
        <v>17537366</v>
      </c>
      <c r="AO60" s="564"/>
      <c r="AP60" s="564">
        <v>3454924</v>
      </c>
      <c r="AQ60" s="564">
        <v>44400255</v>
      </c>
      <c r="AR60" s="564"/>
      <c r="AS60" s="564"/>
      <c r="AT60" s="564"/>
      <c r="AU60" s="564">
        <v>21764176</v>
      </c>
      <c r="AV60" s="564">
        <v>84644</v>
      </c>
      <c r="AW60" s="564"/>
      <c r="AX60" s="564">
        <v>3823381</v>
      </c>
      <c r="AY60" s="564">
        <v>3965853</v>
      </c>
      <c r="AZ60" s="564"/>
      <c r="BA60" s="564">
        <v>17847</v>
      </c>
      <c r="BB60" s="564">
        <v>2504560</v>
      </c>
      <c r="BC60" s="564"/>
      <c r="BD60" s="564">
        <v>15060</v>
      </c>
      <c r="BE60" s="564">
        <v>72638714</v>
      </c>
      <c r="BF60" s="564"/>
      <c r="BG60" s="564"/>
      <c r="BH60" s="564">
        <v>10124261</v>
      </c>
      <c r="BI60" s="564">
        <v>1761880</v>
      </c>
      <c r="BJ60" s="564">
        <v>221445</v>
      </c>
      <c r="BK60" s="564">
        <v>3381122</v>
      </c>
      <c r="BL60" s="564">
        <v>4263548</v>
      </c>
      <c r="BM60" s="564">
        <v>15750</v>
      </c>
      <c r="BN60" s="564">
        <v>5907043</v>
      </c>
      <c r="BO60" s="564">
        <v>1073763</v>
      </c>
      <c r="BP60" s="564">
        <v>294980</v>
      </c>
      <c r="BQ60" s="564">
        <v>2575934</v>
      </c>
      <c r="BR60" s="564">
        <v>1498317</v>
      </c>
      <c r="BS60">
        <v>17249500</v>
      </c>
      <c r="BT60">
        <v>1871975</v>
      </c>
      <c r="BU60">
        <v>7577548</v>
      </c>
      <c r="BV60">
        <v>671473</v>
      </c>
      <c r="BW60">
        <v>163119</v>
      </c>
      <c r="BY60">
        <v>7738</v>
      </c>
      <c r="BZ60">
        <v>28622198</v>
      </c>
      <c r="CA60">
        <v>61592</v>
      </c>
    </row>
    <row r="61" spans="1:99" x14ac:dyDescent="0.3">
      <c r="A61" s="155">
        <v>339</v>
      </c>
      <c r="B61" s="180" t="s">
        <v>181</v>
      </c>
      <c r="C61" s="180"/>
      <c r="D61" s="180">
        <v>49498</v>
      </c>
      <c r="E61" s="180">
        <v>662976</v>
      </c>
      <c r="F61" s="180"/>
      <c r="G61" s="180">
        <v>2569578</v>
      </c>
      <c r="H61" s="180">
        <v>1420451</v>
      </c>
      <c r="I61" s="180">
        <v>9030</v>
      </c>
      <c r="J61" s="180">
        <v>1298</v>
      </c>
      <c r="K61" s="180">
        <v>187656</v>
      </c>
      <c r="L61" s="180">
        <v>2762716</v>
      </c>
      <c r="M61" s="180"/>
      <c r="N61" s="180">
        <v>134429</v>
      </c>
      <c r="O61" s="180"/>
      <c r="P61" s="180">
        <v>2781964</v>
      </c>
      <c r="Q61" s="180">
        <v>742042</v>
      </c>
      <c r="R61" s="180">
        <v>404829</v>
      </c>
      <c r="S61" s="180">
        <v>2723837</v>
      </c>
      <c r="T61" s="180">
        <v>0</v>
      </c>
      <c r="U61" s="180">
        <v>3907092</v>
      </c>
      <c r="V61" s="180">
        <v>0</v>
      </c>
      <c r="W61" s="180">
        <v>202117</v>
      </c>
      <c r="X61" s="180">
        <v>4045185</v>
      </c>
      <c r="Y61" s="180">
        <v>2477327</v>
      </c>
      <c r="Z61" s="180">
        <v>657415</v>
      </c>
      <c r="AA61" s="180">
        <v>1351057</v>
      </c>
      <c r="AB61" s="180">
        <v>90564</v>
      </c>
      <c r="AC61" s="180">
        <v>0</v>
      </c>
      <c r="AD61" s="180">
        <v>98615</v>
      </c>
      <c r="AE61" s="180">
        <v>465462</v>
      </c>
      <c r="AF61" s="180">
        <v>41033</v>
      </c>
      <c r="AG61" s="180">
        <v>0</v>
      </c>
      <c r="AH61" s="180">
        <v>0</v>
      </c>
      <c r="AI61" s="180">
        <v>5790</v>
      </c>
      <c r="AJ61" s="180">
        <v>315246</v>
      </c>
      <c r="AK61" s="180">
        <v>0</v>
      </c>
      <c r="AL61" s="180">
        <v>0</v>
      </c>
      <c r="AM61" s="180">
        <v>6118303</v>
      </c>
      <c r="AN61" s="180">
        <v>1761799</v>
      </c>
      <c r="AO61" s="180"/>
      <c r="AP61" s="180">
        <v>15924</v>
      </c>
      <c r="AQ61" s="180">
        <v>2400697</v>
      </c>
      <c r="AR61" s="180"/>
      <c r="AS61" s="180"/>
      <c r="AT61" s="180"/>
      <c r="AU61" s="180">
        <v>241305</v>
      </c>
      <c r="AV61" s="180">
        <v>26276</v>
      </c>
      <c r="AW61" s="180"/>
      <c r="AX61" s="180">
        <v>69058</v>
      </c>
      <c r="AY61" s="180">
        <v>379590</v>
      </c>
      <c r="AZ61" s="180"/>
      <c r="BA61" s="180">
        <v>14078</v>
      </c>
      <c r="BB61" s="180">
        <v>202126</v>
      </c>
      <c r="BC61" s="180"/>
      <c r="BD61" s="180">
        <v>1160</v>
      </c>
      <c r="BE61" s="180">
        <v>1921004</v>
      </c>
      <c r="BF61" s="180"/>
      <c r="BG61" s="180"/>
      <c r="BH61" s="180">
        <v>743650</v>
      </c>
      <c r="BI61" s="180">
        <v>184978</v>
      </c>
      <c r="BJ61" s="180">
        <v>116475</v>
      </c>
      <c r="BK61" s="180">
        <v>333349</v>
      </c>
      <c r="BL61" s="180">
        <v>365313</v>
      </c>
      <c r="BM61" s="180">
        <v>0</v>
      </c>
      <c r="BN61" s="180">
        <v>1882045</v>
      </c>
      <c r="BO61" s="180">
        <v>46928</v>
      </c>
      <c r="BP61" s="180">
        <v>7016</v>
      </c>
      <c r="BQ61" s="180">
        <v>262421</v>
      </c>
      <c r="BR61" s="180">
        <v>204335</v>
      </c>
      <c r="BS61" s="180">
        <v>2167279</v>
      </c>
      <c r="BT61" s="180">
        <v>270102</v>
      </c>
      <c r="BU61" s="180">
        <v>308867</v>
      </c>
      <c r="BV61" s="180">
        <v>195086</v>
      </c>
      <c r="BW61" s="180">
        <v>2576</v>
      </c>
      <c r="BX61" s="180"/>
      <c r="BY61" s="180">
        <v>0</v>
      </c>
      <c r="BZ61" s="180">
        <v>2165375</v>
      </c>
      <c r="CA61" s="180">
        <v>9408</v>
      </c>
      <c r="CB61" s="180"/>
      <c r="CC61" s="180"/>
      <c r="CD61" s="180"/>
      <c r="CE61" s="180"/>
      <c r="CF61" s="180"/>
      <c r="CG61" s="180"/>
      <c r="CH61" s="180"/>
      <c r="CI61" s="180"/>
      <c r="CJ61" s="180"/>
      <c r="CK61" s="180"/>
      <c r="CL61" s="180"/>
      <c r="CM61" s="180"/>
      <c r="CN61" s="180"/>
      <c r="CO61" s="180"/>
      <c r="CP61" s="180"/>
      <c r="CQ61" s="180"/>
      <c r="CR61" s="180"/>
      <c r="CS61" s="180"/>
      <c r="CT61" s="180"/>
      <c r="CU61" s="180"/>
    </row>
    <row r="62" spans="1:99" x14ac:dyDescent="0.3">
      <c r="A62" s="155">
        <v>341</v>
      </c>
      <c r="B62" s="180" t="s">
        <v>923</v>
      </c>
      <c r="C62" s="180"/>
      <c r="D62" s="180">
        <v>2565512</v>
      </c>
      <c r="E62" s="180">
        <v>16594501</v>
      </c>
      <c r="F62" s="180"/>
      <c r="G62" s="180">
        <v>46940591</v>
      </c>
      <c r="H62" s="180">
        <v>3909053</v>
      </c>
      <c r="I62" s="180">
        <v>253651</v>
      </c>
      <c r="J62" s="180">
        <v>1560929</v>
      </c>
      <c r="K62" s="180">
        <v>1904319</v>
      </c>
      <c r="L62" s="180">
        <v>53536355</v>
      </c>
      <c r="M62" s="180"/>
      <c r="N62" s="180">
        <v>798641</v>
      </c>
      <c r="O62" s="180"/>
      <c r="P62" s="180">
        <v>44084335</v>
      </c>
      <c r="Q62" s="180">
        <v>20341970</v>
      </c>
      <c r="R62" s="180">
        <v>6076001</v>
      </c>
      <c r="S62" s="180">
        <v>13558829</v>
      </c>
      <c r="T62" s="180">
        <v>183851</v>
      </c>
      <c r="U62" s="180">
        <v>28127740</v>
      </c>
      <c r="V62" s="180">
        <v>22888</v>
      </c>
      <c r="W62" s="180">
        <v>11043783</v>
      </c>
      <c r="X62" s="180">
        <v>18401046</v>
      </c>
      <c r="Y62" s="180">
        <v>4945443</v>
      </c>
      <c r="Z62" s="180">
        <v>1292579</v>
      </c>
      <c r="AA62" s="180">
        <v>6531171</v>
      </c>
      <c r="AB62" s="180">
        <v>1325284</v>
      </c>
      <c r="AC62" s="180">
        <v>429719</v>
      </c>
      <c r="AD62" s="180">
        <v>1229221</v>
      </c>
      <c r="AE62" s="180">
        <v>3693380</v>
      </c>
      <c r="AF62" s="180">
        <v>100673</v>
      </c>
      <c r="AG62" s="180">
        <v>57365</v>
      </c>
      <c r="AH62" s="180">
        <v>84695</v>
      </c>
      <c r="AI62" s="180">
        <v>3158640</v>
      </c>
      <c r="AJ62" s="180">
        <v>7291444</v>
      </c>
      <c r="AK62" s="180">
        <v>199926</v>
      </c>
      <c r="AL62" s="180">
        <v>28182</v>
      </c>
      <c r="AM62" s="180">
        <v>20682777</v>
      </c>
      <c r="AN62" s="180">
        <v>19486791</v>
      </c>
      <c r="AO62" s="180"/>
      <c r="AP62" s="180">
        <v>5005836</v>
      </c>
      <c r="AQ62" s="180">
        <v>22157321</v>
      </c>
      <c r="AR62" s="180"/>
      <c r="AS62" s="180"/>
      <c r="AT62" s="180"/>
      <c r="AU62" s="180">
        <v>12867703</v>
      </c>
      <c r="AV62" s="180">
        <v>81085</v>
      </c>
      <c r="AW62" s="180"/>
      <c r="AX62" s="180">
        <v>5132779</v>
      </c>
      <c r="AY62" s="180">
        <v>4008558</v>
      </c>
      <c r="AZ62" s="180"/>
      <c r="BA62" s="180">
        <v>89018</v>
      </c>
      <c r="BB62" s="180">
        <v>2925309</v>
      </c>
      <c r="BC62" s="180"/>
      <c r="BD62" s="180">
        <v>74539</v>
      </c>
      <c r="BE62" s="180">
        <v>22418360</v>
      </c>
      <c r="BF62" s="180"/>
      <c r="BG62" s="180"/>
      <c r="BH62" s="180">
        <v>3139964</v>
      </c>
      <c r="BI62" s="180">
        <v>3230549</v>
      </c>
      <c r="BJ62" s="180">
        <v>640650</v>
      </c>
      <c r="BK62" s="180">
        <v>10466934</v>
      </c>
      <c r="BL62" s="180">
        <v>5020253</v>
      </c>
      <c r="BM62" s="180">
        <v>48396</v>
      </c>
      <c r="BN62" s="180">
        <v>5694717</v>
      </c>
      <c r="BO62" s="180">
        <v>2525823</v>
      </c>
      <c r="BP62" s="180">
        <v>1147782</v>
      </c>
      <c r="BQ62" s="180">
        <v>2618006</v>
      </c>
      <c r="BR62" s="180">
        <v>1631709</v>
      </c>
      <c r="BS62">
        <v>24624767</v>
      </c>
      <c r="BT62" s="180">
        <v>1841171</v>
      </c>
      <c r="BU62" s="180">
        <v>2798638</v>
      </c>
      <c r="BV62" s="180">
        <v>640773</v>
      </c>
      <c r="BW62" s="180">
        <v>950950</v>
      </c>
      <c r="BX62" s="180"/>
      <c r="BY62" s="180">
        <v>44019</v>
      </c>
      <c r="BZ62" s="180">
        <v>21511410</v>
      </c>
      <c r="CA62" s="180">
        <v>55280</v>
      </c>
      <c r="CB62" s="180"/>
      <c r="CC62" s="180"/>
      <c r="CD62" s="180"/>
      <c r="CE62" s="180"/>
      <c r="CF62" s="180"/>
      <c r="CG62" s="180"/>
      <c r="CH62" s="180"/>
      <c r="CI62" s="180"/>
      <c r="CJ62" s="180"/>
      <c r="CK62" s="180"/>
      <c r="CL62" s="180"/>
      <c r="CM62" s="180"/>
      <c r="CN62" s="180"/>
      <c r="CO62" s="180"/>
      <c r="CP62" s="180"/>
      <c r="CQ62" s="180"/>
      <c r="CR62" s="180"/>
      <c r="CS62" s="180"/>
      <c r="CT62" s="180"/>
      <c r="CU62" s="180"/>
    </row>
    <row r="63" spans="1:99" x14ac:dyDescent="0.3">
      <c r="A63" s="155">
        <v>343</v>
      </c>
      <c r="B63" s="180" t="s">
        <v>246</v>
      </c>
      <c r="C63" s="180"/>
      <c r="D63" s="180">
        <v>111708</v>
      </c>
      <c r="E63" s="180">
        <v>1145507</v>
      </c>
      <c r="F63" s="180"/>
      <c r="G63" s="180">
        <v>3385344</v>
      </c>
      <c r="H63" s="180">
        <v>304739</v>
      </c>
      <c r="I63" s="180">
        <v>0</v>
      </c>
      <c r="J63" s="180">
        <v>0</v>
      </c>
      <c r="K63" s="180">
        <v>73382</v>
      </c>
      <c r="L63" s="180">
        <v>10167424</v>
      </c>
      <c r="M63" s="180"/>
      <c r="N63" s="180">
        <v>26280</v>
      </c>
      <c r="O63" s="180"/>
      <c r="P63" s="180">
        <v>4183854</v>
      </c>
      <c r="Q63" s="180">
        <v>3138606</v>
      </c>
      <c r="R63" s="180">
        <v>452645</v>
      </c>
      <c r="S63" s="180">
        <v>805245</v>
      </c>
      <c r="T63" s="180">
        <v>0</v>
      </c>
      <c r="U63" s="180">
        <v>786339</v>
      </c>
      <c r="V63" s="180">
        <v>0</v>
      </c>
      <c r="W63" s="180">
        <v>0</v>
      </c>
      <c r="X63" s="180">
        <v>6720723</v>
      </c>
      <c r="Y63" s="180">
        <v>593744</v>
      </c>
      <c r="Z63" s="180">
        <v>104892</v>
      </c>
      <c r="AA63" s="180">
        <v>303989</v>
      </c>
      <c r="AB63" s="180">
        <v>0</v>
      </c>
      <c r="AC63" s="180">
        <v>20000</v>
      </c>
      <c r="AD63" s="180">
        <v>23170</v>
      </c>
      <c r="AE63" s="180">
        <v>18092</v>
      </c>
      <c r="AF63" s="180">
        <v>0</v>
      </c>
      <c r="AG63" s="180">
        <v>0</v>
      </c>
      <c r="AH63" s="180">
        <v>0</v>
      </c>
      <c r="AI63" s="180">
        <v>41958</v>
      </c>
      <c r="AJ63" s="180">
        <v>449604</v>
      </c>
      <c r="AK63" s="180">
        <v>0</v>
      </c>
      <c r="AL63" s="180">
        <v>0</v>
      </c>
      <c r="AM63" s="180">
        <v>0</v>
      </c>
      <c r="AN63" s="180">
        <v>129684</v>
      </c>
      <c r="AO63" s="180"/>
      <c r="AP63" s="180">
        <v>200000</v>
      </c>
      <c r="AQ63" s="180">
        <v>1640037</v>
      </c>
      <c r="AR63" s="180"/>
      <c r="AS63" s="180"/>
      <c r="AT63" s="180"/>
      <c r="AU63" s="180">
        <v>632936</v>
      </c>
      <c r="AV63" s="180">
        <v>0</v>
      </c>
      <c r="AW63" s="180"/>
      <c r="AX63" s="180">
        <v>1551129</v>
      </c>
      <c r="AY63" s="180">
        <v>97032</v>
      </c>
      <c r="AZ63" s="180"/>
      <c r="BA63" s="180">
        <v>0</v>
      </c>
      <c r="BB63" s="180">
        <v>163662</v>
      </c>
      <c r="BC63" s="180"/>
      <c r="BD63" s="180">
        <v>0</v>
      </c>
      <c r="BE63" s="180">
        <v>1054569</v>
      </c>
      <c r="BF63" s="180"/>
      <c r="BG63" s="180"/>
      <c r="BH63" s="180">
        <v>15833</v>
      </c>
      <c r="BI63" s="180">
        <v>4519</v>
      </c>
      <c r="BJ63" s="180">
        <v>20000</v>
      </c>
      <c r="BK63" s="180">
        <v>1647399</v>
      </c>
      <c r="BL63" s="180">
        <v>0</v>
      </c>
      <c r="BM63" s="180">
        <v>0</v>
      </c>
      <c r="BN63" s="180">
        <v>290872</v>
      </c>
      <c r="BO63" s="180">
        <v>0</v>
      </c>
      <c r="BP63" s="180">
        <v>0</v>
      </c>
      <c r="BQ63" s="180">
        <v>0</v>
      </c>
      <c r="BR63" s="180">
        <v>78000</v>
      </c>
      <c r="BS63" s="180">
        <v>1359113</v>
      </c>
      <c r="BT63" s="180">
        <v>43507</v>
      </c>
      <c r="BU63" s="180">
        <v>39583</v>
      </c>
      <c r="BV63" s="180">
        <v>63310</v>
      </c>
      <c r="BW63" s="180">
        <v>0</v>
      </c>
      <c r="BX63" s="180"/>
      <c r="BY63" s="180">
        <v>0</v>
      </c>
      <c r="BZ63" s="180">
        <v>1415801</v>
      </c>
      <c r="CA63" s="180">
        <v>1684</v>
      </c>
      <c r="CB63" s="180"/>
      <c r="CC63" s="180"/>
      <c r="CD63" s="180"/>
      <c r="CE63" s="180"/>
      <c r="CF63" s="180"/>
      <c r="CG63" s="180"/>
      <c r="CH63" s="180"/>
      <c r="CI63" s="180"/>
      <c r="CJ63" s="180"/>
      <c r="CK63" s="180"/>
      <c r="CL63" s="180"/>
      <c r="CM63" s="180"/>
      <c r="CN63" s="180"/>
      <c r="CO63" s="180"/>
      <c r="CP63" s="180"/>
      <c r="CQ63" s="180"/>
      <c r="CR63" s="180"/>
      <c r="CS63" s="180"/>
      <c r="CT63" s="180"/>
      <c r="CU63" s="180"/>
    </row>
    <row r="64" spans="1:99" x14ac:dyDescent="0.3">
      <c r="A64" s="155">
        <v>344</v>
      </c>
      <c r="B64" s="180" t="s">
        <v>179</v>
      </c>
      <c r="C64" s="180"/>
      <c r="D64" s="180">
        <v>41668</v>
      </c>
      <c r="E64" s="180">
        <v>402590</v>
      </c>
      <c r="F64" s="180"/>
      <c r="G64" s="180">
        <v>460865</v>
      </c>
      <c r="H64" s="180">
        <v>19248</v>
      </c>
      <c r="I64" s="180">
        <v>0</v>
      </c>
      <c r="J64" s="180">
        <v>0</v>
      </c>
      <c r="K64" s="180">
        <v>57302</v>
      </c>
      <c r="L64" s="180">
        <v>4408205</v>
      </c>
      <c r="M64" s="180"/>
      <c r="N64" s="180">
        <v>962</v>
      </c>
      <c r="O64" s="180"/>
      <c r="P64" s="180">
        <v>875440</v>
      </c>
      <c r="Q64" s="180">
        <v>260147</v>
      </c>
      <c r="R64" s="180">
        <v>51096</v>
      </c>
      <c r="S64" s="180">
        <v>31649</v>
      </c>
      <c r="T64" s="180">
        <v>0</v>
      </c>
      <c r="U64" s="180">
        <v>407519</v>
      </c>
      <c r="V64" s="180">
        <v>0</v>
      </c>
      <c r="W64" s="180">
        <v>71211</v>
      </c>
      <c r="X64" s="180">
        <v>254024</v>
      </c>
      <c r="Y64" s="180">
        <v>120477</v>
      </c>
      <c r="Z64" s="180">
        <v>3899</v>
      </c>
      <c r="AA64" s="180">
        <v>44808</v>
      </c>
      <c r="AB64" s="180">
        <v>0</v>
      </c>
      <c r="AC64" s="180">
        <v>0</v>
      </c>
      <c r="AD64" s="180">
        <v>591</v>
      </c>
      <c r="AE64" s="180">
        <v>33223</v>
      </c>
      <c r="AF64" s="180">
        <v>0</v>
      </c>
      <c r="AG64" s="180">
        <v>0</v>
      </c>
      <c r="AH64" s="180">
        <v>0</v>
      </c>
      <c r="AI64" s="180">
        <v>6079</v>
      </c>
      <c r="AJ64" s="180">
        <v>77632</v>
      </c>
      <c r="AK64" s="180">
        <v>0</v>
      </c>
      <c r="AL64" s="180">
        <v>0</v>
      </c>
      <c r="AM64" s="180">
        <v>313806</v>
      </c>
      <c r="AN64" s="180">
        <v>0</v>
      </c>
      <c r="AO64" s="180"/>
      <c r="AP64" s="180">
        <v>32952</v>
      </c>
      <c r="AQ64" s="180">
        <v>152248</v>
      </c>
      <c r="AR64" s="180"/>
      <c r="AS64" s="180"/>
      <c r="AT64" s="180"/>
      <c r="AU64" s="180">
        <v>76743</v>
      </c>
      <c r="AV64" s="180">
        <v>0</v>
      </c>
      <c r="AW64" s="180"/>
      <c r="AX64" s="180">
        <v>56261</v>
      </c>
      <c r="AY64" s="180">
        <v>24264</v>
      </c>
      <c r="AZ64" s="180"/>
      <c r="BA64" s="180">
        <v>0</v>
      </c>
      <c r="BB64" s="180">
        <v>6523</v>
      </c>
      <c r="BC64" s="180"/>
      <c r="BD64" s="180">
        <v>0</v>
      </c>
      <c r="BE64" s="180">
        <v>517244</v>
      </c>
      <c r="BF64" s="180"/>
      <c r="BG64" s="180"/>
      <c r="BH64" s="180">
        <v>1894</v>
      </c>
      <c r="BI64" s="180">
        <v>29</v>
      </c>
      <c r="BJ64" s="180">
        <v>4496</v>
      </c>
      <c r="BK64" s="180">
        <v>45644</v>
      </c>
      <c r="BL64" s="180">
        <v>0</v>
      </c>
      <c r="BM64" s="180">
        <v>0</v>
      </c>
      <c r="BN64" s="180">
        <v>38722</v>
      </c>
      <c r="BO64" s="180">
        <v>0</v>
      </c>
      <c r="BP64" s="180">
        <v>0</v>
      </c>
      <c r="BQ64" s="180">
        <v>0</v>
      </c>
      <c r="BR64" s="180">
        <v>0</v>
      </c>
      <c r="BS64" s="180">
        <v>143369</v>
      </c>
      <c r="BT64" s="180">
        <v>17360</v>
      </c>
      <c r="BU64" s="180">
        <v>4991</v>
      </c>
      <c r="BV64" s="180">
        <v>190</v>
      </c>
      <c r="BW64" s="180">
        <v>0</v>
      </c>
      <c r="BX64" s="180"/>
      <c r="BY64" s="180">
        <v>0</v>
      </c>
      <c r="BZ64" s="180">
        <v>178756</v>
      </c>
      <c r="CA64" s="180">
        <v>1292</v>
      </c>
      <c r="CB64" s="180"/>
      <c r="CC64" s="180"/>
      <c r="CD64" s="180"/>
      <c r="CE64" s="180"/>
      <c r="CF64" s="180"/>
      <c r="CG64" s="180"/>
      <c r="CH64" s="180"/>
      <c r="CI64" s="180"/>
      <c r="CJ64" s="180"/>
      <c r="CK64" s="180"/>
      <c r="CL64" s="180"/>
      <c r="CM64" s="180"/>
      <c r="CN64" s="180"/>
      <c r="CO64" s="180"/>
      <c r="CP64" s="180"/>
      <c r="CQ64" s="180"/>
      <c r="CR64" s="180"/>
      <c r="CS64" s="180"/>
      <c r="CT64" s="180"/>
      <c r="CU64" s="180"/>
    </row>
    <row r="65" spans="1:99" x14ac:dyDescent="0.3">
      <c r="A65" s="155">
        <v>349</v>
      </c>
      <c r="B65" s="180" t="s">
        <v>114</v>
      </c>
      <c r="C65" s="180"/>
      <c r="D65" s="180">
        <v>0</v>
      </c>
      <c r="E65" s="180">
        <v>0</v>
      </c>
      <c r="F65" s="180"/>
      <c r="G65" s="180">
        <v>65215421</v>
      </c>
      <c r="H65" s="180">
        <v>1805278</v>
      </c>
      <c r="I65" s="180">
        <v>460028</v>
      </c>
      <c r="J65" s="180">
        <v>226363</v>
      </c>
      <c r="K65" s="180">
        <v>2943831</v>
      </c>
      <c r="L65" s="180">
        <v>81129801</v>
      </c>
      <c r="M65" s="180"/>
      <c r="N65" s="180">
        <v>929496</v>
      </c>
      <c r="O65" s="180"/>
      <c r="P65" s="180">
        <v>0</v>
      </c>
      <c r="Q65" s="180">
        <v>2812176</v>
      </c>
      <c r="R65" s="180">
        <v>11060427</v>
      </c>
      <c r="S65" s="180">
        <v>23595218</v>
      </c>
      <c r="T65" s="180">
        <v>134173</v>
      </c>
      <c r="U65" s="180">
        <v>13612053</v>
      </c>
      <c r="V65" s="180">
        <v>0</v>
      </c>
      <c r="W65" s="180">
        <v>0</v>
      </c>
      <c r="X65" s="180">
        <v>0</v>
      </c>
      <c r="Y65" s="180">
        <v>3522180</v>
      </c>
      <c r="Z65" s="180">
        <v>1043747</v>
      </c>
      <c r="AA65" s="180">
        <v>1942241</v>
      </c>
      <c r="AB65" s="180">
        <v>0</v>
      </c>
      <c r="AC65" s="180">
        <v>184144</v>
      </c>
      <c r="AD65" s="180">
        <v>1508946</v>
      </c>
      <c r="AE65" s="180">
        <v>4935736</v>
      </c>
      <c r="AF65" s="180">
        <v>7475</v>
      </c>
      <c r="AG65" s="180">
        <v>0</v>
      </c>
      <c r="AH65" s="180">
        <v>0</v>
      </c>
      <c r="AI65" s="180">
        <v>0</v>
      </c>
      <c r="AJ65" s="180">
        <v>4690593</v>
      </c>
      <c r="AK65" s="180">
        <v>110893</v>
      </c>
      <c r="AL65" s="180">
        <v>0</v>
      </c>
      <c r="AM65" s="180">
        <v>0</v>
      </c>
      <c r="AN65" s="180">
        <v>24307599</v>
      </c>
      <c r="AO65" s="180"/>
      <c r="AP65" s="180">
        <v>0</v>
      </c>
      <c r="AQ65" s="180">
        <v>10055834</v>
      </c>
      <c r="AR65" s="180"/>
      <c r="AS65" s="180"/>
      <c r="AT65" s="180"/>
      <c r="AU65" s="180">
        <v>6514514</v>
      </c>
      <c r="AV65" s="180">
        <v>213125</v>
      </c>
      <c r="AW65" s="180"/>
      <c r="AX65" s="180">
        <v>187471</v>
      </c>
      <c r="AY65" s="180">
        <v>644069</v>
      </c>
      <c r="AZ65" s="180"/>
      <c r="BA65" s="180">
        <v>37846</v>
      </c>
      <c r="BB65" s="180">
        <v>1018797</v>
      </c>
      <c r="BC65" s="180"/>
      <c r="BD65" s="180">
        <v>0</v>
      </c>
      <c r="BE65" s="180">
        <v>16511905</v>
      </c>
      <c r="BF65" s="180"/>
      <c r="BG65" s="180"/>
      <c r="BH65" s="180">
        <v>1749379</v>
      </c>
      <c r="BI65" s="180">
        <v>1221306</v>
      </c>
      <c r="BJ65" s="180">
        <v>338389</v>
      </c>
      <c r="BK65" s="180">
        <v>1112546</v>
      </c>
      <c r="BL65" s="180">
        <v>2301358</v>
      </c>
      <c r="BM65" s="180">
        <v>0</v>
      </c>
      <c r="BN65" s="180">
        <v>1985363</v>
      </c>
      <c r="BO65" s="180">
        <v>799943</v>
      </c>
      <c r="BP65" s="180">
        <v>769393</v>
      </c>
      <c r="BQ65" s="180">
        <v>1683452</v>
      </c>
      <c r="BR65" s="180">
        <v>0</v>
      </c>
      <c r="BS65" s="180">
        <v>0</v>
      </c>
      <c r="BT65" s="180">
        <v>450369</v>
      </c>
      <c r="BU65" s="180">
        <v>3689138</v>
      </c>
      <c r="BV65" s="180">
        <v>938751</v>
      </c>
      <c r="BW65" s="180">
        <v>440755</v>
      </c>
      <c r="BX65" s="180"/>
      <c r="BY65" s="180">
        <v>0</v>
      </c>
      <c r="BZ65" s="180">
        <v>22618907</v>
      </c>
      <c r="CA65" s="180">
        <v>0</v>
      </c>
      <c r="CB65" s="180"/>
      <c r="CC65" s="180"/>
      <c r="CD65" s="180"/>
      <c r="CE65" s="180"/>
      <c r="CF65" s="180"/>
      <c r="CG65" s="180"/>
      <c r="CH65" s="180"/>
      <c r="CI65" s="180"/>
      <c r="CJ65" s="180"/>
      <c r="CK65" s="180"/>
      <c r="CL65" s="180"/>
      <c r="CM65" s="180"/>
      <c r="CN65" s="180"/>
      <c r="CO65" s="180"/>
      <c r="CP65" s="180"/>
      <c r="CQ65" s="180"/>
      <c r="CR65" s="180"/>
      <c r="CS65" s="180"/>
      <c r="CT65" s="180"/>
      <c r="CU65" s="180"/>
    </row>
    <row r="66" spans="1:99" x14ac:dyDescent="0.3">
      <c r="A66" s="155">
        <v>350</v>
      </c>
      <c r="B66" s="180" t="s">
        <v>924</v>
      </c>
      <c r="C66" s="180"/>
      <c r="D66" s="180">
        <v>0</v>
      </c>
      <c r="E66" s="180">
        <v>0</v>
      </c>
      <c r="F66" s="180"/>
      <c r="G66" s="180">
        <v>1179335</v>
      </c>
      <c r="H66" s="180">
        <v>33424</v>
      </c>
      <c r="I66" s="180">
        <v>558</v>
      </c>
      <c r="J66" s="180">
        <v>0</v>
      </c>
      <c r="K66" s="180">
        <v>966</v>
      </c>
      <c r="L66" s="180">
        <v>130838</v>
      </c>
      <c r="M66" s="180"/>
      <c r="N66" s="180">
        <v>4259</v>
      </c>
      <c r="O66" s="180"/>
      <c r="P66" s="180">
        <v>0</v>
      </c>
      <c r="Q66" s="180">
        <v>-312716</v>
      </c>
      <c r="R66" s="180">
        <v>4522</v>
      </c>
      <c r="S66" s="180">
        <v>11230</v>
      </c>
      <c r="T66" s="180">
        <v>261006</v>
      </c>
      <c r="U66" s="180">
        <v>0</v>
      </c>
      <c r="V66" s="180">
        <v>0</v>
      </c>
      <c r="W66" s="180">
        <v>0</v>
      </c>
      <c r="X66" s="180">
        <v>5258</v>
      </c>
      <c r="Y66" s="180">
        <v>2355</v>
      </c>
      <c r="Z66" s="180">
        <v>100709</v>
      </c>
      <c r="AA66" s="180">
        <v>13066</v>
      </c>
      <c r="AB66" s="180">
        <v>0</v>
      </c>
      <c r="AC66" s="180">
        <v>585</v>
      </c>
      <c r="AD66" s="180">
        <v>44255</v>
      </c>
      <c r="AE66" s="180">
        <v>3350</v>
      </c>
      <c r="AF66" s="180">
        <v>0</v>
      </c>
      <c r="AG66" s="180">
        <v>0</v>
      </c>
      <c r="AH66" s="180">
        <v>0</v>
      </c>
      <c r="AI66" s="180">
        <v>0</v>
      </c>
      <c r="AJ66" s="180">
        <v>16887</v>
      </c>
      <c r="AK66" s="180">
        <v>67835</v>
      </c>
      <c r="AL66" s="180">
        <v>0</v>
      </c>
      <c r="AM66" s="180">
        <v>0</v>
      </c>
      <c r="AN66" s="180">
        <v>13570</v>
      </c>
      <c r="AO66" s="180"/>
      <c r="AP66" s="180">
        <v>0</v>
      </c>
      <c r="AQ66" s="180">
        <v>185566</v>
      </c>
      <c r="AR66" s="180"/>
      <c r="AS66" s="180"/>
      <c r="AT66" s="180"/>
      <c r="AU66" s="180">
        <v>64038</v>
      </c>
      <c r="AV66" s="180">
        <v>436</v>
      </c>
      <c r="AW66" s="180"/>
      <c r="AX66" s="180">
        <v>1694</v>
      </c>
      <c r="AY66" s="180">
        <v>2452</v>
      </c>
      <c r="AZ66" s="180"/>
      <c r="BA66" s="180">
        <v>2000</v>
      </c>
      <c r="BB66" s="180">
        <v>8</v>
      </c>
      <c r="BC66" s="180"/>
      <c r="BD66" s="180">
        <v>0</v>
      </c>
      <c r="BE66" s="180">
        <v>12083</v>
      </c>
      <c r="BF66" s="180"/>
      <c r="BG66" s="180"/>
      <c r="BH66" s="180">
        <v>730</v>
      </c>
      <c r="BI66" s="180">
        <v>5375</v>
      </c>
      <c r="BJ66" s="180">
        <v>0</v>
      </c>
      <c r="BK66" s="180">
        <v>5515</v>
      </c>
      <c r="BL66" s="180">
        <v>10250</v>
      </c>
      <c r="BM66" s="180">
        <v>0</v>
      </c>
      <c r="BN66" s="180">
        <v>6162</v>
      </c>
      <c r="BO66" s="180">
        <v>15830</v>
      </c>
      <c r="BP66" s="180">
        <v>0</v>
      </c>
      <c r="BQ66" s="180">
        <v>62065</v>
      </c>
      <c r="BR66" s="180">
        <v>0</v>
      </c>
      <c r="BS66" s="180">
        <v>0</v>
      </c>
      <c r="BT66" s="180">
        <v>1167</v>
      </c>
      <c r="BU66" s="180">
        <v>49090</v>
      </c>
      <c r="BV66" s="180">
        <v>10261</v>
      </c>
      <c r="BW66" s="180">
        <v>12328</v>
      </c>
      <c r="BX66" s="180"/>
      <c r="BY66" s="180">
        <v>0</v>
      </c>
      <c r="BZ66" s="180">
        <v>2103747</v>
      </c>
      <c r="CA66" s="180">
        <v>0</v>
      </c>
      <c r="CB66" s="180"/>
      <c r="CC66" s="180"/>
      <c r="CD66" s="180"/>
      <c r="CE66" s="180"/>
      <c r="CF66" s="180"/>
      <c r="CG66" s="180"/>
      <c r="CH66" s="180"/>
      <c r="CI66" s="180"/>
      <c r="CJ66" s="180"/>
      <c r="CK66" s="180"/>
      <c r="CL66" s="180"/>
      <c r="CM66" s="180"/>
      <c r="CN66" s="180"/>
      <c r="CO66" s="180"/>
      <c r="CP66" s="180"/>
      <c r="CQ66" s="180"/>
      <c r="CR66" s="180"/>
      <c r="CS66" s="180"/>
      <c r="CT66" s="180"/>
      <c r="CU66" s="180"/>
    </row>
    <row r="67" spans="1:99" x14ac:dyDescent="0.3">
      <c r="A67" s="155">
        <v>351</v>
      </c>
      <c r="B67" s="180" t="s">
        <v>223</v>
      </c>
      <c r="C67" s="180"/>
      <c r="D67" s="180">
        <v>0</v>
      </c>
      <c r="E67" s="180">
        <v>0</v>
      </c>
      <c r="F67" s="180"/>
      <c r="G67" s="180">
        <v>1760260</v>
      </c>
      <c r="H67" s="180">
        <v>69999</v>
      </c>
      <c r="I67" s="180">
        <v>0</v>
      </c>
      <c r="J67" s="180">
        <v>0</v>
      </c>
      <c r="K67" s="180">
        <v>63638</v>
      </c>
      <c r="L67" s="180">
        <v>1126140</v>
      </c>
      <c r="M67" s="180"/>
      <c r="N67" s="180">
        <v>0</v>
      </c>
      <c r="O67" s="180"/>
      <c r="P67" s="180">
        <v>0</v>
      </c>
      <c r="Q67" s="180">
        <v>0</v>
      </c>
      <c r="R67" s="180">
        <v>35824</v>
      </c>
      <c r="S67" s="180">
        <v>12662</v>
      </c>
      <c r="T67" s="180">
        <v>83000</v>
      </c>
      <c r="U67" s="180">
        <v>115642</v>
      </c>
      <c r="V67" s="180">
        <v>0</v>
      </c>
      <c r="W67" s="180">
        <v>0</v>
      </c>
      <c r="X67" s="180">
        <v>3008</v>
      </c>
      <c r="Y67" s="180">
        <v>51685</v>
      </c>
      <c r="Z67" s="180">
        <v>13276</v>
      </c>
      <c r="AA67" s="180">
        <v>6449</v>
      </c>
      <c r="AB67" s="180">
        <v>0</v>
      </c>
      <c r="AC67" s="180">
        <v>5459</v>
      </c>
      <c r="AD67" s="180">
        <v>39145</v>
      </c>
      <c r="AE67" s="180">
        <v>157994</v>
      </c>
      <c r="AF67" s="180">
        <v>0</v>
      </c>
      <c r="AG67" s="180">
        <v>0</v>
      </c>
      <c r="AH67" s="180">
        <v>0</v>
      </c>
      <c r="AI67" s="180">
        <v>0</v>
      </c>
      <c r="AJ67" s="180">
        <v>68689</v>
      </c>
      <c r="AK67" s="180">
        <v>63550</v>
      </c>
      <c r="AL67" s="180">
        <v>0</v>
      </c>
      <c r="AM67" s="180">
        <v>0</v>
      </c>
      <c r="AN67" s="180">
        <v>320511</v>
      </c>
      <c r="AO67" s="180"/>
      <c r="AP67" s="180">
        <v>0</v>
      </c>
      <c r="AQ67" s="180">
        <v>64023</v>
      </c>
      <c r="AR67" s="180"/>
      <c r="AS67" s="180"/>
      <c r="AT67" s="180"/>
      <c r="AU67" s="180">
        <v>85747</v>
      </c>
      <c r="AV67" s="180">
        <v>2388</v>
      </c>
      <c r="AW67" s="180"/>
      <c r="AX67" s="180">
        <v>0</v>
      </c>
      <c r="AY67" s="180">
        <v>8640</v>
      </c>
      <c r="AZ67" s="180"/>
      <c r="BA67" s="180">
        <v>0</v>
      </c>
      <c r="BB67" s="180">
        <v>410541</v>
      </c>
      <c r="BC67" s="180"/>
      <c r="BD67" s="180">
        <v>0</v>
      </c>
      <c r="BE67" s="180">
        <v>42585</v>
      </c>
      <c r="BF67" s="180"/>
      <c r="BG67" s="180"/>
      <c r="BH67" s="180">
        <v>31437</v>
      </c>
      <c r="BI67" s="180">
        <v>23955</v>
      </c>
      <c r="BJ67" s="180">
        <v>0</v>
      </c>
      <c r="BK67" s="180">
        <v>0</v>
      </c>
      <c r="BL67" s="180">
        <v>0</v>
      </c>
      <c r="BM67" s="180">
        <v>0</v>
      </c>
      <c r="BN67" s="180">
        <v>11200</v>
      </c>
      <c r="BO67" s="180">
        <v>17742</v>
      </c>
      <c r="BP67" s="180">
        <v>29560</v>
      </c>
      <c r="BQ67" s="180">
        <v>61888</v>
      </c>
      <c r="BR67" s="180">
        <v>0</v>
      </c>
      <c r="BS67">
        <v>0</v>
      </c>
      <c r="BT67" s="180">
        <v>6357</v>
      </c>
      <c r="BU67" s="180">
        <v>29497</v>
      </c>
      <c r="BV67" s="180">
        <v>0</v>
      </c>
      <c r="BW67" s="180">
        <v>0</v>
      </c>
      <c r="BX67" s="180"/>
      <c r="BY67" s="180">
        <v>0</v>
      </c>
      <c r="BZ67" s="180">
        <v>196006</v>
      </c>
      <c r="CA67" s="180">
        <v>0</v>
      </c>
      <c r="CB67" s="180"/>
      <c r="CC67" s="180"/>
      <c r="CD67" s="180"/>
      <c r="CE67" s="180"/>
      <c r="CF67" s="180"/>
      <c r="CG67" s="180"/>
      <c r="CH67" s="180"/>
      <c r="CI67" s="180"/>
      <c r="CJ67" s="180"/>
      <c r="CK67" s="180"/>
      <c r="CL67" s="180"/>
      <c r="CM67" s="180"/>
      <c r="CN67" s="180"/>
      <c r="CO67" s="180"/>
      <c r="CP67" s="180"/>
      <c r="CQ67" s="180"/>
      <c r="CR67" s="180"/>
      <c r="CS67" s="180"/>
      <c r="CT67" s="180"/>
      <c r="CU67" s="180"/>
    </row>
    <row r="68" spans="1:99" x14ac:dyDescent="0.3">
      <c r="A68" s="155">
        <v>352</v>
      </c>
      <c r="B68" s="180" t="s">
        <v>225</v>
      </c>
      <c r="C68" s="180"/>
      <c r="D68" s="180">
        <v>0</v>
      </c>
      <c r="E68" s="180">
        <v>0</v>
      </c>
      <c r="F68" s="180"/>
      <c r="G68" s="180">
        <v>2027941</v>
      </c>
      <c r="H68" s="180">
        <v>0</v>
      </c>
      <c r="I68" s="180">
        <v>0</v>
      </c>
      <c r="J68" s="180">
        <v>0</v>
      </c>
      <c r="K68" s="180">
        <v>0</v>
      </c>
      <c r="L68" s="180">
        <v>0</v>
      </c>
      <c r="M68" s="180"/>
      <c r="N68" s="180">
        <v>0</v>
      </c>
      <c r="O68" s="180"/>
      <c r="P68" s="180">
        <v>0</v>
      </c>
      <c r="Q68" s="180">
        <v>0</v>
      </c>
      <c r="R68" s="180">
        <v>77531</v>
      </c>
      <c r="S68" s="180">
        <v>0</v>
      </c>
      <c r="T68" s="180">
        <v>0</v>
      </c>
      <c r="U68" s="180">
        <v>1031901</v>
      </c>
      <c r="V68" s="180">
        <v>0</v>
      </c>
      <c r="W68" s="180">
        <v>0</v>
      </c>
      <c r="X68" s="180">
        <v>0</v>
      </c>
      <c r="Y68" s="180">
        <v>0</v>
      </c>
      <c r="Z68" s="180">
        <v>478841</v>
      </c>
      <c r="AA68" s="180">
        <v>183888</v>
      </c>
      <c r="AB68" s="180">
        <v>0</v>
      </c>
      <c r="AC68" s="180">
        <v>0</v>
      </c>
      <c r="AD68" s="180">
        <v>0</v>
      </c>
      <c r="AE68" s="180">
        <v>11409</v>
      </c>
      <c r="AF68" s="180">
        <v>0</v>
      </c>
      <c r="AG68" s="180">
        <v>0</v>
      </c>
      <c r="AH68" s="180">
        <v>0</v>
      </c>
      <c r="AI68" s="180">
        <v>0</v>
      </c>
      <c r="AJ68" s="180">
        <v>100000</v>
      </c>
      <c r="AK68" s="180">
        <v>61494</v>
      </c>
      <c r="AL68" s="180">
        <v>0</v>
      </c>
      <c r="AM68" s="180">
        <v>0</v>
      </c>
      <c r="AN68" s="180">
        <v>1217</v>
      </c>
      <c r="AO68" s="180"/>
      <c r="AP68" s="180">
        <v>0</v>
      </c>
      <c r="AQ68" s="180">
        <v>0</v>
      </c>
      <c r="AR68" s="180"/>
      <c r="AS68" s="180"/>
      <c r="AT68" s="180"/>
      <c r="AU68" s="180">
        <v>0</v>
      </c>
      <c r="AV68" s="180">
        <v>0</v>
      </c>
      <c r="AW68" s="180"/>
      <c r="AX68" s="180">
        <v>0</v>
      </c>
      <c r="AY68" s="180">
        <v>0</v>
      </c>
      <c r="AZ68" s="180"/>
      <c r="BA68" s="180">
        <v>0</v>
      </c>
      <c r="BB68" s="180">
        <v>0</v>
      </c>
      <c r="BC68" s="180"/>
      <c r="BD68" s="180">
        <v>0</v>
      </c>
      <c r="BE68" s="180">
        <v>664923</v>
      </c>
      <c r="BF68" s="180"/>
      <c r="BG68" s="180"/>
      <c r="BH68" s="180">
        <v>337182</v>
      </c>
      <c r="BI68" s="180">
        <v>0</v>
      </c>
      <c r="BJ68" s="180">
        <v>0</v>
      </c>
      <c r="BK68" s="180">
        <v>0</v>
      </c>
      <c r="BL68" s="180">
        <v>0</v>
      </c>
      <c r="BM68" s="180">
        <v>0</v>
      </c>
      <c r="BN68" s="180">
        <v>954304</v>
      </c>
      <c r="BO68" s="180">
        <v>0</v>
      </c>
      <c r="BP68" s="180">
        <v>144689</v>
      </c>
      <c r="BQ68" s="180">
        <v>0</v>
      </c>
      <c r="BR68" s="180">
        <v>0</v>
      </c>
      <c r="BS68">
        <v>0</v>
      </c>
      <c r="BT68" s="180">
        <v>3258</v>
      </c>
      <c r="BU68" s="180">
        <v>56303</v>
      </c>
      <c r="BV68" s="180">
        <v>0</v>
      </c>
      <c r="BW68" s="180">
        <v>0</v>
      </c>
      <c r="BX68" s="180"/>
      <c r="BY68" s="180">
        <v>0</v>
      </c>
      <c r="BZ68" s="180">
        <v>4465676</v>
      </c>
      <c r="CA68" s="180">
        <v>0</v>
      </c>
      <c r="CB68" s="180"/>
      <c r="CC68" s="180"/>
      <c r="CD68" s="180"/>
      <c r="CE68" s="180"/>
      <c r="CF68" s="180"/>
      <c r="CG68" s="180"/>
      <c r="CH68" s="180"/>
      <c r="CI68" s="180"/>
      <c r="CJ68" s="180"/>
      <c r="CK68" s="180"/>
      <c r="CL68" s="180"/>
      <c r="CM68" s="180"/>
      <c r="CN68" s="180"/>
      <c r="CO68" s="180"/>
      <c r="CP68" s="180"/>
      <c r="CQ68" s="180"/>
      <c r="CR68" s="180"/>
      <c r="CS68" s="180"/>
      <c r="CT68" s="180"/>
      <c r="CU68" s="180"/>
    </row>
    <row r="69" spans="1:99" x14ac:dyDescent="0.3">
      <c r="A69" s="155">
        <v>353</v>
      </c>
      <c r="B69" s="180" t="s">
        <v>226</v>
      </c>
      <c r="C69" s="180"/>
      <c r="D69" s="180">
        <v>0</v>
      </c>
      <c r="E69" s="180">
        <v>0</v>
      </c>
      <c r="F69" s="180"/>
      <c r="G69" s="180">
        <v>140766</v>
      </c>
      <c r="H69" s="180">
        <v>0</v>
      </c>
      <c r="I69" s="180">
        <v>0</v>
      </c>
      <c r="J69" s="180">
        <v>0</v>
      </c>
      <c r="K69" s="180">
        <v>5205</v>
      </c>
      <c r="L69" s="180">
        <v>495700</v>
      </c>
      <c r="M69" s="180"/>
      <c r="N69" s="180">
        <v>0</v>
      </c>
      <c r="O69" s="180"/>
      <c r="P69" s="180">
        <v>0</v>
      </c>
      <c r="Q69" s="180">
        <v>0</v>
      </c>
      <c r="R69" s="180">
        <v>0</v>
      </c>
      <c r="S69" s="180">
        <v>0</v>
      </c>
      <c r="T69" s="180">
        <v>0</v>
      </c>
      <c r="U69" s="180">
        <v>991531</v>
      </c>
      <c r="V69" s="180">
        <v>0</v>
      </c>
      <c r="W69" s="180">
        <v>0</v>
      </c>
      <c r="X69" s="180">
        <v>40700</v>
      </c>
      <c r="Y69" s="180">
        <v>0</v>
      </c>
      <c r="Z69" s="180">
        <v>0</v>
      </c>
      <c r="AA69" s="180">
        <v>0</v>
      </c>
      <c r="AB69" s="180">
        <v>0</v>
      </c>
      <c r="AC69" s="180">
        <v>0</v>
      </c>
      <c r="AD69" s="180">
        <v>0</v>
      </c>
      <c r="AE69" s="180">
        <v>0</v>
      </c>
      <c r="AF69" s="180">
        <v>0</v>
      </c>
      <c r="AG69" s="180">
        <v>0</v>
      </c>
      <c r="AH69" s="180">
        <v>0</v>
      </c>
      <c r="AI69" s="180">
        <v>926374</v>
      </c>
      <c r="AJ69" s="180">
        <v>100000</v>
      </c>
      <c r="AK69" s="180">
        <v>0</v>
      </c>
      <c r="AL69" s="180">
        <v>0</v>
      </c>
      <c r="AM69" s="180">
        <v>0</v>
      </c>
      <c r="AN69" s="180">
        <v>0</v>
      </c>
      <c r="AO69" s="180"/>
      <c r="AP69" s="180">
        <v>0</v>
      </c>
      <c r="AQ69" s="180">
        <v>0</v>
      </c>
      <c r="AR69" s="180"/>
      <c r="AS69" s="180"/>
      <c r="AT69" s="180"/>
      <c r="AU69" s="180">
        <v>389222</v>
      </c>
      <c r="AV69" s="180">
        <v>20000</v>
      </c>
      <c r="AW69" s="180"/>
      <c r="AX69" s="180">
        <v>0</v>
      </c>
      <c r="AY69" s="180">
        <v>60000</v>
      </c>
      <c r="AZ69" s="180"/>
      <c r="BA69" s="180">
        <v>0</v>
      </c>
      <c r="BB69" s="180">
        <v>0</v>
      </c>
      <c r="BC69" s="180"/>
      <c r="BD69" s="180">
        <v>0</v>
      </c>
      <c r="BE69" s="180">
        <v>0</v>
      </c>
      <c r="BF69" s="180"/>
      <c r="BG69" s="180"/>
      <c r="BH69" s="180">
        <v>0</v>
      </c>
      <c r="BI69" s="180">
        <v>0</v>
      </c>
      <c r="BJ69" s="180">
        <v>0</v>
      </c>
      <c r="BK69" s="180">
        <v>0</v>
      </c>
      <c r="BL69" s="180">
        <v>0</v>
      </c>
      <c r="BM69" s="180">
        <v>0</v>
      </c>
      <c r="BN69" s="180">
        <v>0</v>
      </c>
      <c r="BO69" s="180">
        <v>0</v>
      </c>
      <c r="BP69" s="180">
        <v>0</v>
      </c>
      <c r="BQ69" s="180">
        <v>0</v>
      </c>
      <c r="BR69" s="180">
        <v>0</v>
      </c>
      <c r="BS69">
        <v>0</v>
      </c>
      <c r="BT69" s="180">
        <v>0</v>
      </c>
      <c r="BU69" s="180">
        <v>0</v>
      </c>
      <c r="BV69" s="180">
        <v>0</v>
      </c>
      <c r="BW69" s="180">
        <v>0</v>
      </c>
      <c r="BX69" s="180"/>
      <c r="BY69" s="180">
        <v>0</v>
      </c>
      <c r="BZ69" s="180">
        <v>4041808</v>
      </c>
      <c r="CA69" s="180">
        <v>0</v>
      </c>
      <c r="CB69" s="180"/>
      <c r="CC69" s="180"/>
      <c r="CD69" s="180"/>
      <c r="CE69" s="180"/>
      <c r="CF69" s="180"/>
      <c r="CG69" s="180"/>
      <c r="CH69" s="180"/>
      <c r="CI69" s="180"/>
      <c r="CJ69" s="180"/>
      <c r="CK69" s="180"/>
      <c r="CL69" s="180"/>
      <c r="CM69" s="180"/>
      <c r="CN69" s="180"/>
      <c r="CO69" s="180"/>
      <c r="CP69" s="180"/>
      <c r="CQ69" s="180"/>
      <c r="CR69" s="180"/>
      <c r="CS69" s="180"/>
      <c r="CT69" s="180"/>
      <c r="CU69" s="180"/>
    </row>
    <row r="70" spans="1:99" x14ac:dyDescent="0.3">
      <c r="A70" s="155">
        <v>356</v>
      </c>
      <c r="B70" s="180" t="s">
        <v>307</v>
      </c>
      <c r="C70" s="180"/>
      <c r="D70" s="180">
        <v>0</v>
      </c>
      <c r="E70" s="180">
        <v>0</v>
      </c>
      <c r="F70" s="180"/>
      <c r="G70" s="180">
        <v>0</v>
      </c>
      <c r="H70" s="180">
        <v>0</v>
      </c>
      <c r="I70" s="180">
        <v>0</v>
      </c>
      <c r="J70" s="180">
        <v>0</v>
      </c>
      <c r="K70" s="180">
        <v>0</v>
      </c>
      <c r="L70" s="180">
        <v>0</v>
      </c>
      <c r="M70" s="180"/>
      <c r="N70" s="180">
        <v>0</v>
      </c>
      <c r="O70" s="180"/>
      <c r="P70" s="180">
        <v>0</v>
      </c>
      <c r="Q70" s="180">
        <v>0</v>
      </c>
      <c r="R70" s="180">
        <v>0</v>
      </c>
      <c r="S70" s="180">
        <v>15068314</v>
      </c>
      <c r="T70" s="180">
        <v>0</v>
      </c>
      <c r="U70" s="180">
        <v>47526983</v>
      </c>
      <c r="V70" s="180">
        <v>0</v>
      </c>
      <c r="W70" s="180">
        <v>0</v>
      </c>
      <c r="X70" s="180">
        <v>0</v>
      </c>
      <c r="Y70" s="180">
        <v>0</v>
      </c>
      <c r="Z70" s="180">
        <v>2278772</v>
      </c>
      <c r="AA70" s="180">
        <v>2414678</v>
      </c>
      <c r="AB70" s="180">
        <v>0</v>
      </c>
      <c r="AC70" s="180">
        <v>0</v>
      </c>
      <c r="AD70" s="180">
        <v>0</v>
      </c>
      <c r="AE70" s="180">
        <v>6315554</v>
      </c>
      <c r="AF70" s="180">
        <v>0</v>
      </c>
      <c r="AG70" s="180">
        <v>0</v>
      </c>
      <c r="AH70" s="180">
        <v>0</v>
      </c>
      <c r="AI70" s="180">
        <v>0</v>
      </c>
      <c r="AJ70" s="180">
        <v>17060961</v>
      </c>
      <c r="AK70" s="180">
        <v>0</v>
      </c>
      <c r="AL70" s="180">
        <v>0</v>
      </c>
      <c r="AM70" s="180">
        <v>0</v>
      </c>
      <c r="AN70" s="180">
        <v>0</v>
      </c>
      <c r="AO70" s="180"/>
      <c r="AP70" s="180">
        <v>0</v>
      </c>
      <c r="AQ70" s="180">
        <v>71631990</v>
      </c>
      <c r="AR70" s="180"/>
      <c r="AS70" s="180"/>
      <c r="AT70" s="180"/>
      <c r="AU70" s="180">
        <v>3870279</v>
      </c>
      <c r="AV70" s="180">
        <v>0</v>
      </c>
      <c r="AW70" s="180"/>
      <c r="AX70" s="180">
        <v>0</v>
      </c>
      <c r="AY70" s="180">
        <v>0</v>
      </c>
      <c r="AZ70" s="180"/>
      <c r="BA70" s="180">
        <v>0</v>
      </c>
      <c r="BB70" s="180">
        <v>0</v>
      </c>
      <c r="BC70" s="180"/>
      <c r="BD70" s="180">
        <v>0</v>
      </c>
      <c r="BE70" s="180">
        <v>37707095</v>
      </c>
      <c r="BF70" s="180"/>
      <c r="BG70" s="180"/>
      <c r="BH70" s="180">
        <v>0</v>
      </c>
      <c r="BI70" s="180">
        <v>0</v>
      </c>
      <c r="BJ70" s="180">
        <v>0</v>
      </c>
      <c r="BK70" s="180">
        <v>6917664</v>
      </c>
      <c r="BL70" s="180">
        <v>0</v>
      </c>
      <c r="BM70" s="180">
        <v>0</v>
      </c>
      <c r="BN70" s="180">
        <v>0</v>
      </c>
      <c r="BO70" s="180">
        <v>0</v>
      </c>
      <c r="BP70" s="180">
        <v>0</v>
      </c>
      <c r="BQ70" s="180">
        <v>0</v>
      </c>
      <c r="BR70" s="180">
        <v>0</v>
      </c>
      <c r="BS70">
        <v>0</v>
      </c>
      <c r="BT70" s="180">
        <v>0</v>
      </c>
      <c r="BU70" s="180">
        <v>0</v>
      </c>
      <c r="BV70" s="180">
        <v>0</v>
      </c>
      <c r="BW70" s="180">
        <v>0</v>
      </c>
      <c r="BX70" s="180"/>
      <c r="BY70" s="180">
        <v>0</v>
      </c>
      <c r="BZ70" s="180">
        <v>0</v>
      </c>
      <c r="CA70" s="180">
        <v>0</v>
      </c>
      <c r="CB70" s="180"/>
      <c r="CC70" s="180"/>
      <c r="CD70" s="180"/>
      <c r="CE70" s="180"/>
      <c r="CF70" s="180"/>
      <c r="CG70" s="180"/>
      <c r="CH70" s="180"/>
      <c r="CI70" s="180"/>
      <c r="CJ70" s="180"/>
      <c r="CK70" s="180"/>
      <c r="CL70" s="180"/>
      <c r="CM70" s="180"/>
      <c r="CN70" s="180"/>
      <c r="CO70" s="180"/>
      <c r="CP70" s="180"/>
      <c r="CQ70" s="180"/>
      <c r="CR70" s="180"/>
      <c r="CS70" s="180"/>
      <c r="CT70" s="180"/>
      <c r="CU70" s="180"/>
    </row>
    <row r="71" spans="1:99" x14ac:dyDescent="0.3">
      <c r="A71" s="155">
        <v>357</v>
      </c>
      <c r="B71" s="180" t="s">
        <v>308</v>
      </c>
      <c r="C71" s="180"/>
      <c r="D71" s="180">
        <v>0</v>
      </c>
      <c r="E71" s="180">
        <v>0</v>
      </c>
      <c r="F71" s="180"/>
      <c r="G71" s="180">
        <v>0</v>
      </c>
      <c r="H71" s="180">
        <v>0</v>
      </c>
      <c r="I71" s="180">
        <v>0</v>
      </c>
      <c r="J71" s="180">
        <v>0</v>
      </c>
      <c r="K71" s="180">
        <v>0</v>
      </c>
      <c r="L71" s="180">
        <v>0</v>
      </c>
      <c r="M71" s="180"/>
      <c r="N71" s="180">
        <v>0</v>
      </c>
      <c r="O71" s="180"/>
      <c r="P71" s="180">
        <v>0</v>
      </c>
      <c r="Q71" s="180">
        <v>0</v>
      </c>
      <c r="R71" s="180">
        <v>0</v>
      </c>
      <c r="S71" s="180">
        <v>10176865</v>
      </c>
      <c r="T71" s="180">
        <v>0</v>
      </c>
      <c r="U71" s="180">
        <v>32313875</v>
      </c>
      <c r="V71" s="180">
        <v>0</v>
      </c>
      <c r="W71" s="180">
        <v>0</v>
      </c>
      <c r="X71" s="180">
        <v>0</v>
      </c>
      <c r="Y71" s="180">
        <v>0</v>
      </c>
      <c r="Z71" s="180">
        <v>1563211</v>
      </c>
      <c r="AA71" s="180">
        <v>1437815</v>
      </c>
      <c r="AB71" s="180">
        <v>0</v>
      </c>
      <c r="AC71" s="180">
        <v>0</v>
      </c>
      <c r="AD71" s="180">
        <v>0</v>
      </c>
      <c r="AE71" s="180">
        <v>4080344</v>
      </c>
      <c r="AF71" s="180">
        <v>0</v>
      </c>
      <c r="AG71" s="180">
        <v>0</v>
      </c>
      <c r="AH71" s="180">
        <v>0</v>
      </c>
      <c r="AI71" s="180">
        <v>0</v>
      </c>
      <c r="AJ71" s="180">
        <v>11135395</v>
      </c>
      <c r="AK71" s="180">
        <v>0</v>
      </c>
      <c r="AL71" s="180">
        <v>0</v>
      </c>
      <c r="AM71" s="180">
        <v>0</v>
      </c>
      <c r="AN71" s="180">
        <v>0</v>
      </c>
      <c r="AO71" s="180"/>
      <c r="AP71" s="180">
        <v>0</v>
      </c>
      <c r="AQ71" s="180">
        <v>35362085</v>
      </c>
      <c r="AR71" s="180"/>
      <c r="AS71" s="180"/>
      <c r="AT71" s="180"/>
      <c r="AU71" s="180">
        <v>4881507</v>
      </c>
      <c r="AV71" s="180">
        <v>0</v>
      </c>
      <c r="AW71" s="180"/>
      <c r="AX71" s="180">
        <v>0</v>
      </c>
      <c r="AY71" s="180">
        <v>0</v>
      </c>
      <c r="AZ71" s="180"/>
      <c r="BA71" s="180">
        <v>0</v>
      </c>
      <c r="BB71" s="180">
        <v>0</v>
      </c>
      <c r="BC71" s="180"/>
      <c r="BD71" s="180">
        <v>0</v>
      </c>
      <c r="BE71" s="180">
        <v>25110050</v>
      </c>
      <c r="BF71" s="180"/>
      <c r="BG71" s="180"/>
      <c r="BH71" s="180">
        <v>0</v>
      </c>
      <c r="BI71" s="180">
        <v>0</v>
      </c>
      <c r="BJ71" s="180">
        <v>0</v>
      </c>
      <c r="BK71" s="180">
        <v>4773939</v>
      </c>
      <c r="BL71" s="180">
        <v>0</v>
      </c>
      <c r="BM71" s="180">
        <v>0</v>
      </c>
      <c r="BN71" s="180">
        <v>0</v>
      </c>
      <c r="BO71" s="180">
        <v>0</v>
      </c>
      <c r="BP71" s="180">
        <v>0</v>
      </c>
      <c r="BQ71" s="180">
        <v>0</v>
      </c>
      <c r="BR71" s="180">
        <v>0</v>
      </c>
      <c r="BS71">
        <v>0</v>
      </c>
      <c r="BT71" s="180">
        <v>0</v>
      </c>
      <c r="BU71" s="180">
        <v>0</v>
      </c>
      <c r="BV71" s="180">
        <v>0</v>
      </c>
      <c r="BW71" s="180">
        <v>0</v>
      </c>
      <c r="BX71" s="180"/>
      <c r="BY71" s="180">
        <v>0</v>
      </c>
      <c r="BZ71" s="180">
        <v>0</v>
      </c>
      <c r="CA71" s="180">
        <v>0</v>
      </c>
      <c r="CB71" s="180"/>
      <c r="CC71" s="180"/>
      <c r="CD71" s="180"/>
      <c r="CE71" s="180"/>
      <c r="CF71" s="180"/>
      <c r="CG71" s="180"/>
      <c r="CH71" s="180"/>
      <c r="CI71" s="180"/>
      <c r="CJ71" s="180"/>
      <c r="CK71" s="180"/>
      <c r="CL71" s="180"/>
      <c r="CM71" s="180"/>
      <c r="CN71" s="180"/>
      <c r="CO71" s="180"/>
      <c r="CP71" s="180"/>
      <c r="CQ71" s="180"/>
      <c r="CR71" s="180"/>
      <c r="CS71" s="180"/>
      <c r="CT71" s="180"/>
      <c r="CU71" s="180"/>
    </row>
    <row r="72" spans="1:99" x14ac:dyDescent="0.3">
      <c r="A72" s="155">
        <v>359</v>
      </c>
      <c r="B72" s="180" t="s">
        <v>247</v>
      </c>
      <c r="C72" s="180"/>
      <c r="D72" s="180">
        <v>0</v>
      </c>
      <c r="E72" s="180">
        <v>0</v>
      </c>
      <c r="F72" s="180"/>
      <c r="G72" s="180">
        <v>0</v>
      </c>
      <c r="H72" s="180">
        <v>0</v>
      </c>
      <c r="I72" s="180">
        <v>0</v>
      </c>
      <c r="J72" s="180">
        <v>0</v>
      </c>
      <c r="K72" s="180">
        <v>0</v>
      </c>
      <c r="L72" s="180">
        <v>0</v>
      </c>
      <c r="M72" s="180"/>
      <c r="N72" s="180">
        <v>0</v>
      </c>
      <c r="O72" s="180"/>
      <c r="P72" s="180">
        <v>0</v>
      </c>
      <c r="Q72" s="180">
        <v>0</v>
      </c>
      <c r="R72" s="180">
        <v>0</v>
      </c>
      <c r="S72" s="180">
        <v>440917</v>
      </c>
      <c r="T72" s="180">
        <v>0</v>
      </c>
      <c r="U72" s="180">
        <v>320120</v>
      </c>
      <c r="V72" s="180">
        <v>0</v>
      </c>
      <c r="W72" s="180">
        <v>0</v>
      </c>
      <c r="X72" s="180">
        <v>0</v>
      </c>
      <c r="Y72" s="180">
        <v>0</v>
      </c>
      <c r="Z72" s="180">
        <v>3750000</v>
      </c>
      <c r="AA72" s="180">
        <v>0</v>
      </c>
      <c r="AB72" s="180">
        <v>0</v>
      </c>
      <c r="AC72" s="180">
        <v>0</v>
      </c>
      <c r="AD72" s="180">
        <v>0</v>
      </c>
      <c r="AE72" s="180">
        <v>47445</v>
      </c>
      <c r="AF72" s="180">
        <v>0</v>
      </c>
      <c r="AG72" s="180">
        <v>0</v>
      </c>
      <c r="AH72" s="180">
        <v>0</v>
      </c>
      <c r="AI72" s="180">
        <v>0</v>
      </c>
      <c r="AJ72" s="180">
        <v>1236389</v>
      </c>
      <c r="AK72" s="180">
        <v>0</v>
      </c>
      <c r="AL72" s="180">
        <v>0</v>
      </c>
      <c r="AM72" s="180">
        <v>0</v>
      </c>
      <c r="AN72" s="180">
        <v>0</v>
      </c>
      <c r="AO72" s="180"/>
      <c r="AP72" s="180">
        <v>0</v>
      </c>
      <c r="AQ72" s="180">
        <v>3131061</v>
      </c>
      <c r="AR72" s="180"/>
      <c r="AS72" s="180"/>
      <c r="AT72" s="180"/>
      <c r="AU72" s="180">
        <v>25315</v>
      </c>
      <c r="AV72" s="180">
        <v>0</v>
      </c>
      <c r="AW72" s="180"/>
      <c r="AX72" s="180">
        <v>0</v>
      </c>
      <c r="AY72" s="180">
        <v>0</v>
      </c>
      <c r="AZ72" s="180"/>
      <c r="BA72" s="180">
        <v>0</v>
      </c>
      <c r="BB72" s="180">
        <v>0</v>
      </c>
      <c r="BC72" s="180"/>
      <c r="BD72" s="180">
        <v>0</v>
      </c>
      <c r="BE72" s="180">
        <v>80084</v>
      </c>
      <c r="BF72" s="180"/>
      <c r="BG72" s="180"/>
      <c r="BH72" s="180">
        <v>0</v>
      </c>
      <c r="BI72" s="180">
        <v>0</v>
      </c>
      <c r="BJ72" s="180">
        <v>0</v>
      </c>
      <c r="BK72" s="180">
        <v>0</v>
      </c>
      <c r="BL72" s="180">
        <v>0</v>
      </c>
      <c r="BM72" s="180">
        <v>0</v>
      </c>
      <c r="BN72" s="180">
        <v>0</v>
      </c>
      <c r="BO72" s="180">
        <v>0</v>
      </c>
      <c r="BP72" s="180">
        <v>0</v>
      </c>
      <c r="BQ72" s="180">
        <v>0</v>
      </c>
      <c r="BR72" s="180">
        <v>0</v>
      </c>
      <c r="BS72">
        <v>0</v>
      </c>
      <c r="BT72" s="180">
        <v>0</v>
      </c>
      <c r="BU72" s="180">
        <v>0</v>
      </c>
      <c r="BV72" s="180">
        <v>0</v>
      </c>
      <c r="BW72" s="180">
        <v>0</v>
      </c>
      <c r="BX72" s="180"/>
      <c r="BY72" s="180">
        <v>0</v>
      </c>
      <c r="BZ72" s="180">
        <v>0</v>
      </c>
      <c r="CA72" s="180">
        <v>0</v>
      </c>
      <c r="CB72" s="180"/>
      <c r="CC72" s="180"/>
      <c r="CD72" s="180"/>
      <c r="CE72" s="180"/>
      <c r="CF72" s="180"/>
      <c r="CG72" s="180"/>
      <c r="CH72" s="180"/>
      <c r="CI72" s="180"/>
      <c r="CJ72" s="180"/>
      <c r="CK72" s="180"/>
      <c r="CL72" s="180"/>
      <c r="CM72" s="180"/>
      <c r="CN72" s="180"/>
      <c r="CO72" s="180"/>
      <c r="CP72" s="180"/>
      <c r="CQ72" s="180"/>
      <c r="CR72" s="180"/>
      <c r="CS72" s="180"/>
      <c r="CT72" s="180"/>
      <c r="CU72" s="180"/>
    </row>
    <row r="73" spans="1:99" x14ac:dyDescent="0.3">
      <c r="A73" s="155">
        <v>360</v>
      </c>
      <c r="B73" s="180" t="s">
        <v>117</v>
      </c>
      <c r="C73" s="180"/>
      <c r="D73" s="180">
        <v>0</v>
      </c>
      <c r="E73" s="180">
        <v>0</v>
      </c>
      <c r="F73" s="180"/>
      <c r="G73" s="180">
        <v>0</v>
      </c>
      <c r="H73" s="180">
        <v>0</v>
      </c>
      <c r="I73" s="180">
        <v>0</v>
      </c>
      <c r="J73" s="180">
        <v>0</v>
      </c>
      <c r="K73" s="180">
        <v>0</v>
      </c>
      <c r="L73" s="180">
        <v>0</v>
      </c>
      <c r="M73" s="180"/>
      <c r="N73" s="180">
        <v>0</v>
      </c>
      <c r="O73" s="180"/>
      <c r="P73" s="180">
        <v>0</v>
      </c>
      <c r="Q73" s="180">
        <v>0</v>
      </c>
      <c r="R73" s="180">
        <v>0</v>
      </c>
      <c r="S73" s="180">
        <v>3600839</v>
      </c>
      <c r="T73" s="180">
        <v>0</v>
      </c>
      <c r="U73" s="180">
        <v>2800525</v>
      </c>
      <c r="V73" s="180">
        <v>0</v>
      </c>
      <c r="W73" s="180">
        <v>0</v>
      </c>
      <c r="X73" s="180">
        <v>0</v>
      </c>
      <c r="Y73" s="180">
        <v>0</v>
      </c>
      <c r="Z73" s="180">
        <v>5278062</v>
      </c>
      <c r="AA73" s="180">
        <v>520117</v>
      </c>
      <c r="AB73" s="180">
        <v>0</v>
      </c>
      <c r="AC73" s="180">
        <v>0</v>
      </c>
      <c r="AD73" s="180">
        <v>0</v>
      </c>
      <c r="AE73" s="180">
        <v>1035267</v>
      </c>
      <c r="AF73" s="180">
        <v>0</v>
      </c>
      <c r="AG73" s="180">
        <v>0</v>
      </c>
      <c r="AH73" s="180">
        <v>0</v>
      </c>
      <c r="AI73" s="180">
        <v>0</v>
      </c>
      <c r="AJ73" s="180">
        <v>3815578</v>
      </c>
      <c r="AK73" s="180">
        <v>0</v>
      </c>
      <c r="AL73" s="180">
        <v>0</v>
      </c>
      <c r="AM73" s="180">
        <v>0</v>
      </c>
      <c r="AN73" s="180">
        <v>0</v>
      </c>
      <c r="AO73" s="180"/>
      <c r="AP73" s="180">
        <v>0</v>
      </c>
      <c r="AQ73" s="180">
        <v>9116112</v>
      </c>
      <c r="AR73" s="180"/>
      <c r="AS73" s="180"/>
      <c r="AT73" s="180"/>
      <c r="AU73" s="180">
        <v>1868623</v>
      </c>
      <c r="AV73" s="180">
        <v>0</v>
      </c>
      <c r="AW73" s="180"/>
      <c r="AX73" s="180">
        <v>0</v>
      </c>
      <c r="AY73" s="180">
        <v>0</v>
      </c>
      <c r="AZ73" s="180"/>
      <c r="BA73" s="180">
        <v>0</v>
      </c>
      <c r="BB73" s="180">
        <v>0</v>
      </c>
      <c r="BC73" s="180"/>
      <c r="BD73" s="180">
        <v>0</v>
      </c>
      <c r="BE73" s="180">
        <v>12795098</v>
      </c>
      <c r="BF73" s="180"/>
      <c r="BG73" s="180"/>
      <c r="BH73" s="180">
        <v>0</v>
      </c>
      <c r="BI73" s="180">
        <v>0</v>
      </c>
      <c r="BJ73" s="180">
        <v>0</v>
      </c>
      <c r="BK73" s="180">
        <v>484411</v>
      </c>
      <c r="BL73" s="180">
        <v>0</v>
      </c>
      <c r="BM73" s="180">
        <v>0</v>
      </c>
      <c r="BN73" s="180">
        <v>0</v>
      </c>
      <c r="BO73" s="180">
        <v>0</v>
      </c>
      <c r="BP73" s="180">
        <v>0</v>
      </c>
      <c r="BQ73" s="180">
        <v>0</v>
      </c>
      <c r="BR73" s="180">
        <v>0</v>
      </c>
      <c r="BS73" s="180">
        <v>0</v>
      </c>
      <c r="BT73" s="180">
        <v>0</v>
      </c>
      <c r="BU73" s="180">
        <v>0</v>
      </c>
      <c r="BV73" s="180">
        <v>0</v>
      </c>
      <c r="BW73" s="180">
        <v>0</v>
      </c>
      <c r="BX73" s="180"/>
      <c r="BY73" s="180">
        <v>0</v>
      </c>
      <c r="BZ73" s="180">
        <v>0</v>
      </c>
      <c r="CA73" s="180">
        <v>0</v>
      </c>
      <c r="CB73" s="180"/>
      <c r="CC73" s="180"/>
      <c r="CD73" s="180"/>
      <c r="CE73" s="180"/>
      <c r="CF73" s="180"/>
      <c r="CG73" s="180"/>
      <c r="CH73" s="180"/>
      <c r="CI73" s="180"/>
      <c r="CJ73" s="180"/>
      <c r="CK73" s="180"/>
      <c r="CL73" s="180"/>
      <c r="CM73" s="180"/>
      <c r="CN73" s="180"/>
      <c r="CO73" s="180"/>
      <c r="CP73" s="180"/>
      <c r="CQ73" s="180"/>
      <c r="CR73" s="180"/>
      <c r="CS73" s="180"/>
      <c r="CT73" s="180"/>
      <c r="CU73" s="180"/>
    </row>
    <row r="74" spans="1:99" x14ac:dyDescent="0.3">
      <c r="A74" s="155">
        <v>361</v>
      </c>
      <c r="B74" s="180" t="s">
        <v>98</v>
      </c>
      <c r="C74" s="180"/>
      <c r="D74" s="180">
        <v>0</v>
      </c>
      <c r="E74" s="180">
        <v>0</v>
      </c>
      <c r="F74" s="180"/>
      <c r="G74" s="180">
        <v>0</v>
      </c>
      <c r="H74" s="180">
        <v>0</v>
      </c>
      <c r="I74" s="180">
        <v>0</v>
      </c>
      <c r="J74" s="180">
        <v>0</v>
      </c>
      <c r="K74" s="180">
        <v>0</v>
      </c>
      <c r="L74" s="180">
        <v>0</v>
      </c>
      <c r="M74" s="180"/>
      <c r="N74" s="180">
        <v>0</v>
      </c>
      <c r="O74" s="180"/>
      <c r="P74" s="180">
        <v>0</v>
      </c>
      <c r="Q74" s="180">
        <v>0</v>
      </c>
      <c r="R74" s="180">
        <v>0</v>
      </c>
      <c r="S74" s="180">
        <v>2127494</v>
      </c>
      <c r="T74" s="180">
        <v>0</v>
      </c>
      <c r="U74" s="180">
        <v>42070415</v>
      </c>
      <c r="V74" s="180">
        <v>0</v>
      </c>
      <c r="W74" s="180">
        <v>0</v>
      </c>
      <c r="X74" s="180">
        <v>0</v>
      </c>
      <c r="Y74" s="180">
        <v>0</v>
      </c>
      <c r="Z74" s="180">
        <v>721561</v>
      </c>
      <c r="AA74" s="180">
        <v>-448740</v>
      </c>
      <c r="AB74" s="180">
        <v>0</v>
      </c>
      <c r="AC74" s="180">
        <v>0</v>
      </c>
      <c r="AD74" s="180">
        <v>0</v>
      </c>
      <c r="AE74" s="180">
        <v>2330422</v>
      </c>
      <c r="AF74" s="180">
        <v>0</v>
      </c>
      <c r="AG74" s="180">
        <v>0</v>
      </c>
      <c r="AH74" s="180">
        <v>0</v>
      </c>
      <c r="AI74" s="180">
        <v>0</v>
      </c>
      <c r="AJ74" s="180">
        <v>2239472</v>
      </c>
      <c r="AK74" s="180">
        <v>0</v>
      </c>
      <c r="AL74" s="180">
        <v>0</v>
      </c>
      <c r="AM74" s="180">
        <v>0</v>
      </c>
      <c r="AN74" s="180">
        <v>0</v>
      </c>
      <c r="AO74" s="180"/>
      <c r="AP74" s="180">
        <v>0</v>
      </c>
      <c r="AQ74" s="180">
        <v>33647936</v>
      </c>
      <c r="AR74" s="180"/>
      <c r="AS74" s="180"/>
      <c r="AT74" s="180"/>
      <c r="AU74" s="180">
        <v>6359717</v>
      </c>
      <c r="AV74" s="180">
        <v>0</v>
      </c>
      <c r="AW74" s="180"/>
      <c r="AX74" s="180">
        <v>0</v>
      </c>
      <c r="AY74" s="180">
        <v>0</v>
      </c>
      <c r="AZ74" s="180"/>
      <c r="BA74" s="180">
        <v>0</v>
      </c>
      <c r="BB74" s="180">
        <v>0</v>
      </c>
      <c r="BC74" s="180"/>
      <c r="BD74" s="180">
        <v>0</v>
      </c>
      <c r="BE74" s="180">
        <v>6893031</v>
      </c>
      <c r="BF74" s="180"/>
      <c r="BG74" s="180"/>
      <c r="BH74" s="180">
        <v>0</v>
      </c>
      <c r="BI74" s="180">
        <v>0</v>
      </c>
      <c r="BJ74" s="180">
        <v>0</v>
      </c>
      <c r="BK74" s="180">
        <v>3818488</v>
      </c>
      <c r="BL74" s="180">
        <v>0</v>
      </c>
      <c r="BM74" s="180">
        <v>0</v>
      </c>
      <c r="BN74" s="180">
        <v>0</v>
      </c>
      <c r="BO74" s="180">
        <v>0</v>
      </c>
      <c r="BP74" s="180">
        <v>0</v>
      </c>
      <c r="BQ74" s="180">
        <v>0</v>
      </c>
      <c r="BR74" s="180">
        <v>0</v>
      </c>
      <c r="BS74" s="180">
        <v>0</v>
      </c>
      <c r="BT74" s="180">
        <v>0</v>
      </c>
      <c r="BU74" s="180">
        <v>0</v>
      </c>
      <c r="BV74" s="180">
        <v>0</v>
      </c>
      <c r="BW74" s="180">
        <v>0</v>
      </c>
      <c r="BX74" s="180"/>
      <c r="BY74" s="180">
        <v>0</v>
      </c>
      <c r="BZ74" s="180">
        <v>0</v>
      </c>
      <c r="CA74" s="180">
        <v>0</v>
      </c>
      <c r="CB74" s="180"/>
      <c r="CC74" s="180"/>
      <c r="CD74" s="180"/>
      <c r="CE74" s="180"/>
      <c r="CF74" s="180"/>
      <c r="CG74" s="180"/>
      <c r="CH74" s="180"/>
      <c r="CI74" s="180"/>
      <c r="CJ74" s="180"/>
      <c r="CK74" s="180"/>
      <c r="CL74" s="180"/>
      <c r="CM74" s="180"/>
      <c r="CN74" s="180"/>
      <c r="CO74" s="180"/>
      <c r="CP74" s="180"/>
      <c r="CQ74" s="180"/>
      <c r="CR74" s="180"/>
      <c r="CS74" s="180"/>
      <c r="CT74" s="180"/>
      <c r="CU74" s="180"/>
    </row>
    <row r="75" spans="1:99" x14ac:dyDescent="0.3">
      <c r="A75" s="155">
        <v>362</v>
      </c>
      <c r="B75" s="180" t="s">
        <v>99</v>
      </c>
      <c r="C75" s="180"/>
      <c r="D75" s="180">
        <v>0</v>
      </c>
      <c r="E75" s="180">
        <v>0</v>
      </c>
      <c r="F75" s="180"/>
      <c r="G75" s="180">
        <v>0</v>
      </c>
      <c r="H75" s="180">
        <v>0</v>
      </c>
      <c r="I75" s="180">
        <v>0</v>
      </c>
      <c r="J75" s="180">
        <v>0</v>
      </c>
      <c r="K75" s="180">
        <v>0</v>
      </c>
      <c r="L75" s="180">
        <v>0</v>
      </c>
      <c r="M75" s="180"/>
      <c r="N75" s="180">
        <v>0</v>
      </c>
      <c r="O75" s="180"/>
      <c r="P75" s="180">
        <v>0</v>
      </c>
      <c r="Q75" s="180">
        <v>0</v>
      </c>
      <c r="R75" s="180">
        <v>0</v>
      </c>
      <c r="S75" s="180">
        <v>8597888</v>
      </c>
      <c r="T75" s="180">
        <v>0</v>
      </c>
      <c r="U75" s="180">
        <v>73368516</v>
      </c>
      <c r="V75" s="180">
        <v>0</v>
      </c>
      <c r="W75" s="180">
        <v>0</v>
      </c>
      <c r="X75" s="180">
        <v>0</v>
      </c>
      <c r="Y75" s="180">
        <v>0</v>
      </c>
      <c r="Z75" s="180">
        <v>1746559</v>
      </c>
      <c r="AA75" s="180">
        <v>586012</v>
      </c>
      <c r="AB75" s="180">
        <v>0</v>
      </c>
      <c r="AC75" s="180">
        <v>0</v>
      </c>
      <c r="AD75" s="180">
        <v>0</v>
      </c>
      <c r="AE75" s="180">
        <v>4859649</v>
      </c>
      <c r="AF75" s="180">
        <v>0</v>
      </c>
      <c r="AG75" s="180">
        <v>0</v>
      </c>
      <c r="AH75" s="180">
        <v>0</v>
      </c>
      <c r="AI75" s="180">
        <v>0</v>
      </c>
      <c r="AJ75" s="180">
        <v>12828630</v>
      </c>
      <c r="AK75" s="180">
        <v>0</v>
      </c>
      <c r="AL75" s="180">
        <v>0</v>
      </c>
      <c r="AM75" s="180">
        <v>0</v>
      </c>
      <c r="AN75" s="180">
        <v>0</v>
      </c>
      <c r="AO75" s="180"/>
      <c r="AP75" s="180">
        <v>0</v>
      </c>
      <c r="AQ75" s="180">
        <v>70112704</v>
      </c>
      <c r="AR75" s="180"/>
      <c r="AS75" s="180"/>
      <c r="AT75" s="180"/>
      <c r="AU75" s="180">
        <v>8547892</v>
      </c>
      <c r="AV75" s="180">
        <v>0</v>
      </c>
      <c r="AW75" s="180"/>
      <c r="AX75" s="180">
        <v>0</v>
      </c>
      <c r="AY75" s="180">
        <v>0</v>
      </c>
      <c r="AZ75" s="180"/>
      <c r="BA75" s="180">
        <v>0</v>
      </c>
      <c r="BB75" s="180">
        <v>0</v>
      </c>
      <c r="BC75" s="180"/>
      <c r="BD75" s="180">
        <v>0</v>
      </c>
      <c r="BE75" s="180">
        <v>21453849</v>
      </c>
      <c r="BF75" s="180"/>
      <c r="BG75" s="180"/>
      <c r="BH75" s="180">
        <v>0</v>
      </c>
      <c r="BI75" s="180">
        <v>0</v>
      </c>
      <c r="BJ75" s="180">
        <v>0</v>
      </c>
      <c r="BK75" s="180">
        <v>5982013</v>
      </c>
      <c r="BL75" s="180">
        <v>0</v>
      </c>
      <c r="BM75" s="180">
        <v>0</v>
      </c>
      <c r="BN75" s="180">
        <v>0</v>
      </c>
      <c r="BO75" s="180">
        <v>0</v>
      </c>
      <c r="BP75" s="180">
        <v>0</v>
      </c>
      <c r="BQ75" s="180">
        <v>0</v>
      </c>
      <c r="BR75" s="180">
        <v>0</v>
      </c>
      <c r="BS75" s="180">
        <v>0</v>
      </c>
      <c r="BT75" s="180">
        <v>0</v>
      </c>
      <c r="BU75" s="180">
        <v>0</v>
      </c>
      <c r="BV75" s="180">
        <v>0</v>
      </c>
      <c r="BW75" s="180">
        <v>0</v>
      </c>
      <c r="BX75" s="180"/>
      <c r="BY75" s="180">
        <v>0</v>
      </c>
      <c r="BZ75" s="180">
        <v>0</v>
      </c>
      <c r="CA75" s="180">
        <v>0</v>
      </c>
      <c r="CB75" s="180"/>
      <c r="CC75" s="180"/>
      <c r="CD75" s="180"/>
      <c r="CE75" s="180"/>
      <c r="CF75" s="180"/>
      <c r="CG75" s="180"/>
      <c r="CH75" s="180"/>
      <c r="CI75" s="180"/>
      <c r="CJ75" s="180"/>
      <c r="CK75" s="180"/>
      <c r="CL75" s="180"/>
      <c r="CM75" s="180"/>
      <c r="CN75" s="180"/>
      <c r="CO75" s="180"/>
      <c r="CP75" s="180"/>
      <c r="CQ75" s="180"/>
      <c r="CR75" s="180"/>
      <c r="CS75" s="180"/>
      <c r="CT75" s="180"/>
      <c r="CU75" s="180"/>
    </row>
    <row r="76" spans="1:99" x14ac:dyDescent="0.3">
      <c r="A76" s="155">
        <v>363</v>
      </c>
      <c r="B76" s="180" t="s">
        <v>233</v>
      </c>
      <c r="C76" s="180"/>
      <c r="D76" s="180">
        <v>0</v>
      </c>
      <c r="E76" s="180">
        <v>0</v>
      </c>
      <c r="F76" s="180"/>
      <c r="G76" s="180">
        <v>0</v>
      </c>
      <c r="H76" s="180">
        <v>0</v>
      </c>
      <c r="I76" s="180">
        <v>0</v>
      </c>
      <c r="J76" s="180">
        <v>0</v>
      </c>
      <c r="K76" s="180">
        <v>0</v>
      </c>
      <c r="L76" s="180">
        <v>0</v>
      </c>
      <c r="M76" s="180"/>
      <c r="N76" s="180">
        <v>0</v>
      </c>
      <c r="O76" s="180"/>
      <c r="P76" s="180">
        <v>0</v>
      </c>
      <c r="Q76" s="180">
        <v>0</v>
      </c>
      <c r="R76" s="180">
        <v>0</v>
      </c>
      <c r="S76" s="180">
        <v>56010</v>
      </c>
      <c r="T76" s="180">
        <v>0</v>
      </c>
      <c r="U76" s="180">
        <v>36251</v>
      </c>
      <c r="V76" s="180">
        <v>0</v>
      </c>
      <c r="W76" s="180">
        <v>0</v>
      </c>
      <c r="X76" s="180">
        <v>0</v>
      </c>
      <c r="Y76" s="180">
        <v>0</v>
      </c>
      <c r="Z76" s="180">
        <v>25603</v>
      </c>
      <c r="AA76" s="180">
        <v>82</v>
      </c>
      <c r="AB76" s="180">
        <v>0</v>
      </c>
      <c r="AC76" s="180">
        <v>0</v>
      </c>
      <c r="AD76" s="180">
        <v>0</v>
      </c>
      <c r="AE76" s="180">
        <v>5595</v>
      </c>
      <c r="AF76" s="180">
        <v>0</v>
      </c>
      <c r="AG76" s="180">
        <v>0</v>
      </c>
      <c r="AH76" s="180">
        <v>0</v>
      </c>
      <c r="AI76" s="180">
        <v>0</v>
      </c>
      <c r="AJ76" s="180">
        <v>19129</v>
      </c>
      <c r="AK76" s="180">
        <v>0</v>
      </c>
      <c r="AL76" s="180">
        <v>0</v>
      </c>
      <c r="AM76" s="180">
        <v>0</v>
      </c>
      <c r="AN76" s="180">
        <v>0</v>
      </c>
      <c r="AO76" s="180"/>
      <c r="AP76" s="180">
        <v>0</v>
      </c>
      <c r="AQ76" s="180">
        <v>106306</v>
      </c>
      <c r="AR76" s="180"/>
      <c r="AS76" s="180"/>
      <c r="AT76" s="180"/>
      <c r="AU76" s="180">
        <v>49983</v>
      </c>
      <c r="AV76" s="180">
        <v>0</v>
      </c>
      <c r="AW76" s="180"/>
      <c r="AX76" s="180">
        <v>0</v>
      </c>
      <c r="AY76" s="180">
        <v>0</v>
      </c>
      <c r="AZ76" s="180"/>
      <c r="BA76" s="180">
        <v>0</v>
      </c>
      <c r="BB76" s="180">
        <v>0</v>
      </c>
      <c r="BC76" s="180"/>
      <c r="BD76" s="180">
        <v>0</v>
      </c>
      <c r="BE76" s="180">
        <v>16375</v>
      </c>
      <c r="BF76" s="180"/>
      <c r="BG76" s="180"/>
      <c r="BH76" s="180">
        <v>0</v>
      </c>
      <c r="BI76" s="180">
        <v>0</v>
      </c>
      <c r="BJ76" s="180">
        <v>0</v>
      </c>
      <c r="BK76" s="180">
        <v>19887</v>
      </c>
      <c r="BL76" s="180">
        <v>0</v>
      </c>
      <c r="BM76" s="180">
        <v>0</v>
      </c>
      <c r="BN76" s="180">
        <v>0</v>
      </c>
      <c r="BO76" s="180">
        <v>0</v>
      </c>
      <c r="BP76" s="180">
        <v>0</v>
      </c>
      <c r="BQ76" s="180">
        <v>0</v>
      </c>
      <c r="BR76" s="180">
        <v>0</v>
      </c>
      <c r="BS76" s="180">
        <v>0</v>
      </c>
      <c r="BT76" s="180">
        <v>0</v>
      </c>
      <c r="BU76" s="180">
        <v>0</v>
      </c>
      <c r="BV76" s="180">
        <v>0</v>
      </c>
      <c r="BW76" s="180">
        <v>0</v>
      </c>
      <c r="BX76" s="180"/>
      <c r="BY76" s="180">
        <v>0</v>
      </c>
      <c r="BZ76" s="180">
        <v>0</v>
      </c>
      <c r="CA76" s="180">
        <v>0</v>
      </c>
      <c r="CB76" s="180"/>
      <c r="CC76" s="180"/>
      <c r="CD76" s="180"/>
      <c r="CE76" s="180"/>
      <c r="CF76" s="180"/>
      <c r="CG76" s="180"/>
      <c r="CH76" s="180"/>
      <c r="CI76" s="180"/>
      <c r="CJ76" s="180"/>
      <c r="CK76" s="180"/>
      <c r="CL76" s="180"/>
      <c r="CM76" s="180"/>
      <c r="CN76" s="180"/>
      <c r="CO76" s="180"/>
      <c r="CP76" s="180"/>
      <c r="CQ76" s="180"/>
      <c r="CR76" s="180"/>
      <c r="CS76" s="180"/>
      <c r="CT76" s="180"/>
      <c r="CU76" s="180"/>
    </row>
    <row r="77" spans="1:99" x14ac:dyDescent="0.3">
      <c r="A77" s="155">
        <v>364</v>
      </c>
      <c r="B77" s="180" t="s">
        <v>234</v>
      </c>
      <c r="C77" s="180"/>
      <c r="D77" s="180">
        <v>0</v>
      </c>
      <c r="E77" s="180">
        <v>0</v>
      </c>
      <c r="F77" s="180"/>
      <c r="G77" s="180">
        <v>0</v>
      </c>
      <c r="H77" s="180">
        <v>0</v>
      </c>
      <c r="I77" s="180">
        <v>0</v>
      </c>
      <c r="J77" s="180">
        <v>0</v>
      </c>
      <c r="K77" s="180">
        <v>0</v>
      </c>
      <c r="L77" s="180">
        <v>0</v>
      </c>
      <c r="M77" s="180"/>
      <c r="N77" s="180">
        <v>0</v>
      </c>
      <c r="O77" s="180"/>
      <c r="P77" s="180">
        <v>0</v>
      </c>
      <c r="Q77" s="180">
        <v>0</v>
      </c>
      <c r="R77" s="180">
        <v>0</v>
      </c>
      <c r="S77" s="180">
        <v>4347</v>
      </c>
      <c r="T77" s="180">
        <v>0</v>
      </c>
      <c r="U77" s="180">
        <v>0</v>
      </c>
      <c r="V77" s="180">
        <v>0</v>
      </c>
      <c r="W77" s="180">
        <v>0</v>
      </c>
      <c r="X77" s="180">
        <v>0</v>
      </c>
      <c r="Y77" s="180">
        <v>0</v>
      </c>
      <c r="Z77" s="180">
        <v>273</v>
      </c>
      <c r="AA77" s="180">
        <v>0</v>
      </c>
      <c r="AB77" s="180">
        <v>0</v>
      </c>
      <c r="AC77" s="180">
        <v>0</v>
      </c>
      <c r="AD77" s="180">
        <v>0</v>
      </c>
      <c r="AE77" s="180">
        <v>2321</v>
      </c>
      <c r="AF77" s="180">
        <v>0</v>
      </c>
      <c r="AG77" s="180">
        <v>0</v>
      </c>
      <c r="AH77" s="180">
        <v>0</v>
      </c>
      <c r="AI77" s="180">
        <v>0</v>
      </c>
      <c r="AJ77" s="180">
        <v>32715</v>
      </c>
      <c r="AK77" s="180">
        <v>0</v>
      </c>
      <c r="AL77" s="180">
        <v>0</v>
      </c>
      <c r="AM77" s="180">
        <v>0</v>
      </c>
      <c r="AN77" s="180">
        <v>0</v>
      </c>
      <c r="AO77" s="180"/>
      <c r="AP77" s="180">
        <v>0</v>
      </c>
      <c r="AQ77" s="180">
        <v>86591</v>
      </c>
      <c r="AR77" s="180"/>
      <c r="AS77" s="180"/>
      <c r="AT77" s="180"/>
      <c r="AU77" s="180">
        <v>172</v>
      </c>
      <c r="AV77" s="180">
        <v>0</v>
      </c>
      <c r="AW77" s="180"/>
      <c r="AX77" s="180">
        <v>0</v>
      </c>
      <c r="AY77" s="180">
        <v>0</v>
      </c>
      <c r="AZ77" s="180"/>
      <c r="BA77" s="180">
        <v>0</v>
      </c>
      <c r="BB77" s="180">
        <v>0</v>
      </c>
      <c r="BC77" s="180"/>
      <c r="BD77" s="180">
        <v>0</v>
      </c>
      <c r="BE77" s="180">
        <v>2425</v>
      </c>
      <c r="BF77" s="180"/>
      <c r="BG77" s="180"/>
      <c r="BH77" s="180">
        <v>0</v>
      </c>
      <c r="BI77" s="180">
        <v>0</v>
      </c>
      <c r="BJ77" s="180">
        <v>0</v>
      </c>
      <c r="BK77" s="180">
        <v>0</v>
      </c>
      <c r="BL77" s="180">
        <v>0</v>
      </c>
      <c r="BM77" s="180">
        <v>0</v>
      </c>
      <c r="BN77" s="180">
        <v>0</v>
      </c>
      <c r="BO77" s="180">
        <v>0</v>
      </c>
      <c r="BP77" s="180">
        <v>0</v>
      </c>
      <c r="BQ77" s="180">
        <v>0</v>
      </c>
      <c r="BR77" s="180">
        <v>0</v>
      </c>
      <c r="BS77" s="180">
        <v>0</v>
      </c>
      <c r="BT77" s="180">
        <v>0</v>
      </c>
      <c r="BU77" s="180">
        <v>0</v>
      </c>
      <c r="BV77" s="180">
        <v>0</v>
      </c>
      <c r="BW77" s="180">
        <v>0</v>
      </c>
      <c r="BX77" s="180"/>
      <c r="BY77" s="180">
        <v>0</v>
      </c>
      <c r="BZ77" s="180">
        <v>0</v>
      </c>
      <c r="CA77" s="180">
        <v>0</v>
      </c>
      <c r="CB77" s="180"/>
      <c r="CC77" s="180"/>
      <c r="CD77" s="180"/>
      <c r="CE77" s="180"/>
      <c r="CF77" s="180"/>
      <c r="CG77" s="180"/>
      <c r="CH77" s="180"/>
      <c r="CI77" s="180"/>
      <c r="CJ77" s="180"/>
      <c r="CK77" s="180"/>
      <c r="CL77" s="180"/>
      <c r="CM77" s="180"/>
      <c r="CN77" s="180"/>
      <c r="CO77" s="180"/>
      <c r="CP77" s="180"/>
      <c r="CQ77" s="180"/>
      <c r="CR77" s="180"/>
      <c r="CS77" s="180"/>
      <c r="CT77" s="180"/>
      <c r="CU77" s="180"/>
    </row>
    <row r="78" spans="1:99" x14ac:dyDescent="0.3">
      <c r="A78" s="155">
        <v>365</v>
      </c>
      <c r="B78" s="180" t="s">
        <v>236</v>
      </c>
      <c r="C78" s="180"/>
      <c r="D78" s="180">
        <v>0</v>
      </c>
      <c r="E78" s="180">
        <v>0</v>
      </c>
      <c r="F78" s="180"/>
      <c r="G78" s="180">
        <v>0</v>
      </c>
      <c r="H78" s="180">
        <v>0</v>
      </c>
      <c r="I78" s="180">
        <v>0</v>
      </c>
      <c r="J78" s="180">
        <v>0</v>
      </c>
      <c r="K78" s="180">
        <v>0</v>
      </c>
      <c r="L78" s="180">
        <v>0</v>
      </c>
      <c r="M78" s="180"/>
      <c r="N78" s="180">
        <v>0</v>
      </c>
      <c r="O78" s="180"/>
      <c r="P78" s="180">
        <v>0</v>
      </c>
      <c r="Q78" s="180">
        <v>0</v>
      </c>
      <c r="R78" s="180">
        <v>0</v>
      </c>
      <c r="S78" s="180">
        <v>0</v>
      </c>
      <c r="T78" s="180">
        <v>0</v>
      </c>
      <c r="U78" s="180">
        <v>3194573</v>
      </c>
      <c r="V78" s="180">
        <v>0</v>
      </c>
      <c r="W78" s="180">
        <v>0</v>
      </c>
      <c r="X78" s="180">
        <v>0</v>
      </c>
      <c r="Y78" s="180">
        <v>0</v>
      </c>
      <c r="Z78" s="180">
        <v>0</v>
      </c>
      <c r="AA78" s="180">
        <v>0</v>
      </c>
      <c r="AB78" s="180">
        <v>0</v>
      </c>
      <c r="AC78" s="180">
        <v>0</v>
      </c>
      <c r="AD78" s="180">
        <v>0</v>
      </c>
      <c r="AE78" s="180">
        <v>0</v>
      </c>
      <c r="AF78" s="180">
        <v>0</v>
      </c>
      <c r="AG78" s="180">
        <v>0</v>
      </c>
      <c r="AH78" s="180">
        <v>0</v>
      </c>
      <c r="AI78" s="180">
        <v>0</v>
      </c>
      <c r="AJ78" s="180">
        <v>0</v>
      </c>
      <c r="AK78" s="180">
        <v>0</v>
      </c>
      <c r="AL78" s="180">
        <v>0</v>
      </c>
      <c r="AM78" s="180">
        <v>0</v>
      </c>
      <c r="AN78" s="180">
        <v>0</v>
      </c>
      <c r="AO78" s="180"/>
      <c r="AP78" s="180">
        <v>0</v>
      </c>
      <c r="AQ78" s="180">
        <v>0</v>
      </c>
      <c r="AR78" s="180"/>
      <c r="AS78" s="180"/>
      <c r="AT78" s="180"/>
      <c r="AU78" s="180">
        <v>0</v>
      </c>
      <c r="AV78" s="180">
        <v>0</v>
      </c>
      <c r="AW78" s="180"/>
      <c r="AX78" s="180">
        <v>0</v>
      </c>
      <c r="AY78" s="180">
        <v>0</v>
      </c>
      <c r="AZ78" s="180"/>
      <c r="BA78" s="180">
        <v>0</v>
      </c>
      <c r="BB78" s="180">
        <v>0</v>
      </c>
      <c r="BC78" s="180"/>
      <c r="BD78" s="180">
        <v>0</v>
      </c>
      <c r="BE78" s="180">
        <v>0</v>
      </c>
      <c r="BF78" s="180"/>
      <c r="BG78" s="180"/>
      <c r="BH78" s="180">
        <v>0</v>
      </c>
      <c r="BI78" s="180">
        <v>0</v>
      </c>
      <c r="BJ78" s="180">
        <v>0</v>
      </c>
      <c r="BK78" s="180">
        <v>0</v>
      </c>
      <c r="BL78" s="180">
        <v>0</v>
      </c>
      <c r="BM78" s="180">
        <v>0</v>
      </c>
      <c r="BN78" s="180">
        <v>0</v>
      </c>
      <c r="BO78" s="180">
        <v>0</v>
      </c>
      <c r="BP78" s="180">
        <v>0</v>
      </c>
      <c r="BQ78" s="180">
        <v>0</v>
      </c>
      <c r="BR78" s="180">
        <v>0</v>
      </c>
      <c r="BS78" s="180">
        <v>0</v>
      </c>
      <c r="BT78" s="180">
        <v>0</v>
      </c>
      <c r="BU78" s="180">
        <v>0</v>
      </c>
      <c r="BV78" s="180">
        <v>0</v>
      </c>
      <c r="BW78" s="180">
        <v>0</v>
      </c>
      <c r="BX78" s="180"/>
      <c r="BY78" s="180">
        <v>0</v>
      </c>
      <c r="BZ78" s="180">
        <v>0</v>
      </c>
      <c r="CA78" s="180">
        <v>0</v>
      </c>
      <c r="CB78" s="180"/>
      <c r="CC78" s="180"/>
      <c r="CD78" s="180"/>
      <c r="CE78" s="180"/>
      <c r="CF78" s="180"/>
      <c r="CG78" s="180"/>
      <c r="CH78" s="180"/>
      <c r="CI78" s="180"/>
      <c r="CJ78" s="180"/>
      <c r="CK78" s="180"/>
      <c r="CL78" s="180"/>
      <c r="CM78" s="180"/>
      <c r="CN78" s="180"/>
      <c r="CO78" s="180"/>
      <c r="CP78" s="180"/>
      <c r="CQ78" s="180"/>
      <c r="CR78" s="180"/>
      <c r="CS78" s="180"/>
      <c r="CT78" s="180"/>
      <c r="CU78" s="180"/>
    </row>
    <row r="79" spans="1:99" x14ac:dyDescent="0.3">
      <c r="A79" s="155">
        <v>366</v>
      </c>
      <c r="B79" s="180" t="s">
        <v>925</v>
      </c>
      <c r="C79" s="180"/>
      <c r="D79" s="180">
        <v>0</v>
      </c>
      <c r="E79" s="180">
        <v>0</v>
      </c>
      <c r="F79" s="180"/>
      <c r="G79" s="180">
        <v>0</v>
      </c>
      <c r="H79" s="180">
        <v>0</v>
      </c>
      <c r="I79" s="180">
        <v>0</v>
      </c>
      <c r="J79" s="180">
        <v>0</v>
      </c>
      <c r="K79" s="180">
        <v>0</v>
      </c>
      <c r="L79" s="180">
        <v>0</v>
      </c>
      <c r="M79" s="180"/>
      <c r="N79" s="180">
        <v>0</v>
      </c>
      <c r="O79" s="180"/>
      <c r="P79" s="180">
        <v>0</v>
      </c>
      <c r="Q79" s="180">
        <v>0</v>
      </c>
      <c r="R79" s="180">
        <v>0</v>
      </c>
      <c r="S79" s="180">
        <v>2075000</v>
      </c>
      <c r="T79" s="180">
        <v>0</v>
      </c>
      <c r="U79" s="180">
        <v>5494573</v>
      </c>
      <c r="V79" s="180">
        <v>0</v>
      </c>
      <c r="W79" s="180">
        <v>0</v>
      </c>
      <c r="X79" s="180">
        <v>0</v>
      </c>
      <c r="Y79" s="180">
        <v>0</v>
      </c>
      <c r="Z79" s="180">
        <v>0</v>
      </c>
      <c r="AA79" s="180">
        <v>0</v>
      </c>
      <c r="AB79" s="180">
        <v>0</v>
      </c>
      <c r="AC79" s="180">
        <v>0</v>
      </c>
      <c r="AD79" s="180">
        <v>0</v>
      </c>
      <c r="AE79" s="180">
        <v>650</v>
      </c>
      <c r="AF79" s="180">
        <v>0</v>
      </c>
      <c r="AG79" s="180">
        <v>0</v>
      </c>
      <c r="AH79" s="180">
        <v>0</v>
      </c>
      <c r="AI79" s="180">
        <v>0</v>
      </c>
      <c r="AJ79" s="180">
        <v>683586</v>
      </c>
      <c r="AK79" s="180">
        <v>0</v>
      </c>
      <c r="AL79" s="180">
        <v>0</v>
      </c>
      <c r="AM79" s="180">
        <v>0</v>
      </c>
      <c r="AN79" s="180">
        <v>0</v>
      </c>
      <c r="AO79" s="180"/>
      <c r="AP79" s="180">
        <v>0</v>
      </c>
      <c r="AQ79" s="180">
        <v>1200000</v>
      </c>
      <c r="AR79" s="180"/>
      <c r="AS79" s="180"/>
      <c r="AT79" s="180"/>
      <c r="AU79" s="180">
        <v>30465</v>
      </c>
      <c r="AV79" s="180">
        <v>0</v>
      </c>
      <c r="AW79" s="180"/>
      <c r="AX79" s="180">
        <v>0</v>
      </c>
      <c r="AY79" s="180">
        <v>0</v>
      </c>
      <c r="AZ79" s="180"/>
      <c r="BA79" s="180">
        <v>0</v>
      </c>
      <c r="BB79" s="180">
        <v>0</v>
      </c>
      <c r="BC79" s="180"/>
      <c r="BD79" s="180">
        <v>0</v>
      </c>
      <c r="BE79" s="180">
        <v>1114289</v>
      </c>
      <c r="BF79" s="180"/>
      <c r="BG79" s="180"/>
      <c r="BH79" s="180">
        <v>0</v>
      </c>
      <c r="BI79" s="180">
        <v>0</v>
      </c>
      <c r="BJ79" s="180">
        <v>0</v>
      </c>
      <c r="BK79" s="180">
        <v>0</v>
      </c>
      <c r="BL79" s="180">
        <v>0</v>
      </c>
      <c r="BM79" s="180">
        <v>0</v>
      </c>
      <c r="BN79" s="180">
        <v>0</v>
      </c>
      <c r="BO79" s="180">
        <v>0</v>
      </c>
      <c r="BP79" s="180">
        <v>0</v>
      </c>
      <c r="BQ79" s="180">
        <v>0</v>
      </c>
      <c r="BR79" s="180">
        <v>0</v>
      </c>
      <c r="BS79" s="180">
        <v>0</v>
      </c>
      <c r="BT79" s="180">
        <v>0</v>
      </c>
      <c r="BU79" s="180">
        <v>0</v>
      </c>
      <c r="BV79" s="180">
        <v>0</v>
      </c>
      <c r="BW79" s="180">
        <v>0</v>
      </c>
      <c r="BX79" s="180"/>
      <c r="BY79" s="180">
        <v>0</v>
      </c>
      <c r="BZ79" s="180">
        <v>0</v>
      </c>
      <c r="CA79" s="180">
        <v>0</v>
      </c>
      <c r="CB79" s="180"/>
      <c r="CC79" s="180"/>
      <c r="CD79" s="180"/>
      <c r="CE79" s="180"/>
      <c r="CF79" s="180"/>
      <c r="CG79" s="180"/>
      <c r="CH79" s="180"/>
      <c r="CI79" s="180"/>
      <c r="CJ79" s="180"/>
      <c r="CK79" s="180"/>
      <c r="CL79" s="180"/>
      <c r="CM79" s="180"/>
      <c r="CN79" s="180"/>
      <c r="CO79" s="180"/>
      <c r="CP79" s="180"/>
      <c r="CQ79" s="180"/>
      <c r="CR79" s="180"/>
      <c r="CS79" s="180"/>
      <c r="CT79" s="180"/>
      <c r="CU79" s="180"/>
    </row>
    <row r="80" spans="1:99" x14ac:dyDescent="0.3">
      <c r="A80" s="155">
        <v>368</v>
      </c>
      <c r="B80" s="180" t="s">
        <v>191</v>
      </c>
      <c r="C80" s="180"/>
      <c r="D80" s="180">
        <v>0</v>
      </c>
      <c r="E80" s="180">
        <v>60497</v>
      </c>
      <c r="F80" s="180"/>
      <c r="G80" s="180">
        <v>61605</v>
      </c>
      <c r="H80" s="180">
        <v>0</v>
      </c>
      <c r="I80" s="180">
        <v>0</v>
      </c>
      <c r="J80" s="180">
        <v>0</v>
      </c>
      <c r="K80" s="180">
        <v>0</v>
      </c>
      <c r="L80" s="180">
        <v>0</v>
      </c>
      <c r="M80" s="180"/>
      <c r="N80" s="180">
        <v>0</v>
      </c>
      <c r="O80" s="180"/>
      <c r="P80" s="180">
        <v>344055</v>
      </c>
      <c r="Q80" s="180">
        <v>0</v>
      </c>
      <c r="R80" s="180">
        <v>0</v>
      </c>
      <c r="S80" s="180">
        <v>0</v>
      </c>
      <c r="T80" s="180">
        <v>465</v>
      </c>
      <c r="U80" s="180">
        <v>0</v>
      </c>
      <c r="V80" s="180">
        <v>0</v>
      </c>
      <c r="W80" s="180">
        <v>0</v>
      </c>
      <c r="X80" s="180">
        <v>0</v>
      </c>
      <c r="Y80" s="180">
        <v>0</v>
      </c>
      <c r="Z80" s="180">
        <v>0</v>
      </c>
      <c r="AA80" s="180">
        <v>0</v>
      </c>
      <c r="AB80" s="180">
        <v>0</v>
      </c>
      <c r="AC80" s="180">
        <v>0</v>
      </c>
      <c r="AD80" s="180">
        <v>0</v>
      </c>
      <c r="AE80" s="180">
        <v>0</v>
      </c>
      <c r="AF80" s="180">
        <v>0</v>
      </c>
      <c r="AG80" s="180">
        <v>0</v>
      </c>
      <c r="AH80" s="180">
        <v>0</v>
      </c>
      <c r="AI80" s="180">
        <v>0</v>
      </c>
      <c r="AJ80" s="180">
        <v>0</v>
      </c>
      <c r="AK80" s="180">
        <v>44420</v>
      </c>
      <c r="AL80" s="180">
        <v>0</v>
      </c>
      <c r="AM80" s="180">
        <v>0</v>
      </c>
      <c r="AN80" s="180">
        <v>0</v>
      </c>
      <c r="AO80" s="180"/>
      <c r="AP80" s="180">
        <v>200346</v>
      </c>
      <c r="AQ80" s="180">
        <v>102075</v>
      </c>
      <c r="AR80" s="180"/>
      <c r="AS80" s="180"/>
      <c r="AT80" s="180"/>
      <c r="AU80" s="180">
        <v>0</v>
      </c>
      <c r="AV80" s="180">
        <v>0</v>
      </c>
      <c r="AW80" s="180"/>
      <c r="AX80" s="180">
        <v>0</v>
      </c>
      <c r="AY80" s="180">
        <v>0</v>
      </c>
      <c r="AZ80" s="180"/>
      <c r="BA80" s="180">
        <v>0</v>
      </c>
      <c r="BB80" s="180">
        <v>0</v>
      </c>
      <c r="BC80" s="180"/>
      <c r="BD80" s="180">
        <v>0</v>
      </c>
      <c r="BE80" s="180">
        <v>0</v>
      </c>
      <c r="BF80" s="180"/>
      <c r="BG80" s="180"/>
      <c r="BH80" s="180">
        <v>0</v>
      </c>
      <c r="BI80" s="180">
        <v>15000</v>
      </c>
      <c r="BJ80" s="180">
        <v>0</v>
      </c>
      <c r="BK80" s="180">
        <v>1515</v>
      </c>
      <c r="BL80" s="180">
        <v>0</v>
      </c>
      <c r="BM80" s="180">
        <v>0</v>
      </c>
      <c r="BN80" s="180">
        <v>18367</v>
      </c>
      <c r="BO80" s="180">
        <v>0</v>
      </c>
      <c r="BP80" s="180">
        <v>0</v>
      </c>
      <c r="BQ80" s="180">
        <v>0</v>
      </c>
      <c r="BR80" s="180">
        <v>33023</v>
      </c>
      <c r="BS80" s="180">
        <v>0</v>
      </c>
      <c r="BT80" s="180">
        <v>0</v>
      </c>
      <c r="BU80" s="180">
        <v>0</v>
      </c>
      <c r="BV80" s="180">
        <v>0</v>
      </c>
      <c r="BW80" s="180">
        <v>0</v>
      </c>
      <c r="BX80" s="180"/>
      <c r="BY80" s="180">
        <v>0</v>
      </c>
      <c r="BZ80" s="180">
        <v>1119671</v>
      </c>
      <c r="CA80" s="180">
        <v>0</v>
      </c>
      <c r="CB80" s="180"/>
      <c r="CC80" s="180"/>
      <c r="CD80" s="180"/>
      <c r="CE80" s="180"/>
      <c r="CF80" s="180"/>
      <c r="CG80" s="180"/>
      <c r="CH80" s="180"/>
      <c r="CI80" s="180"/>
      <c r="CJ80" s="180"/>
      <c r="CK80" s="180"/>
      <c r="CL80" s="180"/>
      <c r="CM80" s="180"/>
      <c r="CN80" s="180"/>
      <c r="CO80" s="180"/>
      <c r="CP80" s="180"/>
      <c r="CQ80" s="180"/>
      <c r="CR80" s="180"/>
      <c r="CS80" s="180"/>
      <c r="CT80" s="180"/>
      <c r="CU80" s="180"/>
    </row>
    <row r="81" spans="1:99" s="562" customFormat="1" x14ac:dyDescent="0.3">
      <c r="A81" s="561">
        <v>369</v>
      </c>
      <c r="B81" s="562" t="s">
        <v>196</v>
      </c>
      <c r="D81" s="562">
        <v>908954</v>
      </c>
      <c r="E81" s="562">
        <v>6476061</v>
      </c>
      <c r="G81" s="562">
        <v>6481770</v>
      </c>
      <c r="H81" s="562">
        <v>1575288</v>
      </c>
      <c r="I81" s="562">
        <v>187623</v>
      </c>
      <c r="J81" s="562">
        <v>921403</v>
      </c>
      <c r="K81" s="562">
        <v>905553</v>
      </c>
      <c r="L81" s="562">
        <v>6101528</v>
      </c>
      <c r="N81" s="562">
        <v>461872</v>
      </c>
      <c r="P81" s="562">
        <v>12205394</v>
      </c>
      <c r="Q81" s="562">
        <v>4448458</v>
      </c>
      <c r="R81" s="562">
        <v>3814602</v>
      </c>
      <c r="S81" s="562">
        <v>987083</v>
      </c>
      <c r="T81" s="562">
        <v>85481</v>
      </c>
      <c r="U81" s="562">
        <v>1391310</v>
      </c>
      <c r="V81" s="562">
        <v>19248</v>
      </c>
      <c r="W81" s="562">
        <v>2019289</v>
      </c>
      <c r="X81" s="562">
        <v>9786170</v>
      </c>
      <c r="Y81" s="562">
        <v>1940304</v>
      </c>
      <c r="Z81" s="562">
        <v>253369</v>
      </c>
      <c r="AA81" s="562">
        <v>2820096</v>
      </c>
      <c r="AB81" s="562">
        <v>494215</v>
      </c>
      <c r="AC81" s="562">
        <v>15593</v>
      </c>
      <c r="AD81" s="562">
        <v>224711</v>
      </c>
      <c r="AE81" s="562">
        <v>1803799</v>
      </c>
      <c r="AF81" s="562">
        <v>99472</v>
      </c>
      <c r="AG81" s="562">
        <v>31785</v>
      </c>
      <c r="AH81" s="562">
        <v>0</v>
      </c>
      <c r="AI81" s="562">
        <v>1318153</v>
      </c>
      <c r="AJ81" s="562">
        <v>2336609</v>
      </c>
      <c r="AK81" s="562">
        <v>374102</v>
      </c>
      <c r="AL81" s="562">
        <v>15593</v>
      </c>
      <c r="AM81" s="562">
        <v>11028582</v>
      </c>
      <c r="AN81" s="562">
        <v>3230212</v>
      </c>
      <c r="AP81" s="562">
        <v>2426447</v>
      </c>
      <c r="AQ81" s="562">
        <v>10201259</v>
      </c>
      <c r="AU81" s="562">
        <v>6493338</v>
      </c>
      <c r="AV81" s="562">
        <v>82444</v>
      </c>
      <c r="AX81" s="562">
        <v>2164220</v>
      </c>
      <c r="AY81" s="562">
        <v>677264</v>
      </c>
      <c r="BA81" s="562">
        <v>69844</v>
      </c>
      <c r="BB81" s="562">
        <v>989594</v>
      </c>
      <c r="BD81" s="562">
        <v>43987</v>
      </c>
      <c r="BE81" s="562">
        <v>3359635</v>
      </c>
      <c r="BH81" s="562">
        <v>1413675</v>
      </c>
      <c r="BI81" s="562">
        <v>312861</v>
      </c>
      <c r="BJ81" s="562">
        <v>395296</v>
      </c>
      <c r="BK81" s="562">
        <v>2286417</v>
      </c>
      <c r="BL81" s="562">
        <v>2756826</v>
      </c>
      <c r="BM81" s="562">
        <v>48272</v>
      </c>
      <c r="BN81" s="562">
        <v>1806410</v>
      </c>
      <c r="BO81" s="562">
        <v>1130204</v>
      </c>
      <c r="BP81" s="562">
        <v>471640</v>
      </c>
      <c r="BQ81" s="562">
        <v>773433</v>
      </c>
      <c r="BR81" s="562">
        <v>815697</v>
      </c>
      <c r="BS81" s="562">
        <v>8304468</v>
      </c>
      <c r="BT81" s="562">
        <v>1019128</v>
      </c>
      <c r="BU81" s="562">
        <v>503554</v>
      </c>
      <c r="BV81" s="562">
        <v>305867</v>
      </c>
      <c r="BW81" s="562">
        <v>522114</v>
      </c>
      <c r="BY81" s="562">
        <v>36584</v>
      </c>
      <c r="BZ81" s="562">
        <v>8914973</v>
      </c>
      <c r="CA81" s="562">
        <v>26317</v>
      </c>
    </row>
    <row r="82" spans="1:99" s="562" customFormat="1" x14ac:dyDescent="0.3">
      <c r="A82" s="561">
        <v>370</v>
      </c>
      <c r="B82" s="562" t="s">
        <v>198</v>
      </c>
      <c r="D82" s="562">
        <v>153376</v>
      </c>
      <c r="E82" s="562">
        <v>1519015</v>
      </c>
      <c r="G82" s="562">
        <v>3484545</v>
      </c>
      <c r="H82" s="562">
        <v>170940</v>
      </c>
      <c r="I82" s="562">
        <v>0</v>
      </c>
      <c r="J82" s="562">
        <v>0</v>
      </c>
      <c r="K82" s="562">
        <v>128210</v>
      </c>
      <c r="L82" s="562">
        <v>14421899</v>
      </c>
      <c r="N82" s="562">
        <v>27242</v>
      </c>
      <c r="P82" s="562">
        <v>4592627</v>
      </c>
      <c r="Q82" s="562">
        <v>3408639</v>
      </c>
      <c r="R82" s="562">
        <v>503714</v>
      </c>
      <c r="S82" s="562">
        <v>851894</v>
      </c>
      <c r="T82" s="562">
        <v>0</v>
      </c>
      <c r="U82" s="562">
        <v>1193965</v>
      </c>
      <c r="V82" s="562">
        <v>0</v>
      </c>
      <c r="W82" s="562">
        <v>2071011</v>
      </c>
      <c r="X82" s="562">
        <v>7069640</v>
      </c>
      <c r="Y82" s="562">
        <v>714221</v>
      </c>
      <c r="Z82" s="562">
        <v>110912</v>
      </c>
      <c r="AA82" s="562">
        <v>349561</v>
      </c>
      <c r="AB82" s="562">
        <v>0</v>
      </c>
      <c r="AC82" s="562">
        <v>0</v>
      </c>
      <c r="AD82" s="562">
        <v>23761</v>
      </c>
      <c r="AE82" s="562">
        <v>51315</v>
      </c>
      <c r="AF82" s="562">
        <v>0</v>
      </c>
      <c r="AG82" s="562">
        <v>0</v>
      </c>
      <c r="AH82" s="562">
        <v>0</v>
      </c>
      <c r="AI82" s="562">
        <v>48037</v>
      </c>
      <c r="AJ82" s="562">
        <v>634058</v>
      </c>
      <c r="AK82" s="562">
        <v>0</v>
      </c>
      <c r="AL82" s="562">
        <v>0</v>
      </c>
      <c r="AM82" s="562">
        <v>1980234</v>
      </c>
      <c r="AN82" s="562">
        <v>129684</v>
      </c>
      <c r="AP82" s="562">
        <v>236000</v>
      </c>
      <c r="AQ82" s="562">
        <v>1798043</v>
      </c>
      <c r="AU82" s="562">
        <v>427735</v>
      </c>
      <c r="AV82" s="562">
        <v>0</v>
      </c>
      <c r="AX82" s="562">
        <v>1607417</v>
      </c>
      <c r="AY82" s="562">
        <v>121295</v>
      </c>
      <c r="BA82" s="562">
        <v>0</v>
      </c>
      <c r="BB82" s="562">
        <v>0</v>
      </c>
      <c r="BD82" s="562">
        <v>0</v>
      </c>
      <c r="BE82" s="562">
        <v>1533868</v>
      </c>
      <c r="BH82" s="562">
        <v>17727</v>
      </c>
      <c r="BI82" s="562">
        <v>4548</v>
      </c>
      <c r="BJ82" s="562">
        <v>24496</v>
      </c>
      <c r="BK82" s="562">
        <v>1702879</v>
      </c>
      <c r="BL82" s="562">
        <v>0</v>
      </c>
      <c r="BM82" s="562">
        <v>0</v>
      </c>
      <c r="BN82" s="562">
        <v>331455</v>
      </c>
      <c r="BO82" s="562">
        <v>0</v>
      </c>
      <c r="BP82" s="562">
        <v>0</v>
      </c>
      <c r="BQ82" s="562">
        <v>0</v>
      </c>
      <c r="BR82" s="562">
        <v>102808</v>
      </c>
      <c r="BS82" s="562">
        <v>1124529</v>
      </c>
      <c r="BT82" s="562">
        <v>60867</v>
      </c>
      <c r="BU82" s="562">
        <v>44574</v>
      </c>
      <c r="BV82" s="562">
        <v>63500</v>
      </c>
      <c r="BW82" s="562">
        <v>0</v>
      </c>
      <c r="BY82" s="562">
        <v>0</v>
      </c>
      <c r="BZ82" s="562">
        <v>1594324</v>
      </c>
      <c r="CA82" s="562">
        <v>2976</v>
      </c>
    </row>
    <row r="83" spans="1:99" s="562" customFormat="1" x14ac:dyDescent="0.3">
      <c r="A83" s="561">
        <v>371</v>
      </c>
      <c r="B83" s="562" t="s">
        <v>248</v>
      </c>
      <c r="D83" s="562">
        <v>0</v>
      </c>
      <c r="E83" s="562">
        <v>2863398</v>
      </c>
      <c r="G83" s="562">
        <v>0</v>
      </c>
      <c r="H83" s="562">
        <v>0</v>
      </c>
      <c r="I83" s="562">
        <v>0</v>
      </c>
      <c r="J83" s="562">
        <v>0</v>
      </c>
      <c r="K83" s="562">
        <v>0</v>
      </c>
      <c r="L83" s="562">
        <v>0</v>
      </c>
      <c r="N83" s="562">
        <v>0</v>
      </c>
      <c r="P83" s="562">
        <v>0</v>
      </c>
      <c r="Q83" s="562">
        <v>0</v>
      </c>
      <c r="R83" s="562">
        <v>0</v>
      </c>
      <c r="S83" s="562">
        <v>0</v>
      </c>
      <c r="T83" s="562">
        <v>0</v>
      </c>
      <c r="U83" s="562">
        <v>0</v>
      </c>
      <c r="V83" s="562">
        <v>0</v>
      </c>
      <c r="W83" s="562">
        <v>0</v>
      </c>
      <c r="X83" s="562">
        <v>0</v>
      </c>
      <c r="Y83" s="562">
        <v>0</v>
      </c>
      <c r="Z83" s="562">
        <v>0</v>
      </c>
      <c r="AA83" s="562">
        <v>0</v>
      </c>
      <c r="AB83" s="562">
        <v>0</v>
      </c>
      <c r="AC83" s="562">
        <v>0</v>
      </c>
      <c r="AD83" s="562">
        <v>0</v>
      </c>
      <c r="AE83" s="562">
        <v>0</v>
      </c>
      <c r="AF83" s="562">
        <v>0</v>
      </c>
      <c r="AG83" s="562">
        <v>0</v>
      </c>
      <c r="AH83" s="562">
        <v>0</v>
      </c>
      <c r="AI83" s="562">
        <v>0</v>
      </c>
      <c r="AJ83" s="562">
        <v>0</v>
      </c>
      <c r="AK83" s="562">
        <v>0</v>
      </c>
      <c r="AL83" s="562">
        <v>0</v>
      </c>
      <c r="AM83" s="562">
        <v>0</v>
      </c>
      <c r="AN83" s="562">
        <v>0</v>
      </c>
      <c r="AP83" s="562">
        <v>0</v>
      </c>
      <c r="AQ83" s="562">
        <v>0</v>
      </c>
      <c r="AU83" s="562">
        <v>0</v>
      </c>
      <c r="AV83" s="562">
        <v>0</v>
      </c>
      <c r="AX83" s="562">
        <v>0</v>
      </c>
      <c r="AY83" s="562">
        <v>0</v>
      </c>
      <c r="BA83" s="562">
        <v>0</v>
      </c>
      <c r="BB83" s="562">
        <v>0</v>
      </c>
      <c r="BD83" s="562">
        <v>0</v>
      </c>
      <c r="BE83" s="562">
        <v>0</v>
      </c>
      <c r="BH83" s="562">
        <v>0</v>
      </c>
      <c r="BI83" s="562">
        <v>0</v>
      </c>
      <c r="BJ83" s="562">
        <v>0</v>
      </c>
      <c r="BK83" s="562">
        <v>0</v>
      </c>
      <c r="BL83" s="562">
        <v>0</v>
      </c>
      <c r="BM83" s="562">
        <v>0</v>
      </c>
      <c r="BN83" s="562">
        <v>0</v>
      </c>
      <c r="BO83" s="562">
        <v>0</v>
      </c>
      <c r="BP83" s="562">
        <v>0</v>
      </c>
      <c r="BQ83" s="562">
        <v>0</v>
      </c>
      <c r="BR83" s="562">
        <v>0</v>
      </c>
      <c r="BS83" s="562">
        <v>0</v>
      </c>
      <c r="BT83" s="562">
        <v>0</v>
      </c>
      <c r="BU83" s="562">
        <v>0</v>
      </c>
      <c r="BV83" s="562">
        <v>0</v>
      </c>
      <c r="BW83" s="562">
        <v>0</v>
      </c>
      <c r="BY83" s="562">
        <v>0</v>
      </c>
      <c r="BZ83" s="562">
        <v>0</v>
      </c>
      <c r="CA83" s="562">
        <v>0</v>
      </c>
    </row>
    <row r="84" spans="1:99" x14ac:dyDescent="0.3">
      <c r="A84" s="155">
        <v>373</v>
      </c>
      <c r="B84" s="180" t="s">
        <v>304</v>
      </c>
      <c r="C84" s="180"/>
      <c r="D84" s="180">
        <v>1403127</v>
      </c>
      <c r="E84" s="180">
        <v>20510990</v>
      </c>
      <c r="F84" s="180"/>
      <c r="G84" s="180">
        <v>112569180</v>
      </c>
      <c r="H84" s="180">
        <v>7004349</v>
      </c>
      <c r="I84" s="180">
        <v>120081</v>
      </c>
      <c r="J84" s="180">
        <v>1094968</v>
      </c>
      <c r="K84" s="180">
        <v>1647097</v>
      </c>
      <c r="L84" s="180">
        <v>110341912</v>
      </c>
      <c r="M84" s="180"/>
      <c r="N84" s="180">
        <v>1158242</v>
      </c>
      <c r="O84" s="180"/>
      <c r="P84" s="180">
        <v>85395417</v>
      </c>
      <c r="Q84" s="180">
        <v>28891050</v>
      </c>
      <c r="R84" s="180">
        <v>6523786</v>
      </c>
      <c r="S84" s="180">
        <v>23535314</v>
      </c>
      <c r="T84" s="180">
        <v>353265</v>
      </c>
      <c r="U84" s="180">
        <v>30037617</v>
      </c>
      <c r="V84" s="180">
        <v>9535</v>
      </c>
      <c r="W84" s="180">
        <v>26205411</v>
      </c>
      <c r="X84" s="180">
        <v>35251052</v>
      </c>
      <c r="Y84" s="180">
        <v>6254751</v>
      </c>
      <c r="Z84" s="180">
        <v>15823683</v>
      </c>
      <c r="AA84" s="180">
        <v>6635585</v>
      </c>
      <c r="AB84" s="180">
        <v>599103</v>
      </c>
      <c r="AC84" s="180">
        <v>620977</v>
      </c>
      <c r="AD84" s="180">
        <v>2423011</v>
      </c>
      <c r="AE84" s="180">
        <v>4021599</v>
      </c>
      <c r="AF84" s="180">
        <v>211280</v>
      </c>
      <c r="AG84" s="180">
        <v>94308</v>
      </c>
      <c r="AH84" s="180">
        <v>905299</v>
      </c>
      <c r="AI84" s="180">
        <v>1568773</v>
      </c>
      <c r="AJ84" s="180">
        <v>8802147</v>
      </c>
      <c r="AK84" s="180">
        <v>1038516</v>
      </c>
      <c r="AL84" s="180">
        <v>19666</v>
      </c>
      <c r="AM84" s="180">
        <v>53692376</v>
      </c>
      <c r="AN84" s="180">
        <v>60304298</v>
      </c>
      <c r="AO84" s="180"/>
      <c r="AP84" s="180">
        <v>5207696</v>
      </c>
      <c r="AQ84" s="180">
        <v>71032092</v>
      </c>
      <c r="AR84" s="180"/>
      <c r="AS84" s="180"/>
      <c r="AT84" s="180"/>
      <c r="AU84" s="180">
        <v>29573730</v>
      </c>
      <c r="AV84" s="180">
        <v>166196</v>
      </c>
      <c r="AW84" s="180"/>
      <c r="AX84" s="180">
        <v>7180788</v>
      </c>
      <c r="AY84" s="180">
        <v>6244674</v>
      </c>
      <c r="AZ84" s="180"/>
      <c r="BA84" s="180">
        <v>5342</v>
      </c>
      <c r="BB84" s="180">
        <v>4088791</v>
      </c>
      <c r="BC84" s="180"/>
      <c r="BD84" s="180">
        <v>90738</v>
      </c>
      <c r="BE84" s="180">
        <v>28524134</v>
      </c>
      <c r="BF84" s="180"/>
      <c r="BG84" s="180"/>
      <c r="BH84" s="180">
        <v>4223079</v>
      </c>
      <c r="BI84" s="180">
        <v>4365996</v>
      </c>
      <c r="BJ84" s="180">
        <v>809255</v>
      </c>
      <c r="BK84" s="180">
        <v>10665127</v>
      </c>
      <c r="BL84" s="180">
        <v>5206974</v>
      </c>
      <c r="BM84" s="180">
        <v>121845</v>
      </c>
      <c r="BN84" s="180">
        <v>11153501</v>
      </c>
      <c r="BO84" s="180">
        <v>6303893</v>
      </c>
      <c r="BP84" s="180">
        <v>842273</v>
      </c>
      <c r="BQ84" s="180">
        <v>2244132</v>
      </c>
      <c r="BR84" s="180">
        <v>690031</v>
      </c>
      <c r="BS84" s="180">
        <v>123324660</v>
      </c>
      <c r="BT84" s="180">
        <v>3302793</v>
      </c>
      <c r="BU84" s="180">
        <v>4151430</v>
      </c>
      <c r="BV84" s="180">
        <v>875630</v>
      </c>
      <c r="BW84" s="180">
        <v>1114487</v>
      </c>
      <c r="BX84" s="180"/>
      <c r="BY84" s="180">
        <v>64430</v>
      </c>
      <c r="BZ84" s="180">
        <v>20666786</v>
      </c>
      <c r="CA84" s="180">
        <v>93679</v>
      </c>
      <c r="CB84" s="180"/>
      <c r="CC84" s="180"/>
      <c r="CD84" s="180"/>
      <c r="CE84" s="180"/>
      <c r="CF84" s="180"/>
      <c r="CG84" s="180"/>
      <c r="CH84" s="180"/>
      <c r="CI84" s="180"/>
      <c r="CJ84" s="180"/>
      <c r="CK84" s="180"/>
      <c r="CL84" s="180"/>
      <c r="CM84" s="180"/>
      <c r="CN84" s="180"/>
      <c r="CO84" s="180"/>
      <c r="CP84" s="180"/>
      <c r="CQ84" s="180"/>
      <c r="CR84" s="180"/>
      <c r="CS84" s="180"/>
      <c r="CT84" s="180"/>
      <c r="CU84" s="180"/>
    </row>
    <row r="85" spans="1:99" x14ac:dyDescent="0.3">
      <c r="A85" s="155">
        <v>375</v>
      </c>
      <c r="B85" s="180" t="s">
        <v>213</v>
      </c>
      <c r="C85" s="180"/>
      <c r="D85" s="180">
        <v>0</v>
      </c>
      <c r="E85" s="180">
        <v>0</v>
      </c>
      <c r="F85" s="180"/>
      <c r="G85" s="180">
        <v>47964982</v>
      </c>
      <c r="H85" s="180">
        <v>10926699</v>
      </c>
      <c r="I85" s="180">
        <v>-91816</v>
      </c>
      <c r="J85" s="180">
        <v>6502326</v>
      </c>
      <c r="K85" s="180">
        <v>688759</v>
      </c>
      <c r="L85" s="180">
        <v>8167414</v>
      </c>
      <c r="M85" s="180"/>
      <c r="N85" s="180">
        <v>1068524</v>
      </c>
      <c r="O85" s="180"/>
      <c r="P85" s="180">
        <v>0</v>
      </c>
      <c r="Q85" s="180">
        <v>8246309</v>
      </c>
      <c r="R85" s="180">
        <v>7699842</v>
      </c>
      <c r="S85" s="180">
        <v>5888853</v>
      </c>
      <c r="T85" s="180">
        <v>-59689</v>
      </c>
      <c r="U85" s="180">
        <v>13192876</v>
      </c>
      <c r="V85" s="180">
        <v>0</v>
      </c>
      <c r="W85" s="180">
        <v>0</v>
      </c>
      <c r="X85" s="180">
        <v>0</v>
      </c>
      <c r="Y85" s="180">
        <v>2857885</v>
      </c>
      <c r="Z85" s="180">
        <v>1227034</v>
      </c>
      <c r="AA85" s="180">
        <v>1267843</v>
      </c>
      <c r="AB85" s="180">
        <v>0</v>
      </c>
      <c r="AC85" s="180">
        <v>102529</v>
      </c>
      <c r="AD85" s="180">
        <v>2361263</v>
      </c>
      <c r="AE85" s="180">
        <v>2506275</v>
      </c>
      <c r="AF85" s="180">
        <v>50430</v>
      </c>
      <c r="AG85" s="180">
        <v>0</v>
      </c>
      <c r="AH85" s="180">
        <v>0</v>
      </c>
      <c r="AI85" s="180">
        <v>0</v>
      </c>
      <c r="AJ85" s="180">
        <v>1729286</v>
      </c>
      <c r="AK85" s="180">
        <v>108177</v>
      </c>
      <c r="AL85" s="180">
        <v>0</v>
      </c>
      <c r="AM85" s="180">
        <v>0</v>
      </c>
      <c r="AN85" s="180">
        <v>10840064</v>
      </c>
      <c r="AO85" s="180"/>
      <c r="AP85" s="180">
        <v>0</v>
      </c>
      <c r="AQ85" s="180">
        <v>10707412</v>
      </c>
      <c r="AR85" s="180"/>
      <c r="AS85" s="180"/>
      <c r="AT85" s="180"/>
      <c r="AU85" s="180">
        <v>5531322</v>
      </c>
      <c r="AV85" s="180">
        <v>1377675</v>
      </c>
      <c r="AW85" s="180"/>
      <c r="AX85" s="180">
        <v>2983752</v>
      </c>
      <c r="AY85" s="180">
        <v>1428575</v>
      </c>
      <c r="AZ85" s="180"/>
      <c r="BA85" s="180">
        <v>-32512</v>
      </c>
      <c r="BB85" s="180">
        <v>-98540</v>
      </c>
      <c r="BC85" s="180"/>
      <c r="BD85" s="180">
        <v>0</v>
      </c>
      <c r="BE85" s="180">
        <v>2853918</v>
      </c>
      <c r="BF85" s="180"/>
      <c r="BG85" s="180"/>
      <c r="BH85" s="180">
        <v>2066561</v>
      </c>
      <c r="BI85" s="180">
        <v>2526272</v>
      </c>
      <c r="BJ85" s="180">
        <v>-37948</v>
      </c>
      <c r="BK85" s="180">
        <v>5834434</v>
      </c>
      <c r="BL85" s="180">
        <v>2733719</v>
      </c>
      <c r="BM85" s="180">
        <v>0</v>
      </c>
      <c r="BN85" s="180">
        <v>3098147</v>
      </c>
      <c r="BO85" s="180">
        <v>4012638</v>
      </c>
      <c r="BP85" s="180">
        <v>1559309</v>
      </c>
      <c r="BQ85" s="180">
        <v>2960436</v>
      </c>
      <c r="BR85" s="180">
        <v>0</v>
      </c>
      <c r="BS85" s="180">
        <v>0</v>
      </c>
      <c r="BT85" s="180">
        <v>1076701</v>
      </c>
      <c r="BU85" s="180">
        <v>652689</v>
      </c>
      <c r="BV85" s="180">
        <v>686659</v>
      </c>
      <c r="BW85" s="180">
        <v>1394394</v>
      </c>
      <c r="BX85" s="180"/>
      <c r="BY85" s="180">
        <v>0</v>
      </c>
      <c r="BZ85" s="180">
        <v>9809774</v>
      </c>
      <c r="CA85" s="180">
        <v>0</v>
      </c>
      <c r="CB85" s="180"/>
      <c r="CC85" s="180"/>
      <c r="CD85" s="180"/>
      <c r="CE85" s="180"/>
      <c r="CF85" s="180"/>
      <c r="CG85" s="180"/>
      <c r="CH85" s="180"/>
      <c r="CI85" s="180"/>
      <c r="CJ85" s="180"/>
      <c r="CK85" s="180"/>
      <c r="CL85" s="180"/>
      <c r="CM85" s="180"/>
      <c r="CN85" s="180"/>
      <c r="CO85" s="180"/>
      <c r="CP85" s="180"/>
      <c r="CQ85" s="180"/>
      <c r="CR85" s="180"/>
      <c r="CS85" s="180"/>
      <c r="CT85" s="180"/>
      <c r="CU85" s="180"/>
    </row>
    <row r="86" spans="1:99" x14ac:dyDescent="0.3">
      <c r="A86" s="155">
        <v>376</v>
      </c>
      <c r="B86" s="180" t="s">
        <v>100</v>
      </c>
      <c r="C86" s="180"/>
      <c r="D86" s="180">
        <v>0</v>
      </c>
      <c r="E86" s="180">
        <v>0</v>
      </c>
      <c r="F86" s="180"/>
      <c r="G86" s="180">
        <v>0</v>
      </c>
      <c r="H86" s="180">
        <v>0</v>
      </c>
      <c r="I86" s="180">
        <v>-348</v>
      </c>
      <c r="J86" s="180">
        <v>0</v>
      </c>
      <c r="K86" s="180">
        <v>0</v>
      </c>
      <c r="L86" s="180">
        <v>951105</v>
      </c>
      <c r="M86" s="180"/>
      <c r="N86" s="180">
        <v>0</v>
      </c>
      <c r="O86" s="180"/>
      <c r="P86" s="180">
        <v>0</v>
      </c>
      <c r="Q86" s="180">
        <v>0</v>
      </c>
      <c r="R86" s="180">
        <v>0</v>
      </c>
      <c r="S86" s="180">
        <v>0</v>
      </c>
      <c r="T86" s="180">
        <v>0</v>
      </c>
      <c r="U86" s="180">
        <v>0</v>
      </c>
      <c r="V86" s="180">
        <v>0</v>
      </c>
      <c r="W86" s="180">
        <v>0</v>
      </c>
      <c r="X86" s="180">
        <v>0</v>
      </c>
      <c r="Y86" s="180">
        <v>0</v>
      </c>
      <c r="Z86" s="180">
        <v>0</v>
      </c>
      <c r="AA86" s="180">
        <v>0</v>
      </c>
      <c r="AB86" s="180">
        <v>0</v>
      </c>
      <c r="AC86" s="180">
        <v>30907</v>
      </c>
      <c r="AD86" s="180">
        <v>0</v>
      </c>
      <c r="AE86" s="180">
        <v>65588</v>
      </c>
      <c r="AF86" s="180">
        <v>0</v>
      </c>
      <c r="AG86" s="180">
        <v>1</v>
      </c>
      <c r="AH86" s="180">
        <v>0</v>
      </c>
      <c r="AI86" s="180">
        <v>-1155</v>
      </c>
      <c r="AJ86" s="180">
        <v>399848</v>
      </c>
      <c r="AK86" s="180">
        <v>0</v>
      </c>
      <c r="AL86" s="180">
        <v>0</v>
      </c>
      <c r="AM86" s="180">
        <v>0</v>
      </c>
      <c r="AN86" s="180">
        <v>3227</v>
      </c>
      <c r="AO86" s="180"/>
      <c r="AP86" s="180">
        <v>0</v>
      </c>
      <c r="AQ86" s="180">
        <v>-2090365</v>
      </c>
      <c r="AR86" s="180"/>
      <c r="AS86" s="180"/>
      <c r="AT86" s="180"/>
      <c r="AU86" s="180">
        <v>0</v>
      </c>
      <c r="AV86" s="180">
        <v>0</v>
      </c>
      <c r="AW86" s="180"/>
      <c r="AX86" s="180">
        <v>0</v>
      </c>
      <c r="AY86" s="180">
        <v>2</v>
      </c>
      <c r="AZ86" s="180"/>
      <c r="BA86" s="180">
        <v>0</v>
      </c>
      <c r="BB86" s="180">
        <v>0</v>
      </c>
      <c r="BC86" s="180"/>
      <c r="BD86" s="180">
        <v>0</v>
      </c>
      <c r="BE86" s="180">
        <v>0</v>
      </c>
      <c r="BF86" s="180"/>
      <c r="BG86" s="180"/>
      <c r="BH86" s="180">
        <v>0</v>
      </c>
      <c r="BI86" s="180">
        <v>0</v>
      </c>
      <c r="BJ86" s="180">
        <v>0</v>
      </c>
      <c r="BK86" s="180">
        <v>0</v>
      </c>
      <c r="BL86" s="180">
        <v>0</v>
      </c>
      <c r="BM86" s="180">
        <v>0</v>
      </c>
      <c r="BN86" s="180">
        <v>0</v>
      </c>
      <c r="BO86" s="180">
        <v>0</v>
      </c>
      <c r="BP86" s="180">
        <v>-1</v>
      </c>
      <c r="BQ86" s="180">
        <v>1</v>
      </c>
      <c r="BR86" s="180">
        <v>0</v>
      </c>
      <c r="BS86" s="180">
        <v>-77263</v>
      </c>
      <c r="BT86" s="180">
        <v>0</v>
      </c>
      <c r="BU86" s="180">
        <v>0</v>
      </c>
      <c r="BV86" s="180">
        <v>0</v>
      </c>
      <c r="BW86" s="180">
        <v>0</v>
      </c>
      <c r="BX86" s="180"/>
      <c r="BY86" s="180">
        <v>0</v>
      </c>
      <c r="BZ86" s="180">
        <v>0</v>
      </c>
      <c r="CA86" s="180">
        <v>0</v>
      </c>
      <c r="CB86" s="180"/>
      <c r="CC86" s="180"/>
      <c r="CD86" s="180"/>
      <c r="CE86" s="180"/>
      <c r="CF86" s="180"/>
      <c r="CG86" s="180"/>
      <c r="CH86" s="180"/>
      <c r="CI86" s="180"/>
      <c r="CJ86" s="180"/>
      <c r="CK86" s="180"/>
      <c r="CL86" s="180"/>
      <c r="CM86" s="180"/>
      <c r="CN86" s="180"/>
      <c r="CO86" s="180"/>
      <c r="CP86" s="180"/>
      <c r="CQ86" s="180"/>
      <c r="CR86" s="180"/>
      <c r="CS86" s="180"/>
      <c r="CT86" s="180"/>
      <c r="CU86" s="180"/>
    </row>
    <row r="87" spans="1:99" x14ac:dyDescent="0.3">
      <c r="A87" s="155">
        <v>377</v>
      </c>
      <c r="B87" s="180" t="s">
        <v>101</v>
      </c>
      <c r="C87" s="180"/>
      <c r="D87" s="180">
        <v>0</v>
      </c>
      <c r="E87" s="180">
        <v>0</v>
      </c>
      <c r="F87" s="180"/>
      <c r="G87" s="180">
        <v>0</v>
      </c>
      <c r="H87" s="180">
        <v>0</v>
      </c>
      <c r="I87" s="180">
        <v>0</v>
      </c>
      <c r="J87" s="180">
        <v>0</v>
      </c>
      <c r="K87" s="180">
        <v>0</v>
      </c>
      <c r="L87" s="180">
        <v>153720</v>
      </c>
      <c r="M87" s="180"/>
      <c r="N87" s="180">
        <v>0</v>
      </c>
      <c r="O87" s="180"/>
      <c r="P87" s="180">
        <v>0</v>
      </c>
      <c r="Q87" s="180">
        <v>0</v>
      </c>
      <c r="R87" s="180">
        <v>0</v>
      </c>
      <c r="S87" s="180">
        <v>0</v>
      </c>
      <c r="T87" s="180">
        <v>0</v>
      </c>
      <c r="U87" s="180">
        <v>0</v>
      </c>
      <c r="V87" s="180">
        <v>0</v>
      </c>
      <c r="W87" s="180">
        <v>0</v>
      </c>
      <c r="X87" s="180">
        <v>0</v>
      </c>
      <c r="Y87" s="180">
        <v>-1</v>
      </c>
      <c r="Z87" s="180">
        <v>24096</v>
      </c>
      <c r="AA87" s="180">
        <v>0</v>
      </c>
      <c r="AB87" s="180">
        <v>0</v>
      </c>
      <c r="AC87" s="180">
        <v>32343</v>
      </c>
      <c r="AD87" s="180">
        <v>124562</v>
      </c>
      <c r="AE87" s="180">
        <v>0</v>
      </c>
      <c r="AF87" s="180">
        <v>0</v>
      </c>
      <c r="AG87" s="180">
        <v>0</v>
      </c>
      <c r="AH87" s="180">
        <v>0</v>
      </c>
      <c r="AI87" s="180">
        <v>0</v>
      </c>
      <c r="AJ87" s="180">
        <v>202134</v>
      </c>
      <c r="AK87" s="180">
        <v>0</v>
      </c>
      <c r="AL87" s="180">
        <v>0</v>
      </c>
      <c r="AM87" s="180">
        <v>0</v>
      </c>
      <c r="AN87" s="180">
        <v>-1010301</v>
      </c>
      <c r="AO87" s="180"/>
      <c r="AP87" s="180">
        <v>0</v>
      </c>
      <c r="AQ87" s="180">
        <v>2090365</v>
      </c>
      <c r="AR87" s="180"/>
      <c r="AS87" s="180"/>
      <c r="AT87" s="180"/>
      <c r="AU87" s="180">
        <v>0</v>
      </c>
      <c r="AV87" s="180">
        <v>0</v>
      </c>
      <c r="AW87" s="180"/>
      <c r="AX87" s="180">
        <v>0</v>
      </c>
      <c r="AY87" s="180">
        <v>0</v>
      </c>
      <c r="AZ87" s="180"/>
      <c r="BA87" s="180">
        <v>0</v>
      </c>
      <c r="BB87" s="180">
        <v>0</v>
      </c>
      <c r="BC87" s="180"/>
      <c r="BD87" s="180">
        <v>0</v>
      </c>
      <c r="BE87" s="180">
        <v>0</v>
      </c>
      <c r="BF87" s="180"/>
      <c r="BG87" s="180"/>
      <c r="BH87" s="180">
        <v>0</v>
      </c>
      <c r="BI87" s="180">
        <v>0</v>
      </c>
      <c r="BJ87" s="180">
        <v>0</v>
      </c>
      <c r="BK87" s="180">
        <v>0</v>
      </c>
      <c r="BL87" s="180">
        <v>0</v>
      </c>
      <c r="BM87" s="180">
        <v>0</v>
      </c>
      <c r="BN87" s="180">
        <v>0</v>
      </c>
      <c r="BO87" s="180">
        <v>0</v>
      </c>
      <c r="BP87" s="180">
        <v>0</v>
      </c>
      <c r="BQ87" s="180">
        <v>1</v>
      </c>
      <c r="BR87" s="180">
        <v>0</v>
      </c>
      <c r="BS87" s="180">
        <v>0</v>
      </c>
      <c r="BT87" s="180">
        <v>0</v>
      </c>
      <c r="BU87" s="180">
        <v>1</v>
      </c>
      <c r="BV87" s="180">
        <v>0</v>
      </c>
      <c r="BW87" s="180">
        <v>0</v>
      </c>
      <c r="BX87" s="180"/>
      <c r="BY87" s="180">
        <v>0</v>
      </c>
      <c r="BZ87" s="180">
        <v>0</v>
      </c>
      <c r="CA87" s="180">
        <v>0</v>
      </c>
      <c r="CB87" s="180"/>
      <c r="CC87" s="180"/>
      <c r="CD87" s="180"/>
      <c r="CE87" s="180"/>
      <c r="CF87" s="180"/>
      <c r="CG87" s="180"/>
      <c r="CH87" s="180"/>
      <c r="CI87" s="180"/>
      <c r="CJ87" s="180"/>
      <c r="CK87" s="180"/>
      <c r="CL87" s="180"/>
      <c r="CM87" s="180"/>
      <c r="CN87" s="180"/>
      <c r="CO87" s="180"/>
      <c r="CP87" s="180"/>
      <c r="CQ87" s="180"/>
      <c r="CR87" s="180"/>
      <c r="CS87" s="180"/>
      <c r="CT87" s="180"/>
      <c r="CU87" s="180"/>
    </row>
    <row r="88" spans="1:99" x14ac:dyDescent="0.3">
      <c r="A88" s="155">
        <v>378</v>
      </c>
      <c r="B88" s="180" t="s">
        <v>102</v>
      </c>
      <c r="C88" s="180"/>
      <c r="D88" s="180">
        <v>0</v>
      </c>
      <c r="E88" s="180">
        <v>0</v>
      </c>
      <c r="F88" s="180"/>
      <c r="G88" s="180">
        <v>0</v>
      </c>
      <c r="H88" s="180">
        <v>0</v>
      </c>
      <c r="I88" s="180">
        <v>0</v>
      </c>
      <c r="J88" s="180">
        <v>0</v>
      </c>
      <c r="K88" s="180">
        <v>0</v>
      </c>
      <c r="L88" s="180">
        <v>0</v>
      </c>
      <c r="M88" s="180"/>
      <c r="N88" s="180">
        <v>0</v>
      </c>
      <c r="O88" s="180"/>
      <c r="P88" s="180">
        <v>0</v>
      </c>
      <c r="Q88" s="180">
        <v>0</v>
      </c>
      <c r="R88" s="180">
        <v>0</v>
      </c>
      <c r="S88" s="180">
        <v>0</v>
      </c>
      <c r="T88" s="180">
        <v>0</v>
      </c>
      <c r="U88" s="180">
        <v>0</v>
      </c>
      <c r="V88" s="180">
        <v>0</v>
      </c>
      <c r="W88" s="180">
        <v>0</v>
      </c>
      <c r="X88" s="180">
        <v>0</v>
      </c>
      <c r="Y88" s="180">
        <v>0</v>
      </c>
      <c r="Z88" s="180">
        <v>-59894</v>
      </c>
      <c r="AA88" s="180">
        <v>0</v>
      </c>
      <c r="AB88" s="180">
        <v>0</v>
      </c>
      <c r="AC88" s="180">
        <v>0</v>
      </c>
      <c r="AD88" s="180">
        <v>0</v>
      </c>
      <c r="AE88" s="180">
        <v>59786</v>
      </c>
      <c r="AF88" s="180">
        <v>0</v>
      </c>
      <c r="AG88" s="180">
        <v>0</v>
      </c>
      <c r="AH88" s="180">
        <v>0</v>
      </c>
      <c r="AI88" s="180">
        <v>0</v>
      </c>
      <c r="AJ88" s="180">
        <v>1077439</v>
      </c>
      <c r="AK88" s="180">
        <v>0</v>
      </c>
      <c r="AL88" s="180">
        <v>0</v>
      </c>
      <c r="AM88" s="180">
        <v>0</v>
      </c>
      <c r="AN88" s="180">
        <v>0</v>
      </c>
      <c r="AO88" s="180"/>
      <c r="AP88" s="180">
        <v>0</v>
      </c>
      <c r="AQ88" s="180">
        <v>0</v>
      </c>
      <c r="AR88" s="180"/>
      <c r="AS88" s="180"/>
      <c r="AT88" s="180"/>
      <c r="AU88" s="180">
        <v>1</v>
      </c>
      <c r="AV88" s="180">
        <v>0</v>
      </c>
      <c r="AW88" s="180"/>
      <c r="AX88" s="180">
        <v>0</v>
      </c>
      <c r="AY88" s="180">
        <v>0</v>
      </c>
      <c r="AZ88" s="180"/>
      <c r="BA88" s="180">
        <v>0</v>
      </c>
      <c r="BB88" s="180">
        <v>0</v>
      </c>
      <c r="BC88" s="180"/>
      <c r="BD88" s="180">
        <v>0</v>
      </c>
      <c r="BE88" s="180">
        <v>0</v>
      </c>
      <c r="BF88" s="180"/>
      <c r="BG88" s="180"/>
      <c r="BH88" s="180">
        <v>0</v>
      </c>
      <c r="BI88" s="180">
        <v>0</v>
      </c>
      <c r="BJ88" s="180">
        <v>0</v>
      </c>
      <c r="BK88" s="180">
        <v>0</v>
      </c>
      <c r="BL88" s="180">
        <v>0</v>
      </c>
      <c r="BM88" s="180">
        <v>0</v>
      </c>
      <c r="BN88" s="180">
        <v>0</v>
      </c>
      <c r="BO88" s="180">
        <v>0</v>
      </c>
      <c r="BP88" s="180">
        <v>0</v>
      </c>
      <c r="BQ88" s="180">
        <v>0</v>
      </c>
      <c r="BR88" s="180">
        <v>0</v>
      </c>
      <c r="BS88" s="180">
        <v>0</v>
      </c>
      <c r="BT88" s="180">
        <v>0</v>
      </c>
      <c r="BU88" s="180">
        <v>0</v>
      </c>
      <c r="BV88" s="180">
        <v>0</v>
      </c>
      <c r="BW88" s="180">
        <v>0</v>
      </c>
      <c r="BX88" s="180"/>
      <c r="BY88" s="180">
        <v>0</v>
      </c>
      <c r="BZ88" s="180">
        <v>0</v>
      </c>
      <c r="CA88" s="180">
        <v>0</v>
      </c>
      <c r="CB88" s="180"/>
      <c r="CC88" s="180"/>
      <c r="CD88" s="180"/>
      <c r="CE88" s="180"/>
      <c r="CF88" s="180"/>
      <c r="CG88" s="180"/>
      <c r="CH88" s="180"/>
      <c r="CI88" s="180"/>
      <c r="CJ88" s="180"/>
      <c r="CK88" s="180"/>
      <c r="CL88" s="180"/>
      <c r="CM88" s="180"/>
      <c r="CN88" s="180"/>
      <c r="CO88" s="180"/>
      <c r="CP88" s="180"/>
      <c r="CQ88" s="180"/>
      <c r="CR88" s="180"/>
      <c r="CS88" s="180"/>
      <c r="CT88" s="180"/>
      <c r="CU88" s="180"/>
    </row>
    <row r="89" spans="1:99" x14ac:dyDescent="0.3">
      <c r="A89" s="155">
        <v>379</v>
      </c>
      <c r="B89" s="180" t="s">
        <v>110</v>
      </c>
      <c r="C89" s="180"/>
      <c r="D89" s="180">
        <v>1064164</v>
      </c>
      <c r="E89" s="180">
        <v>28981262</v>
      </c>
      <c r="F89" s="180"/>
      <c r="G89" s="180">
        <v>42240469</v>
      </c>
      <c r="H89" s="180">
        <v>5647808</v>
      </c>
      <c r="I89" s="180">
        <v>656874</v>
      </c>
      <c r="J89" s="180">
        <v>2886108</v>
      </c>
      <c r="K89" s="180">
        <v>1808627</v>
      </c>
      <c r="L89" s="180">
        <v>76610220</v>
      </c>
      <c r="M89" s="180"/>
      <c r="N89" s="180">
        <v>977821</v>
      </c>
      <c r="O89" s="180"/>
      <c r="P89" s="180">
        <v>24672190</v>
      </c>
      <c r="Q89" s="180">
        <v>30294597</v>
      </c>
      <c r="R89" s="180">
        <v>3952967</v>
      </c>
      <c r="S89" s="180">
        <v>12718187</v>
      </c>
      <c r="T89" s="180">
        <v>510630</v>
      </c>
      <c r="U89" s="180">
        <v>15237461</v>
      </c>
      <c r="V89" s="180">
        <v>277109</v>
      </c>
      <c r="W89" s="180">
        <v>14842593</v>
      </c>
      <c r="X89" s="180">
        <v>14549984</v>
      </c>
      <c r="Y89" s="180">
        <v>8378896</v>
      </c>
      <c r="Z89" s="180">
        <v>2933398</v>
      </c>
      <c r="AA89" s="180">
        <v>5764296</v>
      </c>
      <c r="AB89" s="180">
        <v>1777384</v>
      </c>
      <c r="AC89" s="180">
        <v>337982</v>
      </c>
      <c r="AD89" s="180">
        <v>1884983</v>
      </c>
      <c r="AE89" s="180">
        <v>2946805</v>
      </c>
      <c r="AF89" s="180">
        <v>153817</v>
      </c>
      <c r="AG89" s="180">
        <v>91259</v>
      </c>
      <c r="AH89" s="180">
        <v>267673</v>
      </c>
      <c r="AI89" s="180">
        <v>2849470</v>
      </c>
      <c r="AJ89" s="180">
        <v>5241464</v>
      </c>
      <c r="AK89" s="180">
        <v>487411</v>
      </c>
      <c r="AL89" s="180">
        <v>131202</v>
      </c>
      <c r="AM89" s="180">
        <v>19204724</v>
      </c>
      <c r="AN89" s="180">
        <v>18314616</v>
      </c>
      <c r="AO89" s="180"/>
      <c r="AP89" s="180">
        <v>8492756</v>
      </c>
      <c r="AQ89" s="180">
        <v>15625506</v>
      </c>
      <c r="AR89" s="180"/>
      <c r="AS89" s="180"/>
      <c r="AT89" s="180"/>
      <c r="AU89" s="180">
        <v>9668593</v>
      </c>
      <c r="AV89" s="180">
        <v>310359</v>
      </c>
      <c r="AW89" s="180"/>
      <c r="AX89" s="180">
        <v>6457282</v>
      </c>
      <c r="AY89" s="180">
        <v>4043954</v>
      </c>
      <c r="AZ89" s="180"/>
      <c r="BA89" s="180">
        <v>216784</v>
      </c>
      <c r="BB89" s="180">
        <v>3174976</v>
      </c>
      <c r="BC89" s="180"/>
      <c r="BD89" s="180">
        <v>425466</v>
      </c>
      <c r="BE89" s="180">
        <v>10617464</v>
      </c>
      <c r="BF89" s="180"/>
      <c r="BG89" s="180"/>
      <c r="BH89" s="180">
        <v>3612182</v>
      </c>
      <c r="BI89" s="180">
        <v>5165121</v>
      </c>
      <c r="BJ89" s="180">
        <v>881728</v>
      </c>
      <c r="BK89" s="180">
        <v>5335044</v>
      </c>
      <c r="BL89" s="180">
        <v>7714731</v>
      </c>
      <c r="BM89" s="180">
        <v>198415</v>
      </c>
      <c r="BN89" s="180">
        <v>6368475</v>
      </c>
      <c r="BO89" s="180">
        <v>5381975</v>
      </c>
      <c r="BP89" s="180">
        <v>1877167</v>
      </c>
      <c r="BQ89" s="180">
        <v>2510181</v>
      </c>
      <c r="BR89" s="180">
        <v>2831008</v>
      </c>
      <c r="BS89" s="180">
        <v>20430061</v>
      </c>
      <c r="BT89" s="180">
        <v>3104656</v>
      </c>
      <c r="BU89" s="180">
        <v>3846884</v>
      </c>
      <c r="BV89" s="180">
        <v>1079444</v>
      </c>
      <c r="BW89" s="180">
        <v>1797245</v>
      </c>
      <c r="BX89" s="180"/>
      <c r="BY89" s="180">
        <v>217798</v>
      </c>
      <c r="BZ89" s="180">
        <v>23641683</v>
      </c>
      <c r="CA89" s="180">
        <v>111613</v>
      </c>
      <c r="CB89" s="180"/>
      <c r="CC89" s="180"/>
      <c r="CD89" s="180"/>
      <c r="CE89" s="180"/>
      <c r="CF89" s="180"/>
      <c r="CG89" s="180"/>
      <c r="CH89" s="180"/>
      <c r="CI89" s="180"/>
      <c r="CJ89" s="180"/>
      <c r="CK89" s="180"/>
      <c r="CL89" s="180"/>
      <c r="CM89" s="180"/>
      <c r="CN89" s="180"/>
      <c r="CO89" s="180"/>
      <c r="CP89" s="180"/>
      <c r="CQ89" s="180"/>
      <c r="CR89" s="180"/>
      <c r="CS89" s="180"/>
      <c r="CT89" s="180"/>
      <c r="CU89" s="180"/>
    </row>
    <row r="90" spans="1:99" x14ac:dyDescent="0.3">
      <c r="A90" s="155">
        <v>380</v>
      </c>
      <c r="B90" s="180" t="s">
        <v>113</v>
      </c>
      <c r="C90" s="180"/>
      <c r="D90" s="180">
        <v>5847</v>
      </c>
      <c r="E90" s="180">
        <v>53999</v>
      </c>
      <c r="F90" s="180"/>
      <c r="G90" s="180">
        <v>271768</v>
      </c>
      <c r="H90" s="180">
        <v>998973</v>
      </c>
      <c r="I90" s="180">
        <v>35824</v>
      </c>
      <c r="J90" s="180">
        <v>105179</v>
      </c>
      <c r="K90" s="180">
        <v>120423</v>
      </c>
      <c r="L90" s="180">
        <v>17608683</v>
      </c>
      <c r="M90" s="180"/>
      <c r="N90" s="180">
        <v>35674</v>
      </c>
      <c r="O90" s="180"/>
      <c r="P90" s="180">
        <v>236361</v>
      </c>
      <c r="Q90" s="180">
        <v>68313</v>
      </c>
      <c r="R90" s="180">
        <v>58600</v>
      </c>
      <c r="S90" s="180">
        <v>90389</v>
      </c>
      <c r="T90" s="180">
        <v>16946</v>
      </c>
      <c r="U90" s="180">
        <v>529627</v>
      </c>
      <c r="V90" s="180">
        <v>854</v>
      </c>
      <c r="W90" s="180">
        <v>56336</v>
      </c>
      <c r="X90" s="180">
        <v>159760</v>
      </c>
      <c r="Y90" s="180">
        <v>1101812</v>
      </c>
      <c r="Z90" s="180">
        <v>61983</v>
      </c>
      <c r="AA90" s="180">
        <v>262189</v>
      </c>
      <c r="AB90" s="180">
        <v>313</v>
      </c>
      <c r="AC90" s="180">
        <v>0</v>
      </c>
      <c r="AD90" s="180">
        <v>6137</v>
      </c>
      <c r="AE90" s="180">
        <v>84934</v>
      </c>
      <c r="AF90" s="180">
        <v>3691</v>
      </c>
      <c r="AG90" s="180">
        <v>1094</v>
      </c>
      <c r="AH90" s="180">
        <v>588</v>
      </c>
      <c r="AI90" s="180">
        <v>4397</v>
      </c>
      <c r="AJ90" s="180">
        <v>792595</v>
      </c>
      <c r="AK90" s="180">
        <v>4216</v>
      </c>
      <c r="AL90" s="180">
        <v>739</v>
      </c>
      <c r="AM90" s="180">
        <v>32046</v>
      </c>
      <c r="AN90" s="180">
        <v>422888</v>
      </c>
      <c r="AO90" s="180"/>
      <c r="AP90" s="180">
        <v>22115</v>
      </c>
      <c r="AQ90" s="180">
        <v>240464</v>
      </c>
      <c r="AR90" s="180"/>
      <c r="AS90" s="180"/>
      <c r="AT90" s="180"/>
      <c r="AU90" s="180">
        <v>32000</v>
      </c>
      <c r="AV90" s="180">
        <v>397</v>
      </c>
      <c r="AW90" s="180"/>
      <c r="AX90" s="180">
        <v>43055</v>
      </c>
      <c r="AY90" s="180">
        <v>28381</v>
      </c>
      <c r="AZ90" s="180"/>
      <c r="BA90" s="180">
        <v>4238</v>
      </c>
      <c r="BB90" s="180">
        <v>33188</v>
      </c>
      <c r="BC90" s="180"/>
      <c r="BD90" s="180">
        <v>1682</v>
      </c>
      <c r="BE90" s="180">
        <v>651563</v>
      </c>
      <c r="BF90" s="180"/>
      <c r="BG90" s="180"/>
      <c r="BH90" s="180">
        <v>51616</v>
      </c>
      <c r="BI90" s="180">
        <v>36424</v>
      </c>
      <c r="BJ90" s="180">
        <v>0</v>
      </c>
      <c r="BK90" s="180">
        <v>7068</v>
      </c>
      <c r="BL90" s="180">
        <v>21042</v>
      </c>
      <c r="BM90" s="180">
        <v>0</v>
      </c>
      <c r="BN90" s="180">
        <v>275933</v>
      </c>
      <c r="BO90" s="180">
        <v>55162</v>
      </c>
      <c r="BP90" s="180">
        <v>18241</v>
      </c>
      <c r="BQ90" s="180">
        <v>0</v>
      </c>
      <c r="BR90" s="180">
        <v>1348</v>
      </c>
      <c r="BS90" s="180">
        <v>183559</v>
      </c>
      <c r="BT90" s="180">
        <v>488655</v>
      </c>
      <c r="BU90" s="180">
        <v>32264</v>
      </c>
      <c r="BV90" s="180">
        <v>26319</v>
      </c>
      <c r="BW90" s="180">
        <v>2060</v>
      </c>
      <c r="BX90" s="180"/>
      <c r="BY90" s="180">
        <v>697</v>
      </c>
      <c r="BZ90" s="180">
        <v>197862</v>
      </c>
      <c r="CA90" s="180">
        <v>9026</v>
      </c>
      <c r="CB90" s="180"/>
      <c r="CC90" s="180"/>
      <c r="CD90" s="180"/>
      <c r="CE90" s="180"/>
      <c r="CF90" s="180"/>
      <c r="CG90" s="180"/>
      <c r="CH90" s="180"/>
      <c r="CI90" s="180"/>
      <c r="CJ90" s="180"/>
      <c r="CK90" s="180"/>
      <c r="CL90" s="180"/>
      <c r="CM90" s="180"/>
      <c r="CN90" s="180"/>
      <c r="CO90" s="180"/>
      <c r="CP90" s="180"/>
      <c r="CQ90" s="180"/>
      <c r="CR90" s="180"/>
      <c r="CS90" s="180"/>
      <c r="CT90" s="180"/>
      <c r="CU90" s="180"/>
    </row>
    <row r="91" spans="1:99" x14ac:dyDescent="0.3">
      <c r="A91" s="155">
        <v>381</v>
      </c>
      <c r="B91" s="180" t="s">
        <v>105</v>
      </c>
      <c r="C91" s="180"/>
      <c r="D91" s="180">
        <v>0</v>
      </c>
      <c r="E91" s="180">
        <v>0</v>
      </c>
      <c r="F91" s="180"/>
      <c r="G91" s="180">
        <v>143296285</v>
      </c>
      <c r="H91" s="180">
        <v>26603544</v>
      </c>
      <c r="I91" s="180">
        <v>842907</v>
      </c>
      <c r="J91" s="180">
        <v>11510330</v>
      </c>
      <c r="K91" s="180">
        <v>8529979</v>
      </c>
      <c r="L91" s="180">
        <v>164588714</v>
      </c>
      <c r="M91" s="180"/>
      <c r="N91" s="180">
        <v>3830743</v>
      </c>
      <c r="O91" s="180"/>
      <c r="P91" s="180">
        <v>0</v>
      </c>
      <c r="Q91" s="180">
        <v>27374673</v>
      </c>
      <c r="R91" s="180">
        <v>36266457</v>
      </c>
      <c r="S91" s="180">
        <v>59328020</v>
      </c>
      <c r="T91" s="180">
        <v>2334896</v>
      </c>
      <c r="U91" s="180">
        <v>92003485</v>
      </c>
      <c r="V91" s="180">
        <v>0</v>
      </c>
      <c r="W91" s="180">
        <v>0</v>
      </c>
      <c r="X91" s="180">
        <v>0</v>
      </c>
      <c r="Y91" s="180">
        <v>11634287</v>
      </c>
      <c r="Z91" s="180">
        <v>9887449</v>
      </c>
      <c r="AA91" s="180">
        <v>9416083</v>
      </c>
      <c r="AB91" s="180">
        <v>0</v>
      </c>
      <c r="AC91" s="180">
        <v>434054</v>
      </c>
      <c r="AD91" s="180">
        <v>10571869</v>
      </c>
      <c r="AE91" s="180">
        <v>14587507</v>
      </c>
      <c r="AF91" s="180">
        <v>633630</v>
      </c>
      <c r="AG91" s="180">
        <v>0</v>
      </c>
      <c r="AH91" s="180">
        <v>0</v>
      </c>
      <c r="AI91" s="180">
        <v>0</v>
      </c>
      <c r="AJ91" s="180">
        <v>43413915</v>
      </c>
      <c r="AK91" s="180">
        <v>1778074</v>
      </c>
      <c r="AL91" s="180">
        <v>0</v>
      </c>
      <c r="AM91" s="180">
        <v>0</v>
      </c>
      <c r="AN91" s="180">
        <v>83315337</v>
      </c>
      <c r="AO91" s="180"/>
      <c r="AP91" s="180">
        <v>0</v>
      </c>
      <c r="AQ91" s="180">
        <v>55272377</v>
      </c>
      <c r="AR91" s="180"/>
      <c r="AS91" s="180"/>
      <c r="AT91" s="180"/>
      <c r="AU91" s="180">
        <v>35422022</v>
      </c>
      <c r="AV91" s="180">
        <v>1951171</v>
      </c>
      <c r="AW91" s="180"/>
      <c r="AX91" s="180">
        <v>13012309</v>
      </c>
      <c r="AY91" s="180">
        <v>9368630</v>
      </c>
      <c r="AZ91" s="180"/>
      <c r="BA91" s="180">
        <v>5335</v>
      </c>
      <c r="BB91" s="180">
        <v>4083398</v>
      </c>
      <c r="BC91" s="180"/>
      <c r="BD91" s="180">
        <v>0</v>
      </c>
      <c r="BE91" s="180">
        <v>71037642</v>
      </c>
      <c r="BF91" s="180"/>
      <c r="BG91" s="180"/>
      <c r="BH91" s="180">
        <v>7282314</v>
      </c>
      <c r="BI91" s="180">
        <v>7923784</v>
      </c>
      <c r="BJ91" s="180">
        <v>6832373</v>
      </c>
      <c r="BK91" s="180">
        <v>14724393</v>
      </c>
      <c r="BL91" s="180">
        <v>9473033</v>
      </c>
      <c r="BM91" s="180">
        <v>0</v>
      </c>
      <c r="BN91" s="180">
        <v>21428547</v>
      </c>
      <c r="BO91" s="180">
        <v>12716017</v>
      </c>
      <c r="BP91" s="180">
        <v>8937531</v>
      </c>
      <c r="BQ91" s="180">
        <v>8558933</v>
      </c>
      <c r="BR91" s="180">
        <v>0</v>
      </c>
      <c r="BS91" s="180">
        <v>0</v>
      </c>
      <c r="BT91" s="180">
        <v>6885527</v>
      </c>
      <c r="BU91" s="180">
        <v>17217720</v>
      </c>
      <c r="BV91" s="180">
        <v>6358345</v>
      </c>
      <c r="BW91" s="180">
        <v>3503140</v>
      </c>
      <c r="BX91" s="180"/>
      <c r="BY91" s="180">
        <v>0</v>
      </c>
      <c r="BZ91" s="180">
        <v>87983794</v>
      </c>
      <c r="CA91" s="180">
        <v>0</v>
      </c>
      <c r="CB91" s="180"/>
      <c r="CC91" s="180"/>
      <c r="CD91" s="180"/>
      <c r="CE91" s="180"/>
      <c r="CF91" s="180"/>
      <c r="CG91" s="180"/>
      <c r="CH91" s="180"/>
      <c r="CI91" s="180"/>
      <c r="CJ91" s="180"/>
      <c r="CK91" s="180"/>
      <c r="CL91" s="180"/>
      <c r="CM91" s="180"/>
      <c r="CN91" s="180"/>
      <c r="CO91" s="180"/>
      <c r="CP91" s="180"/>
      <c r="CQ91" s="180"/>
      <c r="CR91" s="180"/>
      <c r="CS91" s="180"/>
      <c r="CT91" s="180"/>
      <c r="CU91" s="180"/>
    </row>
    <row r="92" spans="1:99" x14ac:dyDescent="0.3">
      <c r="A92" s="155">
        <v>382</v>
      </c>
      <c r="B92" s="180" t="s">
        <v>106</v>
      </c>
      <c r="C92" s="180"/>
      <c r="D92" s="180">
        <v>0</v>
      </c>
      <c r="E92" s="180">
        <v>0</v>
      </c>
      <c r="F92" s="180"/>
      <c r="G92" s="180">
        <v>0</v>
      </c>
      <c r="H92" s="180">
        <v>0</v>
      </c>
      <c r="I92" s="180">
        <v>0</v>
      </c>
      <c r="J92" s="180">
        <v>0</v>
      </c>
      <c r="K92" s="180">
        <v>0</v>
      </c>
      <c r="L92" s="180">
        <v>0</v>
      </c>
      <c r="M92" s="180"/>
      <c r="N92" s="180">
        <v>0</v>
      </c>
      <c r="O92" s="180"/>
      <c r="P92" s="180">
        <v>0</v>
      </c>
      <c r="Q92" s="180">
        <v>0</v>
      </c>
      <c r="R92" s="180">
        <v>0</v>
      </c>
      <c r="S92" s="180">
        <v>12198727</v>
      </c>
      <c r="T92" s="180">
        <v>0</v>
      </c>
      <c r="U92" s="180">
        <v>76169041</v>
      </c>
      <c r="V92" s="180">
        <v>0</v>
      </c>
      <c r="W92" s="180">
        <v>0</v>
      </c>
      <c r="X92" s="180">
        <v>0</v>
      </c>
      <c r="Y92" s="180">
        <v>0</v>
      </c>
      <c r="Z92" s="180">
        <v>7024621</v>
      </c>
      <c r="AA92" s="180">
        <v>1106129</v>
      </c>
      <c r="AB92" s="180">
        <v>0</v>
      </c>
      <c r="AC92" s="180">
        <v>0</v>
      </c>
      <c r="AD92" s="180">
        <v>0</v>
      </c>
      <c r="AE92" s="180">
        <v>5894916</v>
      </c>
      <c r="AF92" s="180">
        <v>0</v>
      </c>
      <c r="AG92" s="180">
        <v>0</v>
      </c>
      <c r="AH92" s="180">
        <v>0</v>
      </c>
      <c r="AI92" s="180">
        <v>0</v>
      </c>
      <c r="AJ92" s="180">
        <v>16644208</v>
      </c>
      <c r="AK92" s="180">
        <v>0</v>
      </c>
      <c r="AL92" s="180">
        <v>0</v>
      </c>
      <c r="AM92" s="180">
        <v>0</v>
      </c>
      <c r="AN92" s="180">
        <v>0</v>
      </c>
      <c r="AO92" s="180"/>
      <c r="AP92" s="180">
        <v>0</v>
      </c>
      <c r="AQ92" s="180">
        <v>79228816</v>
      </c>
      <c r="AR92" s="180"/>
      <c r="AS92" s="180"/>
      <c r="AT92" s="180"/>
      <c r="AU92" s="180">
        <v>10416515</v>
      </c>
      <c r="AV92" s="180">
        <v>0</v>
      </c>
      <c r="AW92" s="180"/>
      <c r="AX92" s="180">
        <v>0</v>
      </c>
      <c r="AY92" s="180">
        <v>0</v>
      </c>
      <c r="AZ92" s="180"/>
      <c r="BA92" s="180">
        <v>0</v>
      </c>
      <c r="BB92" s="180">
        <v>0</v>
      </c>
      <c r="BC92" s="180"/>
      <c r="BD92" s="180">
        <v>0</v>
      </c>
      <c r="BE92" s="180">
        <v>34248947</v>
      </c>
      <c r="BF92" s="180"/>
      <c r="BG92" s="180"/>
      <c r="BH92" s="180">
        <v>0</v>
      </c>
      <c r="BI92" s="180">
        <v>0</v>
      </c>
      <c r="BJ92" s="180">
        <v>0</v>
      </c>
      <c r="BK92" s="180">
        <v>6466424</v>
      </c>
      <c r="BL92" s="180">
        <v>0</v>
      </c>
      <c r="BM92" s="180">
        <v>0</v>
      </c>
      <c r="BN92" s="180">
        <v>0</v>
      </c>
      <c r="BO92" s="180">
        <v>0</v>
      </c>
      <c r="BP92" s="180">
        <v>0</v>
      </c>
      <c r="BQ92" s="180">
        <v>0</v>
      </c>
      <c r="BR92" s="180">
        <v>0</v>
      </c>
      <c r="BS92" s="180">
        <v>0</v>
      </c>
      <c r="BT92" s="180">
        <v>0</v>
      </c>
      <c r="BU92" s="180">
        <v>0</v>
      </c>
      <c r="BV92" s="180">
        <v>0</v>
      </c>
      <c r="BW92" s="180">
        <v>0</v>
      </c>
      <c r="BX92" s="180"/>
      <c r="BY92" s="180">
        <v>0</v>
      </c>
      <c r="BZ92" s="180">
        <v>0</v>
      </c>
      <c r="CA92" s="180">
        <v>0</v>
      </c>
      <c r="CB92" s="180"/>
      <c r="CC92" s="180"/>
      <c r="CD92" s="180"/>
      <c r="CE92" s="180"/>
      <c r="CF92" s="180"/>
      <c r="CG92" s="180"/>
      <c r="CH92" s="180"/>
      <c r="CI92" s="180"/>
      <c r="CJ92" s="180"/>
      <c r="CK92" s="180"/>
      <c r="CL92" s="180"/>
      <c r="CM92" s="180"/>
      <c r="CN92" s="180"/>
      <c r="CO92" s="180"/>
      <c r="CP92" s="180"/>
      <c r="CQ92" s="180"/>
      <c r="CR92" s="180"/>
      <c r="CS92" s="180"/>
      <c r="CT92" s="180"/>
      <c r="CU92" s="180"/>
    </row>
    <row r="93" spans="1:99" x14ac:dyDescent="0.3">
      <c r="A93" s="155">
        <v>383</v>
      </c>
      <c r="B93" s="180" t="s">
        <v>212</v>
      </c>
      <c r="C93" s="180"/>
      <c r="D93" s="180">
        <v>0</v>
      </c>
      <c r="E93" s="180">
        <v>0</v>
      </c>
      <c r="F93" s="180"/>
      <c r="G93" s="180">
        <v>0</v>
      </c>
      <c r="H93" s="180">
        <v>0</v>
      </c>
      <c r="I93" s="180">
        <v>0</v>
      </c>
      <c r="J93" s="180">
        <v>0</v>
      </c>
      <c r="K93" s="180">
        <v>0</v>
      </c>
      <c r="L93" s="180">
        <v>0</v>
      </c>
      <c r="M93" s="180"/>
      <c r="N93" s="180">
        <v>0</v>
      </c>
      <c r="O93" s="180"/>
      <c r="P93" s="180">
        <v>0</v>
      </c>
      <c r="Q93" s="180">
        <v>0</v>
      </c>
      <c r="R93" s="180">
        <v>0</v>
      </c>
      <c r="S93" s="180">
        <v>0</v>
      </c>
      <c r="T93" s="180">
        <v>0</v>
      </c>
      <c r="U93" s="180">
        <v>0</v>
      </c>
      <c r="V93" s="180">
        <v>0</v>
      </c>
      <c r="W93" s="180">
        <v>0</v>
      </c>
      <c r="X93" s="180">
        <v>0</v>
      </c>
      <c r="Y93" s="180">
        <v>0</v>
      </c>
      <c r="Z93" s="180">
        <v>16886</v>
      </c>
      <c r="AA93" s="180">
        <v>212975</v>
      </c>
      <c r="AB93" s="180">
        <v>0</v>
      </c>
      <c r="AC93" s="180">
        <v>0</v>
      </c>
      <c r="AD93" s="180">
        <v>0</v>
      </c>
      <c r="AE93" s="180">
        <v>0</v>
      </c>
      <c r="AF93" s="180">
        <v>0</v>
      </c>
      <c r="AG93" s="180">
        <v>0</v>
      </c>
      <c r="AH93" s="180">
        <v>0</v>
      </c>
      <c r="AI93" s="180">
        <v>0</v>
      </c>
      <c r="AJ93" s="180">
        <v>0</v>
      </c>
      <c r="AK93" s="180">
        <v>0</v>
      </c>
      <c r="AL93" s="180">
        <v>0</v>
      </c>
      <c r="AM93" s="180">
        <v>0</v>
      </c>
      <c r="AN93" s="180">
        <v>0</v>
      </c>
      <c r="AO93" s="180"/>
      <c r="AP93" s="180">
        <v>0</v>
      </c>
      <c r="AQ93" s="180">
        <v>0</v>
      </c>
      <c r="AR93" s="180"/>
      <c r="AS93" s="180"/>
      <c r="AT93" s="180"/>
      <c r="AU93" s="180">
        <v>0</v>
      </c>
      <c r="AV93" s="180">
        <v>0</v>
      </c>
      <c r="AW93" s="180"/>
      <c r="AX93" s="180">
        <v>0</v>
      </c>
      <c r="AY93" s="180">
        <v>0</v>
      </c>
      <c r="AZ93" s="180"/>
      <c r="BA93" s="180">
        <v>0</v>
      </c>
      <c r="BB93" s="180">
        <v>0</v>
      </c>
      <c r="BC93" s="180"/>
      <c r="BD93" s="180">
        <v>0</v>
      </c>
      <c r="BE93" s="180">
        <v>0</v>
      </c>
      <c r="BF93" s="180"/>
      <c r="BG93" s="180"/>
      <c r="BH93" s="180">
        <v>0</v>
      </c>
      <c r="BI93" s="180">
        <v>0</v>
      </c>
      <c r="BJ93" s="180">
        <v>0</v>
      </c>
      <c r="BK93" s="180">
        <v>0</v>
      </c>
      <c r="BL93" s="180">
        <v>0</v>
      </c>
      <c r="BM93" s="180">
        <v>0</v>
      </c>
      <c r="BN93" s="180">
        <v>0</v>
      </c>
      <c r="BO93" s="180">
        <v>6873</v>
      </c>
      <c r="BP93" s="180">
        <v>0</v>
      </c>
      <c r="BQ93" s="180">
        <v>0</v>
      </c>
      <c r="BR93" s="180">
        <v>0</v>
      </c>
      <c r="BS93" s="180">
        <v>0</v>
      </c>
      <c r="BT93" s="180">
        <v>0</v>
      </c>
      <c r="BU93" s="180">
        <v>0</v>
      </c>
      <c r="BV93" s="180">
        <v>0</v>
      </c>
      <c r="BW93" s="180">
        <v>0</v>
      </c>
      <c r="BX93" s="180"/>
      <c r="BY93" s="180">
        <v>0</v>
      </c>
      <c r="BZ93" s="180">
        <v>0</v>
      </c>
      <c r="CA93" s="180">
        <v>0</v>
      </c>
      <c r="CB93" s="180"/>
      <c r="CC93" s="180"/>
      <c r="CD93" s="180"/>
      <c r="CE93" s="180"/>
      <c r="CF93" s="180"/>
      <c r="CG93" s="180"/>
      <c r="CH93" s="180"/>
      <c r="CI93" s="180"/>
      <c r="CJ93" s="180"/>
      <c r="CK93" s="180"/>
      <c r="CL93" s="180"/>
      <c r="CM93" s="180"/>
      <c r="CN93" s="180"/>
      <c r="CO93" s="180"/>
      <c r="CP93" s="180"/>
      <c r="CQ93" s="180"/>
      <c r="CR93" s="180"/>
      <c r="CS93" s="180"/>
      <c r="CT93" s="180"/>
      <c r="CU93" s="180"/>
    </row>
    <row r="94" spans="1:99" x14ac:dyDescent="0.3">
      <c r="A94" s="155">
        <v>384</v>
      </c>
      <c r="B94" s="180" t="s">
        <v>116</v>
      </c>
      <c r="C94" s="180"/>
      <c r="D94" s="180">
        <v>0</v>
      </c>
      <c r="E94" s="180">
        <v>0</v>
      </c>
      <c r="F94" s="180"/>
      <c r="G94" s="180">
        <v>0</v>
      </c>
      <c r="H94" s="180">
        <v>0</v>
      </c>
      <c r="I94" s="180">
        <v>0</v>
      </c>
      <c r="J94" s="180">
        <v>0</v>
      </c>
      <c r="K94" s="180">
        <v>0</v>
      </c>
      <c r="L94" s="180">
        <v>0</v>
      </c>
      <c r="M94" s="180"/>
      <c r="N94" s="180">
        <v>0</v>
      </c>
      <c r="O94" s="180"/>
      <c r="P94" s="180">
        <v>0</v>
      </c>
      <c r="Q94" s="180">
        <v>0</v>
      </c>
      <c r="R94" s="180">
        <v>0</v>
      </c>
      <c r="S94" s="180">
        <v>0</v>
      </c>
      <c r="T94" s="180">
        <v>0</v>
      </c>
      <c r="U94" s="180">
        <v>0</v>
      </c>
      <c r="V94" s="180">
        <v>0</v>
      </c>
      <c r="W94" s="180">
        <v>0</v>
      </c>
      <c r="X94" s="180">
        <v>0</v>
      </c>
      <c r="Y94" s="180">
        <v>0</v>
      </c>
      <c r="Z94" s="180">
        <v>21107</v>
      </c>
      <c r="AA94" s="180">
        <v>0</v>
      </c>
      <c r="AB94" s="180">
        <v>0</v>
      </c>
      <c r="AC94" s="180">
        <v>0</v>
      </c>
      <c r="AD94" s="180">
        <v>0</v>
      </c>
      <c r="AE94" s="180">
        <v>0</v>
      </c>
      <c r="AF94" s="180">
        <v>0</v>
      </c>
      <c r="AG94" s="180">
        <v>0</v>
      </c>
      <c r="AH94" s="180">
        <v>0</v>
      </c>
      <c r="AI94" s="180">
        <v>0</v>
      </c>
      <c r="AJ94" s="180">
        <v>0</v>
      </c>
      <c r="AK94" s="180">
        <v>0</v>
      </c>
      <c r="AL94" s="180">
        <v>0</v>
      </c>
      <c r="AM94" s="180">
        <v>0</v>
      </c>
      <c r="AN94" s="180">
        <v>0</v>
      </c>
      <c r="AO94" s="180"/>
      <c r="AP94" s="180">
        <v>0</v>
      </c>
      <c r="AQ94" s="180">
        <v>0</v>
      </c>
      <c r="AR94" s="180"/>
      <c r="AS94" s="180"/>
      <c r="AT94" s="180"/>
      <c r="AU94" s="180">
        <v>0</v>
      </c>
      <c r="AV94" s="180">
        <v>0</v>
      </c>
      <c r="AW94" s="180"/>
      <c r="AX94" s="180">
        <v>0</v>
      </c>
      <c r="AY94" s="180">
        <v>0</v>
      </c>
      <c r="AZ94" s="180"/>
      <c r="BA94" s="180">
        <v>0</v>
      </c>
      <c r="BB94" s="180">
        <v>0</v>
      </c>
      <c r="BC94" s="180"/>
      <c r="BD94" s="180">
        <v>0</v>
      </c>
      <c r="BE94" s="180">
        <v>0</v>
      </c>
      <c r="BF94" s="180"/>
      <c r="BG94" s="180"/>
      <c r="BH94" s="180">
        <v>0</v>
      </c>
      <c r="BI94" s="180">
        <v>0</v>
      </c>
      <c r="BJ94" s="180">
        <v>0</v>
      </c>
      <c r="BK94" s="180">
        <v>0</v>
      </c>
      <c r="BL94" s="180">
        <v>0</v>
      </c>
      <c r="BM94" s="180">
        <v>0</v>
      </c>
      <c r="BN94" s="180">
        <v>0</v>
      </c>
      <c r="BO94" s="180">
        <v>0</v>
      </c>
      <c r="BP94" s="180">
        <v>0</v>
      </c>
      <c r="BQ94" s="180">
        <v>0</v>
      </c>
      <c r="BR94" s="180">
        <v>0</v>
      </c>
      <c r="BS94" s="180">
        <v>0</v>
      </c>
      <c r="BT94" s="180">
        <v>0</v>
      </c>
      <c r="BU94" s="180">
        <v>0</v>
      </c>
      <c r="BV94" s="180">
        <v>0</v>
      </c>
      <c r="BW94" s="180">
        <v>0</v>
      </c>
      <c r="BX94" s="180"/>
      <c r="BY94" s="180">
        <v>0</v>
      </c>
      <c r="BZ94" s="180">
        <v>0</v>
      </c>
      <c r="CA94" s="180">
        <v>0</v>
      </c>
      <c r="CB94" s="180"/>
      <c r="CC94" s="180"/>
      <c r="CD94" s="180"/>
      <c r="CE94" s="180"/>
      <c r="CF94" s="180"/>
      <c r="CG94" s="180"/>
      <c r="CH94" s="180"/>
      <c r="CI94" s="180"/>
      <c r="CJ94" s="180"/>
      <c r="CK94" s="180"/>
      <c r="CL94" s="180"/>
      <c r="CM94" s="180"/>
      <c r="CN94" s="180"/>
      <c r="CO94" s="180"/>
      <c r="CP94" s="180"/>
      <c r="CQ94" s="180"/>
      <c r="CR94" s="180"/>
      <c r="CS94" s="180"/>
      <c r="CT94" s="180"/>
      <c r="CU94" s="180"/>
    </row>
    <row r="95" spans="1:99" x14ac:dyDescent="0.3">
      <c r="A95" s="155">
        <v>385</v>
      </c>
      <c r="B95" s="180" t="s">
        <v>107</v>
      </c>
      <c r="C95" s="180"/>
      <c r="D95" s="180">
        <v>6907418</v>
      </c>
      <c r="E95" s="180">
        <v>115256806</v>
      </c>
      <c r="F95" s="180"/>
      <c r="G95" s="180">
        <v>180317889</v>
      </c>
      <c r="H95" s="180">
        <v>18940554</v>
      </c>
      <c r="I95" s="180">
        <v>818393</v>
      </c>
      <c r="J95" s="180">
        <v>4349504</v>
      </c>
      <c r="K95" s="180">
        <v>5931555</v>
      </c>
      <c r="L95" s="180">
        <v>371259393</v>
      </c>
      <c r="M95" s="180"/>
      <c r="N95" s="180">
        <v>2505832</v>
      </c>
      <c r="O95" s="180"/>
      <c r="P95" s="180">
        <v>198800343</v>
      </c>
      <c r="Q95" s="180">
        <v>74123689</v>
      </c>
      <c r="R95" s="180">
        <v>18010406</v>
      </c>
      <c r="S95" s="180">
        <v>40480548</v>
      </c>
      <c r="T95" s="180">
        <v>878366</v>
      </c>
      <c r="U95" s="180">
        <v>60962430</v>
      </c>
      <c r="V95" s="180">
        <v>278063</v>
      </c>
      <c r="W95" s="180">
        <v>37621797</v>
      </c>
      <c r="X95" s="180">
        <v>141351324</v>
      </c>
      <c r="Y95" s="180">
        <v>22742424</v>
      </c>
      <c r="Z95" s="180">
        <v>6337195</v>
      </c>
      <c r="AA95" s="180">
        <v>36458646</v>
      </c>
      <c r="AB95" s="180">
        <v>2507307</v>
      </c>
      <c r="AC95" s="180">
        <v>706965</v>
      </c>
      <c r="AD95" s="180">
        <v>4201260</v>
      </c>
      <c r="AE95" s="180">
        <v>11672864</v>
      </c>
      <c r="AF95" s="180">
        <v>1714491</v>
      </c>
      <c r="AG95" s="180">
        <v>185295</v>
      </c>
      <c r="AH95" s="180">
        <v>1270346</v>
      </c>
      <c r="AI95" s="180">
        <v>7175023</v>
      </c>
      <c r="AJ95" s="180">
        <v>24151368</v>
      </c>
      <c r="AK95" s="180">
        <v>1363421</v>
      </c>
      <c r="AL95" s="180">
        <v>159398</v>
      </c>
      <c r="AM95" s="180">
        <v>150929802</v>
      </c>
      <c r="AN95" s="180">
        <v>50907108</v>
      </c>
      <c r="AO95" s="180"/>
      <c r="AP95" s="180">
        <v>25433246</v>
      </c>
      <c r="AQ95" s="180">
        <v>83241245</v>
      </c>
      <c r="AR95" s="180"/>
      <c r="AS95" s="180"/>
      <c r="AT95" s="180"/>
      <c r="AU95" s="180">
        <v>38875106</v>
      </c>
      <c r="AV95" s="180">
        <v>1195686</v>
      </c>
      <c r="AW95" s="180"/>
      <c r="AX95" s="180">
        <v>19084320</v>
      </c>
      <c r="AY95" s="180">
        <v>8535374</v>
      </c>
      <c r="AZ95" s="180"/>
      <c r="BA95" s="180">
        <v>257423</v>
      </c>
      <c r="BB95" s="180">
        <v>7806767</v>
      </c>
      <c r="BC95" s="180"/>
      <c r="BD95" s="180">
        <v>448225</v>
      </c>
      <c r="BE95" s="180">
        <v>69538896</v>
      </c>
      <c r="BF95" s="180"/>
      <c r="BG95" s="180"/>
      <c r="BH95" s="180">
        <v>13203243</v>
      </c>
      <c r="BI95" s="180">
        <v>13452584</v>
      </c>
      <c r="BJ95" s="180">
        <v>1264606</v>
      </c>
      <c r="BK95" s="180">
        <v>18097402</v>
      </c>
      <c r="BL95" s="180">
        <v>16925786</v>
      </c>
      <c r="BM95" s="180">
        <v>237783</v>
      </c>
      <c r="BN95" s="180">
        <v>20054096</v>
      </c>
      <c r="BO95" s="180">
        <v>9837493</v>
      </c>
      <c r="BP95" s="180">
        <v>2548726</v>
      </c>
      <c r="BQ95" s="180">
        <v>5802420</v>
      </c>
      <c r="BR95" s="180">
        <v>15686236</v>
      </c>
      <c r="BS95" s="180">
        <v>289168054</v>
      </c>
      <c r="BT95" s="180">
        <v>6001654</v>
      </c>
      <c r="BU95" s="180">
        <v>8268115</v>
      </c>
      <c r="BV95" s="180">
        <v>2629744</v>
      </c>
      <c r="BW95" s="180">
        <v>5087501</v>
      </c>
      <c r="BX95" s="180"/>
      <c r="BY95" s="180">
        <v>262073</v>
      </c>
      <c r="BZ95" s="180">
        <v>97289750</v>
      </c>
      <c r="CA95" s="180">
        <v>379794</v>
      </c>
      <c r="CB95" s="180"/>
      <c r="CC95" s="180"/>
      <c r="CD95" s="180"/>
      <c r="CE95" s="180"/>
      <c r="CF95" s="180"/>
      <c r="CG95" s="180"/>
      <c r="CH95" s="180"/>
      <c r="CI95" s="180"/>
      <c r="CJ95" s="180"/>
      <c r="CK95" s="180"/>
      <c r="CL95" s="180"/>
      <c r="CM95" s="180"/>
      <c r="CN95" s="180"/>
      <c r="CO95" s="180"/>
      <c r="CP95" s="180"/>
      <c r="CQ95" s="180"/>
      <c r="CR95" s="180"/>
      <c r="CS95" s="180"/>
      <c r="CT95" s="180"/>
      <c r="CU95" s="180"/>
    </row>
    <row r="96" spans="1:99" x14ac:dyDescent="0.3">
      <c r="A96" s="155">
        <v>386</v>
      </c>
      <c r="B96" s="180" t="s">
        <v>185</v>
      </c>
      <c r="C96" s="180"/>
      <c r="D96" s="180">
        <v>0</v>
      </c>
      <c r="E96" s="180">
        <v>0</v>
      </c>
      <c r="F96" s="180"/>
      <c r="G96" s="180">
        <v>0</v>
      </c>
      <c r="H96" s="180">
        <v>0</v>
      </c>
      <c r="I96" s="180">
        <v>0</v>
      </c>
      <c r="J96" s="180">
        <v>0</v>
      </c>
      <c r="K96" s="180">
        <v>5205</v>
      </c>
      <c r="L96" s="180">
        <v>7514713</v>
      </c>
      <c r="M96" s="180"/>
      <c r="N96" s="180">
        <v>0</v>
      </c>
      <c r="O96" s="180"/>
      <c r="P96" s="180">
        <v>0</v>
      </c>
      <c r="Q96" s="180">
        <v>0</v>
      </c>
      <c r="R96" s="180">
        <v>0</v>
      </c>
      <c r="S96" s="180">
        <v>1500000</v>
      </c>
      <c r="T96" s="180">
        <v>0</v>
      </c>
      <c r="U96" s="180">
        <v>2259630</v>
      </c>
      <c r="V96" s="180">
        <v>0</v>
      </c>
      <c r="W96" s="180">
        <v>0</v>
      </c>
      <c r="X96" s="180">
        <v>40700</v>
      </c>
      <c r="Y96" s="180">
        <v>0</v>
      </c>
      <c r="Z96" s="180">
        <v>0</v>
      </c>
      <c r="AA96" s="180">
        <v>1600000</v>
      </c>
      <c r="AB96" s="180">
        <v>0</v>
      </c>
      <c r="AC96" s="180">
        <v>0</v>
      </c>
      <c r="AD96" s="180">
        <v>0</v>
      </c>
      <c r="AE96" s="180">
        <v>0</v>
      </c>
      <c r="AF96" s="180">
        <v>0</v>
      </c>
      <c r="AG96" s="180">
        <v>0</v>
      </c>
      <c r="AH96" s="180">
        <v>0</v>
      </c>
      <c r="AI96" s="180">
        <v>0</v>
      </c>
      <c r="AJ96" s="180">
        <v>446572</v>
      </c>
      <c r="AK96" s="180">
        <v>0</v>
      </c>
      <c r="AL96" s="180">
        <v>0</v>
      </c>
      <c r="AM96" s="180">
        <v>0</v>
      </c>
      <c r="AN96" s="180">
        <v>0</v>
      </c>
      <c r="AO96" s="180"/>
      <c r="AP96" s="180">
        <v>0</v>
      </c>
      <c r="AQ96" s="180">
        <v>2321571</v>
      </c>
      <c r="AR96" s="180"/>
      <c r="AS96" s="180"/>
      <c r="AT96" s="180"/>
      <c r="AU96" s="180">
        <v>419687</v>
      </c>
      <c r="AV96" s="180">
        <v>20000</v>
      </c>
      <c r="AW96" s="180"/>
      <c r="AX96" s="180">
        <v>0</v>
      </c>
      <c r="AY96" s="180">
        <v>60000</v>
      </c>
      <c r="AZ96" s="180"/>
      <c r="BA96" s="180">
        <v>0</v>
      </c>
      <c r="BB96" s="180">
        <v>0</v>
      </c>
      <c r="BC96" s="180"/>
      <c r="BD96" s="180">
        <v>0</v>
      </c>
      <c r="BE96" s="180">
        <v>449365</v>
      </c>
      <c r="BF96" s="180"/>
      <c r="BG96" s="180"/>
      <c r="BH96" s="180">
        <v>0</v>
      </c>
      <c r="BI96" s="180">
        <v>0</v>
      </c>
      <c r="BJ96" s="180">
        <v>0</v>
      </c>
      <c r="BK96" s="180">
        <v>0</v>
      </c>
      <c r="BL96" s="180">
        <v>0</v>
      </c>
      <c r="BM96" s="180">
        <v>0</v>
      </c>
      <c r="BN96" s="180">
        <v>0</v>
      </c>
      <c r="BO96" s="180">
        <v>0</v>
      </c>
      <c r="BP96" s="180">
        <v>0</v>
      </c>
      <c r="BQ96" s="180">
        <v>0</v>
      </c>
      <c r="BR96" s="180">
        <v>0</v>
      </c>
      <c r="BS96" s="180">
        <v>0</v>
      </c>
      <c r="BT96" s="180">
        <v>0</v>
      </c>
      <c r="BU96" s="180">
        <v>0</v>
      </c>
      <c r="BV96" s="180">
        <v>0</v>
      </c>
      <c r="BW96" s="180">
        <v>0</v>
      </c>
      <c r="BX96" s="180"/>
      <c r="BY96" s="180">
        <v>0</v>
      </c>
      <c r="BZ96" s="180">
        <v>0</v>
      </c>
      <c r="CA96" s="180">
        <v>0</v>
      </c>
      <c r="CB96" s="180"/>
      <c r="CC96" s="180"/>
      <c r="CD96" s="180"/>
      <c r="CE96" s="180"/>
      <c r="CF96" s="180"/>
      <c r="CG96" s="180"/>
      <c r="CH96" s="180"/>
      <c r="CI96" s="180"/>
      <c r="CJ96" s="180"/>
      <c r="CK96" s="180"/>
      <c r="CL96" s="180"/>
      <c r="CM96" s="180"/>
      <c r="CN96" s="180"/>
      <c r="CO96" s="180"/>
      <c r="CP96" s="180"/>
      <c r="CQ96" s="180"/>
      <c r="CR96" s="180"/>
      <c r="CS96" s="180"/>
      <c r="CT96" s="180"/>
      <c r="CU96" s="180"/>
    </row>
    <row r="97" spans="1:99" x14ac:dyDescent="0.3">
      <c r="A97" s="155">
        <v>387</v>
      </c>
      <c r="B97" s="180" t="s">
        <v>186</v>
      </c>
      <c r="C97" s="180"/>
      <c r="D97" s="180">
        <v>0</v>
      </c>
      <c r="E97" s="180">
        <v>6125</v>
      </c>
      <c r="F97" s="180"/>
      <c r="G97" s="180">
        <v>2832800</v>
      </c>
      <c r="H97" s="180">
        <v>0</v>
      </c>
      <c r="I97" s="180">
        <v>0</v>
      </c>
      <c r="J97" s="180">
        <v>0</v>
      </c>
      <c r="K97" s="180">
        <v>0</v>
      </c>
      <c r="L97" s="180">
        <v>0</v>
      </c>
      <c r="M97" s="180"/>
      <c r="N97" s="180">
        <v>0</v>
      </c>
      <c r="O97" s="180"/>
      <c r="P97" s="180">
        <v>213724</v>
      </c>
      <c r="Q97" s="180">
        <v>0</v>
      </c>
      <c r="R97" s="180">
        <v>77531</v>
      </c>
      <c r="S97" s="180">
        <v>0</v>
      </c>
      <c r="T97" s="180">
        <v>0</v>
      </c>
      <c r="U97" s="180">
        <v>0</v>
      </c>
      <c r="V97" s="180">
        <v>0</v>
      </c>
      <c r="W97" s="180">
        <v>0</v>
      </c>
      <c r="X97" s="180">
        <v>0</v>
      </c>
      <c r="Y97" s="180">
        <v>0</v>
      </c>
      <c r="Z97" s="180">
        <v>478841</v>
      </c>
      <c r="AA97" s="180">
        <v>1783888</v>
      </c>
      <c r="AB97" s="180">
        <v>0</v>
      </c>
      <c r="AC97" s="180">
        <v>0</v>
      </c>
      <c r="AD97" s="180">
        <v>0</v>
      </c>
      <c r="AE97" s="180">
        <v>10759</v>
      </c>
      <c r="AF97" s="180">
        <v>0</v>
      </c>
      <c r="AG97" s="180">
        <v>0</v>
      </c>
      <c r="AH97" s="180">
        <v>0</v>
      </c>
      <c r="AI97" s="180">
        <v>0</v>
      </c>
      <c r="AJ97" s="180">
        <v>0</v>
      </c>
      <c r="AK97" s="180">
        <v>61494</v>
      </c>
      <c r="AL97" s="180">
        <v>0</v>
      </c>
      <c r="AM97" s="180">
        <v>0</v>
      </c>
      <c r="AN97" s="180">
        <v>0</v>
      </c>
      <c r="AO97" s="180"/>
      <c r="AP97" s="180">
        <v>0</v>
      </c>
      <c r="AQ97" s="180">
        <v>450000</v>
      </c>
      <c r="AR97" s="180"/>
      <c r="AS97" s="180"/>
      <c r="AT97" s="180"/>
      <c r="AU97" s="180">
        <v>0</v>
      </c>
      <c r="AV97" s="180">
        <v>0</v>
      </c>
      <c r="AW97" s="180"/>
      <c r="AX97" s="180">
        <v>0</v>
      </c>
      <c r="AY97" s="180">
        <v>0</v>
      </c>
      <c r="AZ97" s="180"/>
      <c r="BA97" s="180">
        <v>0</v>
      </c>
      <c r="BB97" s="180">
        <v>0</v>
      </c>
      <c r="BC97" s="180"/>
      <c r="BD97" s="180">
        <v>0</v>
      </c>
      <c r="BE97" s="180">
        <v>0</v>
      </c>
      <c r="BF97" s="180"/>
      <c r="BG97" s="180"/>
      <c r="BH97" s="180">
        <v>337182</v>
      </c>
      <c r="BI97" s="180">
        <v>0</v>
      </c>
      <c r="BJ97" s="180">
        <v>0</v>
      </c>
      <c r="BK97" s="180">
        <v>0</v>
      </c>
      <c r="BL97" s="180">
        <v>0</v>
      </c>
      <c r="BM97" s="180">
        <v>0</v>
      </c>
      <c r="BN97" s="180">
        <v>954304</v>
      </c>
      <c r="BO97" s="180">
        <v>0</v>
      </c>
      <c r="BP97" s="180">
        <v>144689</v>
      </c>
      <c r="BQ97" s="180">
        <v>0</v>
      </c>
      <c r="BR97" s="180">
        <v>0</v>
      </c>
      <c r="BS97" s="180">
        <v>0</v>
      </c>
      <c r="BT97" s="180">
        <v>3258</v>
      </c>
      <c r="BU97" s="180">
        <v>56303</v>
      </c>
      <c r="BV97" s="180">
        <v>0</v>
      </c>
      <c r="BW97" s="180">
        <v>0</v>
      </c>
      <c r="BX97" s="180"/>
      <c r="BY97" s="180">
        <v>0</v>
      </c>
      <c r="BZ97" s="180">
        <v>423868</v>
      </c>
      <c r="CA97" s="180">
        <v>0</v>
      </c>
      <c r="CB97" s="180"/>
      <c r="CC97" s="180"/>
      <c r="CD97" s="180"/>
      <c r="CE97" s="180"/>
      <c r="CF97" s="180"/>
      <c r="CG97" s="180"/>
      <c r="CH97" s="180"/>
      <c r="CI97" s="180"/>
      <c r="CJ97" s="180"/>
      <c r="CK97" s="180"/>
      <c r="CL97" s="180"/>
      <c r="CM97" s="180"/>
      <c r="CN97" s="180"/>
      <c r="CO97" s="180"/>
      <c r="CP97" s="180"/>
      <c r="CQ97" s="180"/>
      <c r="CR97" s="180"/>
      <c r="CS97" s="180"/>
      <c r="CT97" s="180"/>
      <c r="CU97" s="180"/>
    </row>
    <row r="98" spans="1:99" x14ac:dyDescent="0.3">
      <c r="A98" s="155">
        <v>388</v>
      </c>
      <c r="B98" s="180" t="s">
        <v>180</v>
      </c>
      <c r="C98" s="180"/>
      <c r="D98" s="180">
        <v>2359446</v>
      </c>
      <c r="E98" s="180">
        <v>15917408</v>
      </c>
      <c r="F98" s="180"/>
      <c r="G98" s="180">
        <v>49969672</v>
      </c>
      <c r="H98" s="180">
        <v>5278722</v>
      </c>
      <c r="I98" s="180">
        <v>350175</v>
      </c>
      <c r="J98" s="180">
        <v>1502238</v>
      </c>
      <c r="K98" s="180">
        <v>2299652</v>
      </c>
      <c r="L98" s="180">
        <v>57597276</v>
      </c>
      <c r="M98" s="180"/>
      <c r="N98" s="180">
        <v>1037643</v>
      </c>
      <c r="O98" s="180"/>
      <c r="P98" s="180">
        <v>36771136</v>
      </c>
      <c r="Q98" s="180">
        <v>19458756</v>
      </c>
      <c r="R98" s="180">
        <v>7636830</v>
      </c>
      <c r="S98" s="180">
        <v>16787169</v>
      </c>
      <c r="T98" s="180">
        <v>133945</v>
      </c>
      <c r="U98" s="180">
        <v>27824615</v>
      </c>
      <c r="V98" s="180">
        <v>39337</v>
      </c>
      <c r="W98" s="180">
        <v>12081398</v>
      </c>
      <c r="X98" s="180">
        <v>22681107</v>
      </c>
      <c r="Y98" s="180">
        <v>6022618</v>
      </c>
      <c r="Z98" s="180">
        <v>1751129</v>
      </c>
      <c r="AA98" s="180">
        <v>6142144</v>
      </c>
      <c r="AB98" s="180">
        <v>1327063</v>
      </c>
      <c r="AC98" s="180">
        <v>295342</v>
      </c>
      <c r="AD98" s="180">
        <v>1486622</v>
      </c>
      <c r="AE98" s="180">
        <v>4162354</v>
      </c>
      <c r="AF98" s="180">
        <v>153474</v>
      </c>
      <c r="AG98" s="180">
        <v>56047</v>
      </c>
      <c r="AH98" s="180">
        <v>160519</v>
      </c>
      <c r="AI98" s="180">
        <v>2915539</v>
      </c>
      <c r="AJ98" s="180">
        <v>8245481</v>
      </c>
      <c r="AK98" s="180">
        <v>228730</v>
      </c>
      <c r="AL98" s="180">
        <v>28247</v>
      </c>
      <c r="AM98" s="180">
        <v>26666551</v>
      </c>
      <c r="AN98" s="180">
        <v>22066172</v>
      </c>
      <c r="AO98" s="180"/>
      <c r="AP98" s="180">
        <v>4860555</v>
      </c>
      <c r="AQ98" s="180">
        <v>27638572</v>
      </c>
      <c r="AR98" s="180"/>
      <c r="AS98" s="180"/>
      <c r="AT98" s="180"/>
      <c r="AU98" s="180">
        <v>14295755</v>
      </c>
      <c r="AV98" s="180">
        <v>130012</v>
      </c>
      <c r="AW98" s="180"/>
      <c r="AX98" s="180">
        <v>4149088</v>
      </c>
      <c r="AY98" s="180">
        <v>4644017</v>
      </c>
      <c r="AZ98" s="180"/>
      <c r="BA98" s="180">
        <v>62805</v>
      </c>
      <c r="BB98" s="180">
        <v>2878533</v>
      </c>
      <c r="BC98" s="180"/>
      <c r="BD98" s="180">
        <v>76346</v>
      </c>
      <c r="BE98" s="180">
        <v>31448295</v>
      </c>
      <c r="BF98" s="180"/>
      <c r="BG98" s="180"/>
      <c r="BH98" s="180">
        <v>4240926</v>
      </c>
      <c r="BI98" s="180">
        <v>2798905</v>
      </c>
      <c r="BJ98" s="180">
        <v>669178</v>
      </c>
      <c r="BK98" s="180">
        <v>9827968</v>
      </c>
      <c r="BL98" s="180">
        <v>5360550</v>
      </c>
      <c r="BM98" s="180">
        <v>36117</v>
      </c>
      <c r="BN98" s="180">
        <v>7994212</v>
      </c>
      <c r="BO98" s="180">
        <v>2160921</v>
      </c>
      <c r="BP98" s="180">
        <v>1085203</v>
      </c>
      <c r="BQ98" s="180">
        <v>2371198</v>
      </c>
      <c r="BR98" s="180">
        <v>1962362</v>
      </c>
      <c r="BS98" s="180">
        <v>24960713</v>
      </c>
      <c r="BT98" s="180">
        <v>2382815</v>
      </c>
      <c r="BU98" s="180">
        <v>3725661</v>
      </c>
      <c r="BV98" s="180">
        <v>900220</v>
      </c>
      <c r="BW98" s="180">
        <v>909865</v>
      </c>
      <c r="BX98" s="180"/>
      <c r="BY98" s="180">
        <v>37898</v>
      </c>
      <c r="BZ98" s="180">
        <v>20826914</v>
      </c>
      <c r="CA98" s="180">
        <v>74684</v>
      </c>
      <c r="CB98" s="180"/>
      <c r="CC98" s="180"/>
      <c r="CD98" s="180"/>
      <c r="CE98" s="180"/>
      <c r="CF98" s="180"/>
      <c r="CG98" s="180"/>
      <c r="CH98" s="180"/>
      <c r="CI98" s="180"/>
      <c r="CJ98" s="180"/>
      <c r="CK98" s="180"/>
      <c r="CL98" s="180"/>
      <c r="CM98" s="180"/>
      <c r="CN98" s="180"/>
      <c r="CO98" s="180"/>
      <c r="CP98" s="180"/>
      <c r="CQ98" s="180"/>
      <c r="CR98" s="180"/>
      <c r="CS98" s="180"/>
      <c r="CT98" s="180"/>
      <c r="CU98" s="180"/>
    </row>
    <row r="99" spans="1:99" x14ac:dyDescent="0.3">
      <c r="A99" s="155">
        <v>389</v>
      </c>
      <c r="B99" s="180" t="s">
        <v>187</v>
      </c>
      <c r="C99" s="180"/>
      <c r="D99" s="180">
        <v>0</v>
      </c>
      <c r="E99" s="180">
        <v>0</v>
      </c>
      <c r="F99" s="180"/>
      <c r="G99" s="180">
        <v>0</v>
      </c>
      <c r="H99" s="180">
        <v>0</v>
      </c>
      <c r="I99" s="180">
        <v>0</v>
      </c>
      <c r="J99" s="180">
        <v>0</v>
      </c>
      <c r="K99" s="180">
        <v>0</v>
      </c>
      <c r="L99" s="180">
        <v>0</v>
      </c>
      <c r="M99" s="180"/>
      <c r="N99" s="180">
        <v>0</v>
      </c>
      <c r="O99" s="180"/>
      <c r="P99" s="180">
        <v>0</v>
      </c>
      <c r="Q99" s="180">
        <v>0</v>
      </c>
      <c r="R99" s="180">
        <v>0</v>
      </c>
      <c r="S99" s="180">
        <v>0</v>
      </c>
      <c r="T99" s="180">
        <v>0</v>
      </c>
      <c r="U99" s="180">
        <v>0</v>
      </c>
      <c r="V99" s="180">
        <v>0</v>
      </c>
      <c r="W99" s="180">
        <v>0</v>
      </c>
      <c r="X99" s="180">
        <v>0</v>
      </c>
      <c r="Y99" s="180">
        <v>0</v>
      </c>
      <c r="Z99" s="180">
        <v>0</v>
      </c>
      <c r="AA99" s="180">
        <v>0</v>
      </c>
      <c r="AB99" s="180">
        <v>0</v>
      </c>
      <c r="AC99" s="180">
        <v>0</v>
      </c>
      <c r="AD99" s="180">
        <v>0</v>
      </c>
      <c r="AE99" s="180">
        <v>0</v>
      </c>
      <c r="AF99" s="180">
        <v>0</v>
      </c>
      <c r="AG99" s="180">
        <v>0</v>
      </c>
      <c r="AH99" s="180">
        <v>0</v>
      </c>
      <c r="AI99" s="180">
        <v>926374</v>
      </c>
      <c r="AJ99" s="180">
        <v>0</v>
      </c>
      <c r="AK99" s="180">
        <v>0</v>
      </c>
      <c r="AL99" s="180">
        <v>0</v>
      </c>
      <c r="AM99" s="180">
        <v>0</v>
      </c>
      <c r="AN99" s="180">
        <v>0</v>
      </c>
      <c r="AO99" s="180"/>
      <c r="AP99" s="180">
        <v>0</v>
      </c>
      <c r="AQ99" s="180">
        <v>0</v>
      </c>
      <c r="AR99" s="180"/>
      <c r="AS99" s="180"/>
      <c r="AT99" s="180"/>
      <c r="AU99" s="180">
        <v>0</v>
      </c>
      <c r="AV99" s="180">
        <v>0</v>
      </c>
      <c r="AW99" s="180"/>
      <c r="AX99" s="180">
        <v>0</v>
      </c>
      <c r="AY99" s="180">
        <v>0</v>
      </c>
      <c r="AZ99" s="180"/>
      <c r="BA99" s="180">
        <v>0</v>
      </c>
      <c r="BB99" s="180">
        <v>0</v>
      </c>
      <c r="BC99" s="180"/>
      <c r="BD99" s="180">
        <v>0</v>
      </c>
      <c r="BE99" s="180">
        <v>0</v>
      </c>
      <c r="BF99" s="180"/>
      <c r="BG99" s="180"/>
      <c r="BH99" s="180">
        <v>0</v>
      </c>
      <c r="BI99" s="180">
        <v>0</v>
      </c>
      <c r="BJ99" s="180">
        <v>0</v>
      </c>
      <c r="BK99" s="180">
        <v>0</v>
      </c>
      <c r="BL99" s="180">
        <v>0</v>
      </c>
      <c r="BM99" s="180">
        <v>0</v>
      </c>
      <c r="BN99" s="180">
        <v>0</v>
      </c>
      <c r="BO99" s="180">
        <v>0</v>
      </c>
      <c r="BP99" s="180">
        <v>0</v>
      </c>
      <c r="BQ99" s="180">
        <v>0</v>
      </c>
      <c r="BR99" s="180">
        <v>0</v>
      </c>
      <c r="BS99" s="180">
        <v>0</v>
      </c>
      <c r="BT99" s="180">
        <v>0</v>
      </c>
      <c r="BU99" s="180">
        <v>0</v>
      </c>
      <c r="BV99" s="180">
        <v>0</v>
      </c>
      <c r="BW99" s="180">
        <v>0</v>
      </c>
      <c r="BX99" s="180"/>
      <c r="BY99" s="180">
        <v>0</v>
      </c>
      <c r="BZ99" s="180">
        <v>0</v>
      </c>
      <c r="CA99" s="180">
        <v>0</v>
      </c>
      <c r="CB99" s="180"/>
      <c r="CC99" s="180"/>
      <c r="CD99" s="180"/>
      <c r="CE99" s="180"/>
      <c r="CF99" s="180"/>
      <c r="CG99" s="180"/>
      <c r="CH99" s="180"/>
      <c r="CI99" s="180"/>
      <c r="CJ99" s="180"/>
      <c r="CK99" s="180"/>
      <c r="CL99" s="180"/>
      <c r="CM99" s="180"/>
      <c r="CN99" s="180"/>
      <c r="CO99" s="180"/>
      <c r="CP99" s="180"/>
      <c r="CQ99" s="180"/>
      <c r="CR99" s="180"/>
      <c r="CS99" s="180"/>
      <c r="CT99" s="180"/>
      <c r="CU99" s="180"/>
    </row>
    <row r="100" spans="1:99" x14ac:dyDescent="0.3">
      <c r="A100" s="155">
        <v>391</v>
      </c>
      <c r="B100" s="180" t="s">
        <v>192</v>
      </c>
      <c r="C100" s="180"/>
      <c r="D100" s="180">
        <v>418207</v>
      </c>
      <c r="E100" s="180">
        <v>5567397</v>
      </c>
      <c r="F100" s="180"/>
      <c r="G100" s="180">
        <v>8857387</v>
      </c>
      <c r="H100" s="180">
        <v>963166</v>
      </c>
      <c r="I100" s="180">
        <v>55154</v>
      </c>
      <c r="J100" s="180">
        <v>164292</v>
      </c>
      <c r="K100" s="180">
        <v>486999</v>
      </c>
      <c r="L100" s="180">
        <v>5985748</v>
      </c>
      <c r="M100" s="180"/>
      <c r="N100" s="180">
        <v>145175</v>
      </c>
      <c r="O100" s="180"/>
      <c r="P100" s="180">
        <v>3754716</v>
      </c>
      <c r="Q100" s="180">
        <v>7370707</v>
      </c>
      <c r="R100" s="180">
        <v>679370</v>
      </c>
      <c r="S100" s="180">
        <v>1406546</v>
      </c>
      <c r="T100" s="180">
        <v>135612</v>
      </c>
      <c r="U100" s="180">
        <v>3850634</v>
      </c>
      <c r="V100" s="180">
        <v>3771</v>
      </c>
      <c r="W100" s="180">
        <v>1590069</v>
      </c>
      <c r="X100" s="180">
        <v>3607395</v>
      </c>
      <c r="Y100" s="180">
        <v>580548</v>
      </c>
      <c r="Z100" s="180">
        <v>107997</v>
      </c>
      <c r="AA100" s="180">
        <v>1227501</v>
      </c>
      <c r="AB100" s="180">
        <v>128568</v>
      </c>
      <c r="AC100" s="180">
        <v>12115</v>
      </c>
      <c r="AD100" s="180">
        <v>183884</v>
      </c>
      <c r="AE100" s="180">
        <v>406670</v>
      </c>
      <c r="AF100" s="180">
        <v>11250</v>
      </c>
      <c r="AG100" s="180">
        <v>3957</v>
      </c>
      <c r="AH100" s="180">
        <v>7658</v>
      </c>
      <c r="AI100" s="180">
        <v>306508</v>
      </c>
      <c r="AJ100" s="180">
        <v>1490477</v>
      </c>
      <c r="AK100" s="180">
        <v>25821</v>
      </c>
      <c r="AL100" s="180">
        <v>2746</v>
      </c>
      <c r="AM100" s="180">
        <v>2475404</v>
      </c>
      <c r="AN100" s="180">
        <v>1919872</v>
      </c>
      <c r="AO100" s="180"/>
      <c r="AP100" s="180">
        <v>485581</v>
      </c>
      <c r="AQ100" s="180">
        <v>6085456</v>
      </c>
      <c r="AR100" s="180"/>
      <c r="AS100" s="180"/>
      <c r="AT100" s="180"/>
      <c r="AU100" s="180">
        <v>1242039</v>
      </c>
      <c r="AV100" s="180">
        <v>10943</v>
      </c>
      <c r="AW100" s="180"/>
      <c r="AX100" s="180">
        <v>360686</v>
      </c>
      <c r="AY100" s="180">
        <v>402936</v>
      </c>
      <c r="AZ100" s="180"/>
      <c r="BA100" s="180">
        <v>48105</v>
      </c>
      <c r="BB100" s="180">
        <v>243585</v>
      </c>
      <c r="BC100" s="180"/>
      <c r="BD100" s="180">
        <v>9348</v>
      </c>
      <c r="BE100" s="180">
        <v>2735344</v>
      </c>
      <c r="BF100" s="180"/>
      <c r="BG100" s="180"/>
      <c r="BH100" s="180">
        <v>335988</v>
      </c>
      <c r="BI100" s="180">
        <v>473893</v>
      </c>
      <c r="BJ100" s="180">
        <v>174099</v>
      </c>
      <c r="BK100" s="180">
        <v>534644</v>
      </c>
      <c r="BL100" s="180">
        <v>463008</v>
      </c>
      <c r="BM100" s="180">
        <v>5800</v>
      </c>
      <c r="BN100" s="180">
        <v>1771630</v>
      </c>
      <c r="BO100" s="180">
        <v>444915</v>
      </c>
      <c r="BP100" s="180">
        <v>100003</v>
      </c>
      <c r="BQ100" s="180">
        <v>201582</v>
      </c>
      <c r="BR100" s="180">
        <v>111257</v>
      </c>
      <c r="BS100" s="180">
        <v>1808214</v>
      </c>
      <c r="BT100" s="180">
        <v>215180</v>
      </c>
      <c r="BU100" s="180">
        <v>1305977</v>
      </c>
      <c r="BV100" s="180">
        <v>118000</v>
      </c>
      <c r="BW100" s="180">
        <v>502940</v>
      </c>
      <c r="BX100" s="180"/>
      <c r="BY100" s="180">
        <v>6075</v>
      </c>
      <c r="BZ100" s="180">
        <v>4182828</v>
      </c>
      <c r="CA100" s="180">
        <v>4050</v>
      </c>
      <c r="CB100" s="180"/>
      <c r="CC100" s="180"/>
      <c r="CD100" s="180"/>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500</v>
      </c>
      <c r="B101" s="180" t="s">
        <v>175</v>
      </c>
      <c r="C101" s="180"/>
      <c r="D101" s="180">
        <v>1744521</v>
      </c>
      <c r="E101" s="180">
        <v>28271561</v>
      </c>
      <c r="F101" s="180"/>
      <c r="G101" s="180">
        <v>9710772</v>
      </c>
      <c r="H101" s="180">
        <v>2327789</v>
      </c>
      <c r="I101" s="180">
        <v>123804</v>
      </c>
      <c r="J101" s="180">
        <v>388230</v>
      </c>
      <c r="K101" s="180">
        <v>458073</v>
      </c>
      <c r="L101" s="180">
        <v>2519641</v>
      </c>
      <c r="M101" s="180"/>
      <c r="N101" s="180">
        <v>183321</v>
      </c>
      <c r="O101" s="180"/>
      <c r="P101" s="180">
        <v>2565653</v>
      </c>
      <c r="Q101" s="180">
        <v>10996690</v>
      </c>
      <c r="R101" s="180">
        <v>2044133</v>
      </c>
      <c r="S101" s="180">
        <v>857071</v>
      </c>
      <c r="T101" s="180">
        <v>253649</v>
      </c>
      <c r="U101" s="180">
        <v>0</v>
      </c>
      <c r="V101" s="180">
        <v>106586</v>
      </c>
      <c r="W101" s="180">
        <v>9655540</v>
      </c>
      <c r="X101" s="180">
        <v>5296606</v>
      </c>
      <c r="Y101" s="180">
        <v>404410</v>
      </c>
      <c r="Z101" s="180">
        <v>815604</v>
      </c>
      <c r="AA101" s="180">
        <v>16506420</v>
      </c>
      <c r="AB101" s="180">
        <v>695660</v>
      </c>
      <c r="AC101" s="180">
        <v>59</v>
      </c>
      <c r="AD101" s="180">
        <v>152622</v>
      </c>
      <c r="AE101" s="180">
        <v>948527</v>
      </c>
      <c r="AF101" s="180">
        <v>268441</v>
      </c>
      <c r="AG101" s="180">
        <v>9304</v>
      </c>
      <c r="AH101" s="180">
        <v>102488</v>
      </c>
      <c r="AI101" s="180">
        <v>771547</v>
      </c>
      <c r="AJ101" s="180">
        <v>3050794</v>
      </c>
      <c r="AK101" s="180">
        <v>139259</v>
      </c>
      <c r="AL101" s="180">
        <v>8764</v>
      </c>
      <c r="AM101" s="180">
        <v>8744587</v>
      </c>
      <c r="AN101" s="180">
        <v>335707</v>
      </c>
      <c r="AO101" s="180"/>
      <c r="AP101" s="180">
        <v>1514720</v>
      </c>
      <c r="AQ101" s="180">
        <v>3119024</v>
      </c>
      <c r="AR101" s="180"/>
      <c r="AS101" s="180"/>
      <c r="AT101" s="180"/>
      <c r="AU101" s="180">
        <v>1674959</v>
      </c>
      <c r="AV101" s="180">
        <v>30158</v>
      </c>
      <c r="AW101" s="180"/>
      <c r="AX101" s="180">
        <v>2754691</v>
      </c>
      <c r="AY101" s="180">
        <v>1605689</v>
      </c>
      <c r="AZ101" s="180"/>
      <c r="BA101" s="180">
        <v>50684</v>
      </c>
      <c r="BB101" s="180">
        <v>3022879</v>
      </c>
      <c r="BC101" s="180"/>
      <c r="BD101" s="180">
        <v>15239</v>
      </c>
      <c r="BE101" s="180">
        <v>981002</v>
      </c>
      <c r="BF101" s="180"/>
      <c r="BG101" s="180"/>
      <c r="BH101" s="180">
        <v>3689908</v>
      </c>
      <c r="BI101" s="180">
        <v>266277</v>
      </c>
      <c r="BJ101" s="180">
        <v>126035</v>
      </c>
      <c r="BK101" s="180">
        <v>606490</v>
      </c>
      <c r="BL101" s="180">
        <v>336342</v>
      </c>
      <c r="BM101" s="180">
        <v>15750</v>
      </c>
      <c r="BN101" s="180">
        <v>1033536</v>
      </c>
      <c r="BO101" s="180">
        <v>492902</v>
      </c>
      <c r="BP101" s="180">
        <v>181693</v>
      </c>
      <c r="BQ101" s="180">
        <v>569636</v>
      </c>
      <c r="BR101" s="180">
        <v>332744</v>
      </c>
      <c r="BS101" s="180">
        <v>3118085</v>
      </c>
      <c r="BT101" s="180">
        <v>778567</v>
      </c>
      <c r="BU101" s="180">
        <v>1841397</v>
      </c>
      <c r="BV101" s="180">
        <v>0</v>
      </c>
      <c r="BW101" s="180">
        <v>81441</v>
      </c>
      <c r="BX101" s="180"/>
      <c r="BY101" s="180">
        <v>30108</v>
      </c>
      <c r="BZ101" s="180">
        <v>2259324</v>
      </c>
      <c r="CA101" s="180">
        <v>77743</v>
      </c>
      <c r="CB101" s="180"/>
      <c r="CC101" s="180"/>
      <c r="CD101" s="180"/>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502</v>
      </c>
      <c r="B102" s="180" t="s">
        <v>177</v>
      </c>
      <c r="C102" s="180"/>
      <c r="D102" s="180">
        <v>0</v>
      </c>
      <c r="E102" s="180">
        <v>5076594</v>
      </c>
      <c r="F102" s="180"/>
      <c r="G102" s="180">
        <v>58877282</v>
      </c>
      <c r="H102" s="180">
        <v>0</v>
      </c>
      <c r="I102" s="180">
        <v>229515</v>
      </c>
      <c r="J102" s="180">
        <v>6497405</v>
      </c>
      <c r="K102" s="180">
        <v>716449</v>
      </c>
      <c r="L102" s="180">
        <v>17686755</v>
      </c>
      <c r="M102" s="180"/>
      <c r="N102" s="180">
        <v>1708328</v>
      </c>
      <c r="O102" s="180"/>
      <c r="P102" s="180">
        <v>1274611</v>
      </c>
      <c r="Q102" s="180">
        <v>8063107</v>
      </c>
      <c r="R102" s="180">
        <v>7155256</v>
      </c>
      <c r="S102" s="180">
        <v>12464987</v>
      </c>
      <c r="T102" s="180">
        <v>28098</v>
      </c>
      <c r="U102" s="180">
        <v>54581181</v>
      </c>
      <c r="V102" s="180">
        <v>0</v>
      </c>
      <c r="W102" s="180">
        <v>0</v>
      </c>
      <c r="X102" s="180">
        <v>0</v>
      </c>
      <c r="Y102" s="180">
        <v>3327113</v>
      </c>
      <c r="Z102" s="180">
        <v>1680681</v>
      </c>
      <c r="AA102" s="180">
        <v>1049354</v>
      </c>
      <c r="AB102" s="180">
        <v>0</v>
      </c>
      <c r="AC102" s="180">
        <v>83004</v>
      </c>
      <c r="AD102" s="180">
        <v>2257700</v>
      </c>
      <c r="AE102" s="180">
        <v>4081779</v>
      </c>
      <c r="AF102" s="180">
        <v>39268</v>
      </c>
      <c r="AG102" s="180">
        <v>0</v>
      </c>
      <c r="AH102" s="180">
        <v>0</v>
      </c>
      <c r="AI102" s="180">
        <v>71635</v>
      </c>
      <c r="AJ102" s="180">
        <v>4663450</v>
      </c>
      <c r="AK102" s="180">
        <v>100651</v>
      </c>
      <c r="AL102" s="180">
        <v>0</v>
      </c>
      <c r="AM102" s="180">
        <v>0</v>
      </c>
      <c r="AN102" s="180">
        <v>10909415</v>
      </c>
      <c r="AO102" s="180"/>
      <c r="AP102" s="180">
        <v>0</v>
      </c>
      <c r="AQ102" s="180">
        <v>50766373</v>
      </c>
      <c r="AR102" s="180"/>
      <c r="AS102" s="180"/>
      <c r="AT102" s="180"/>
      <c r="AU102" s="180">
        <v>12636740</v>
      </c>
      <c r="AV102" s="180">
        <v>1302798</v>
      </c>
      <c r="AW102" s="180"/>
      <c r="AX102" s="180">
        <v>949613</v>
      </c>
      <c r="AY102" s="180">
        <v>1188711</v>
      </c>
      <c r="AZ102" s="180"/>
      <c r="BA102" s="180">
        <v>5335</v>
      </c>
      <c r="BB102" s="180">
        <v>632893</v>
      </c>
      <c r="BC102" s="180"/>
      <c r="BD102" s="180">
        <v>0</v>
      </c>
      <c r="BE102" s="180">
        <v>7297745</v>
      </c>
      <c r="BF102" s="180"/>
      <c r="BG102" s="180"/>
      <c r="BH102" s="180">
        <v>697700</v>
      </c>
      <c r="BI102" s="180">
        <v>2493203</v>
      </c>
      <c r="BJ102" s="180">
        <v>0</v>
      </c>
      <c r="BK102" s="180">
        <v>8754452</v>
      </c>
      <c r="BL102" s="180">
        <v>3553312</v>
      </c>
      <c r="BM102" s="180">
        <v>0</v>
      </c>
      <c r="BN102" s="180">
        <v>2556527</v>
      </c>
      <c r="BO102" s="180">
        <v>3928745</v>
      </c>
      <c r="BP102" s="180">
        <v>1563787</v>
      </c>
      <c r="BQ102" s="180">
        <v>2817493</v>
      </c>
      <c r="BR102" s="180">
        <v>0</v>
      </c>
      <c r="BS102" s="180">
        <v>0</v>
      </c>
      <c r="BT102" s="180">
        <v>1024178</v>
      </c>
      <c r="BU102" s="180">
        <v>1948068</v>
      </c>
      <c r="BV102" s="180">
        <v>720068</v>
      </c>
      <c r="BW102" s="180">
        <v>1606939</v>
      </c>
      <c r="BX102" s="180"/>
      <c r="BY102" s="180">
        <v>0</v>
      </c>
      <c r="BZ102" s="180">
        <v>10061364</v>
      </c>
      <c r="CA102" s="180">
        <v>0</v>
      </c>
      <c r="CB102" s="180"/>
      <c r="CC102" s="180"/>
      <c r="CD102" s="180"/>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503</v>
      </c>
      <c r="B103" s="180" t="s">
        <v>178</v>
      </c>
      <c r="C103" s="180"/>
      <c r="D103" s="180">
        <v>0</v>
      </c>
      <c r="E103" s="180">
        <v>0</v>
      </c>
      <c r="F103" s="180"/>
      <c r="G103" s="180">
        <v>5006759</v>
      </c>
      <c r="H103" s="180">
        <v>0</v>
      </c>
      <c r="I103" s="180">
        <v>29726</v>
      </c>
      <c r="J103" s="180">
        <v>81450</v>
      </c>
      <c r="K103" s="180">
        <v>23151</v>
      </c>
      <c r="L103" s="180">
        <v>6074984</v>
      </c>
      <c r="M103" s="180"/>
      <c r="N103" s="180">
        <v>196004</v>
      </c>
      <c r="O103" s="180"/>
      <c r="P103" s="180">
        <v>0</v>
      </c>
      <c r="Q103" s="180">
        <v>1340159</v>
      </c>
      <c r="R103" s="180">
        <v>492399</v>
      </c>
      <c r="S103" s="180">
        <v>630584</v>
      </c>
      <c r="T103" s="180">
        <v>0</v>
      </c>
      <c r="U103" s="180">
        <v>1775612</v>
      </c>
      <c r="V103" s="180">
        <v>0</v>
      </c>
      <c r="W103" s="180">
        <v>0</v>
      </c>
      <c r="X103" s="180">
        <v>0</v>
      </c>
      <c r="Y103" s="180">
        <v>350756</v>
      </c>
      <c r="Z103" s="180">
        <v>2213994</v>
      </c>
      <c r="AA103" s="180">
        <v>0</v>
      </c>
      <c r="AB103" s="180">
        <v>0</v>
      </c>
      <c r="AC103" s="180">
        <v>0</v>
      </c>
      <c r="AD103" s="180">
        <v>36827</v>
      </c>
      <c r="AE103" s="180">
        <v>152243</v>
      </c>
      <c r="AF103" s="180">
        <v>6833</v>
      </c>
      <c r="AG103" s="180">
        <v>0</v>
      </c>
      <c r="AH103" s="180">
        <v>0</v>
      </c>
      <c r="AI103" s="180">
        <v>0</v>
      </c>
      <c r="AJ103" s="180">
        <v>870289</v>
      </c>
      <c r="AK103" s="180">
        <v>15300</v>
      </c>
      <c r="AL103" s="180">
        <v>0</v>
      </c>
      <c r="AM103" s="180">
        <v>0</v>
      </c>
      <c r="AN103" s="180">
        <v>193081</v>
      </c>
      <c r="AO103" s="180"/>
      <c r="AP103" s="180">
        <v>0</v>
      </c>
      <c r="AQ103" s="180">
        <v>17682769</v>
      </c>
      <c r="AR103" s="180"/>
      <c r="AS103" s="180"/>
      <c r="AT103" s="180"/>
      <c r="AU103" s="180">
        <v>420986</v>
      </c>
      <c r="AV103" s="180">
        <v>52189</v>
      </c>
      <c r="AW103" s="180"/>
      <c r="AX103" s="180">
        <v>110394</v>
      </c>
      <c r="AY103" s="180">
        <v>75689</v>
      </c>
      <c r="AZ103" s="180"/>
      <c r="BA103" s="180">
        <v>0</v>
      </c>
      <c r="BB103" s="180">
        <v>142492</v>
      </c>
      <c r="BC103" s="180"/>
      <c r="BD103" s="180">
        <v>0</v>
      </c>
      <c r="BE103" s="180">
        <v>6321049</v>
      </c>
      <c r="BF103" s="180"/>
      <c r="BG103" s="180"/>
      <c r="BH103" s="180">
        <v>44920</v>
      </c>
      <c r="BI103" s="180">
        <v>0</v>
      </c>
      <c r="BJ103" s="180">
        <v>127870</v>
      </c>
      <c r="BK103" s="180">
        <v>185738</v>
      </c>
      <c r="BL103" s="180">
        <v>203472</v>
      </c>
      <c r="BM103" s="180">
        <v>0</v>
      </c>
      <c r="BN103" s="180">
        <v>338259</v>
      </c>
      <c r="BO103" s="180">
        <v>90875</v>
      </c>
      <c r="BP103" s="180">
        <v>37740</v>
      </c>
      <c r="BQ103" s="180">
        <v>63994</v>
      </c>
      <c r="BR103" s="180">
        <v>0</v>
      </c>
      <c r="BS103" s="180">
        <v>0</v>
      </c>
      <c r="BT103" s="180">
        <v>0</v>
      </c>
      <c r="BU103" s="180">
        <v>82494</v>
      </c>
      <c r="BV103" s="180">
        <v>167368</v>
      </c>
      <c r="BW103" s="180">
        <v>27259</v>
      </c>
      <c r="BX103" s="180"/>
      <c r="BY103" s="180">
        <v>0</v>
      </c>
      <c r="BZ103" s="180">
        <v>14484677</v>
      </c>
      <c r="CA103" s="180">
        <v>0</v>
      </c>
      <c r="CB103" s="180"/>
      <c r="CC103" s="180"/>
      <c r="CD103" s="180"/>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504</v>
      </c>
      <c r="B104" s="180" t="s">
        <v>182</v>
      </c>
      <c r="C104" s="180"/>
      <c r="D104" s="180">
        <v>18963</v>
      </c>
      <c r="E104" s="180">
        <v>948751</v>
      </c>
      <c r="F104" s="180"/>
      <c r="G104" s="180">
        <v>9800722</v>
      </c>
      <c r="H104" s="180">
        <v>886491</v>
      </c>
      <c r="I104" s="180">
        <v>93023</v>
      </c>
      <c r="J104" s="180">
        <v>319218</v>
      </c>
      <c r="K104" s="180">
        <v>343909</v>
      </c>
      <c r="L104" s="180">
        <v>13845920</v>
      </c>
      <c r="M104" s="180"/>
      <c r="N104" s="180">
        <v>47855</v>
      </c>
      <c r="O104" s="180"/>
      <c r="P104" s="180">
        <v>4117241</v>
      </c>
      <c r="Q104" s="180">
        <v>1198912</v>
      </c>
      <c r="R104" s="180">
        <v>1721897</v>
      </c>
      <c r="S104" s="180">
        <v>2811090</v>
      </c>
      <c r="T104" s="180">
        <v>25121</v>
      </c>
      <c r="U104" s="180">
        <v>958879</v>
      </c>
      <c r="V104" s="180">
        <v>5391</v>
      </c>
      <c r="W104" s="180">
        <v>173036</v>
      </c>
      <c r="X104" s="180">
        <v>2755342</v>
      </c>
      <c r="Y104" s="180">
        <v>382339</v>
      </c>
      <c r="Z104" s="180">
        <v>261855</v>
      </c>
      <c r="AA104" s="180">
        <v>539405</v>
      </c>
      <c r="AB104" s="180">
        <v>97273</v>
      </c>
      <c r="AC104" s="180">
        <v>14653</v>
      </c>
      <c r="AD104" s="180">
        <v>319845</v>
      </c>
      <c r="AE104" s="180">
        <v>398246</v>
      </c>
      <c r="AF104" s="180">
        <v>45443</v>
      </c>
      <c r="AG104" s="180">
        <v>2970</v>
      </c>
      <c r="AH104" s="180">
        <v>30030</v>
      </c>
      <c r="AI104" s="180">
        <v>143085</v>
      </c>
      <c r="AJ104" s="180">
        <v>956717</v>
      </c>
      <c r="AK104" s="180">
        <v>152607</v>
      </c>
      <c r="AL104" s="180">
        <v>0</v>
      </c>
      <c r="AM104" s="180">
        <v>423300</v>
      </c>
      <c r="AN104" s="180">
        <v>2151084</v>
      </c>
      <c r="AO104" s="180"/>
      <c r="AP104" s="180">
        <v>1607748</v>
      </c>
      <c r="AQ104" s="180">
        <v>1382085</v>
      </c>
      <c r="AR104" s="180"/>
      <c r="AS104" s="180"/>
      <c r="AT104" s="180"/>
      <c r="AU104" s="180">
        <v>1446519</v>
      </c>
      <c r="AV104" s="180">
        <v>5552</v>
      </c>
      <c r="AW104" s="180"/>
      <c r="AX104" s="180">
        <v>179612</v>
      </c>
      <c r="AY104" s="180">
        <v>356293</v>
      </c>
      <c r="AZ104" s="180"/>
      <c r="BA104" s="180">
        <v>16460</v>
      </c>
      <c r="BB104" s="180">
        <v>2102170</v>
      </c>
      <c r="BC104" s="180"/>
      <c r="BD104" s="180">
        <v>4079</v>
      </c>
      <c r="BE104" s="180">
        <v>4606309</v>
      </c>
      <c r="BF104" s="180"/>
      <c r="BG104" s="180"/>
      <c r="BH104" s="180">
        <v>621511</v>
      </c>
      <c r="BI104" s="180">
        <v>79439</v>
      </c>
      <c r="BJ104" s="180">
        <v>34771</v>
      </c>
      <c r="BK104" s="180">
        <v>1045157</v>
      </c>
      <c r="BL104" s="180">
        <v>86467</v>
      </c>
      <c r="BM104" s="180">
        <v>0</v>
      </c>
      <c r="BN104" s="180">
        <v>1998967</v>
      </c>
      <c r="BO104" s="180">
        <v>10000</v>
      </c>
      <c r="BP104" s="180">
        <v>177655</v>
      </c>
      <c r="BQ104" s="180">
        <v>136571</v>
      </c>
      <c r="BR104" s="180">
        <v>602957</v>
      </c>
      <c r="BS104" s="180">
        <v>6305242</v>
      </c>
      <c r="BT104" s="180">
        <v>129176</v>
      </c>
      <c r="BU104" s="180">
        <v>280717</v>
      </c>
      <c r="BV104" s="180">
        <v>118541</v>
      </c>
      <c r="BW104" s="180">
        <v>25707</v>
      </c>
      <c r="BX104" s="180"/>
      <c r="BY104" s="180">
        <v>3145</v>
      </c>
      <c r="BZ104" s="180">
        <v>1071973</v>
      </c>
      <c r="CA104" s="180">
        <v>5475</v>
      </c>
      <c r="CB104" s="180"/>
      <c r="CC104" s="180"/>
      <c r="CD104" s="180"/>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505</v>
      </c>
      <c r="B105" s="180" t="s">
        <v>183</v>
      </c>
      <c r="C105" s="180"/>
      <c r="D105" s="180">
        <v>16499</v>
      </c>
      <c r="E105" s="180">
        <v>13094535</v>
      </c>
      <c r="F105" s="180"/>
      <c r="G105" s="180">
        <v>4043035</v>
      </c>
      <c r="H105" s="180">
        <v>369401</v>
      </c>
      <c r="I105" s="180">
        <v>0</v>
      </c>
      <c r="J105" s="180">
        <v>0</v>
      </c>
      <c r="K105" s="180">
        <v>0</v>
      </c>
      <c r="L105" s="180">
        <v>3989941</v>
      </c>
      <c r="M105" s="180"/>
      <c r="N105" s="180">
        <v>0</v>
      </c>
      <c r="O105" s="180"/>
      <c r="P105" s="180">
        <v>588071</v>
      </c>
      <c r="Q105" s="180">
        <v>4491675</v>
      </c>
      <c r="R105" s="180">
        <v>1000000</v>
      </c>
      <c r="S105" s="180">
        <v>0</v>
      </c>
      <c r="T105" s="180">
        <v>0</v>
      </c>
      <c r="U105" s="180">
        <v>0</v>
      </c>
      <c r="V105" s="180">
        <v>0</v>
      </c>
      <c r="W105" s="180">
        <v>1229245</v>
      </c>
      <c r="X105" s="180">
        <v>2550000</v>
      </c>
      <c r="Y105" s="180">
        <v>0</v>
      </c>
      <c r="Z105" s="180">
        <v>478841</v>
      </c>
      <c r="AA105" s="180">
        <v>882854</v>
      </c>
      <c r="AB105" s="180">
        <v>0</v>
      </c>
      <c r="AC105" s="180">
        <v>8900</v>
      </c>
      <c r="AD105" s="180">
        <v>0</v>
      </c>
      <c r="AE105" s="180">
        <v>12167</v>
      </c>
      <c r="AF105" s="180">
        <v>98825</v>
      </c>
      <c r="AG105" s="180">
        <v>0</v>
      </c>
      <c r="AH105" s="180">
        <v>0</v>
      </c>
      <c r="AI105" s="180">
        <v>317000</v>
      </c>
      <c r="AJ105" s="180">
        <v>0</v>
      </c>
      <c r="AK105" s="180">
        <v>205580</v>
      </c>
      <c r="AL105" s="180">
        <v>0</v>
      </c>
      <c r="AM105" s="180">
        <v>9008644</v>
      </c>
      <c r="AN105" s="180">
        <v>181045</v>
      </c>
      <c r="AO105" s="180"/>
      <c r="AP105" s="180">
        <v>277430</v>
      </c>
      <c r="AQ105" s="180">
        <v>0</v>
      </c>
      <c r="AR105" s="180"/>
      <c r="AS105" s="180"/>
      <c r="AT105" s="180"/>
      <c r="AU105" s="180">
        <v>1385764</v>
      </c>
      <c r="AV105" s="180">
        <v>30000</v>
      </c>
      <c r="AW105" s="180"/>
      <c r="AX105" s="180">
        <v>6322</v>
      </c>
      <c r="AY105" s="180">
        <v>0</v>
      </c>
      <c r="AZ105" s="180"/>
      <c r="BA105" s="180">
        <v>0</v>
      </c>
      <c r="BB105" s="180">
        <v>0</v>
      </c>
      <c r="BC105" s="180"/>
      <c r="BD105" s="180">
        <v>0</v>
      </c>
      <c r="BE105" s="180">
        <v>2212932</v>
      </c>
      <c r="BF105" s="180"/>
      <c r="BG105" s="180"/>
      <c r="BH105" s="180">
        <v>0</v>
      </c>
      <c r="BI105" s="180">
        <v>0</v>
      </c>
      <c r="BJ105" s="180">
        <v>0</v>
      </c>
      <c r="BK105" s="180">
        <v>0</v>
      </c>
      <c r="BL105" s="180">
        <v>0</v>
      </c>
      <c r="BM105" s="180">
        <v>0</v>
      </c>
      <c r="BN105" s="180">
        <v>697700</v>
      </c>
      <c r="BO105" s="180">
        <v>220988</v>
      </c>
      <c r="BP105" s="180">
        <v>0</v>
      </c>
      <c r="BQ105" s="180">
        <v>0</v>
      </c>
      <c r="BR105" s="180">
        <v>731018</v>
      </c>
      <c r="BS105" s="180">
        <v>718653</v>
      </c>
      <c r="BT105" s="180">
        <v>0</v>
      </c>
      <c r="BU105" s="180">
        <v>24000</v>
      </c>
      <c r="BV105" s="180">
        <v>0</v>
      </c>
      <c r="BW105" s="180">
        <v>0</v>
      </c>
      <c r="BX105" s="180"/>
      <c r="BY105" s="180">
        <v>9472</v>
      </c>
      <c r="BZ105" s="180">
        <v>4284192</v>
      </c>
      <c r="CA105" s="180">
        <v>0</v>
      </c>
      <c r="CB105" s="180"/>
      <c r="CC105" s="180"/>
      <c r="CD105" s="180"/>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506</v>
      </c>
      <c r="B106" s="180" t="s">
        <v>189</v>
      </c>
      <c r="C106" s="180"/>
      <c r="D106" s="180">
        <v>626991</v>
      </c>
      <c r="E106" s="180">
        <v>24078219</v>
      </c>
      <c r="F106" s="180"/>
      <c r="G106" s="180">
        <v>27026385</v>
      </c>
      <c r="H106" s="180">
        <v>3259100</v>
      </c>
      <c r="I106" s="180">
        <v>440637</v>
      </c>
      <c r="J106" s="180">
        <v>2545472</v>
      </c>
      <c r="K106" s="180">
        <v>1161016</v>
      </c>
      <c r="L106" s="180">
        <v>50067285</v>
      </c>
      <c r="M106" s="180"/>
      <c r="N106" s="180">
        <v>783353</v>
      </c>
      <c r="O106" s="180"/>
      <c r="P106" s="180">
        <v>18102966</v>
      </c>
      <c r="Q106" s="180">
        <v>20356718</v>
      </c>
      <c r="R106" s="180">
        <v>2977947</v>
      </c>
      <c r="S106" s="180">
        <v>10769995</v>
      </c>
      <c r="T106" s="180">
        <v>212133</v>
      </c>
      <c r="U106" s="180">
        <v>12595981</v>
      </c>
      <c r="V106" s="180">
        <v>166751</v>
      </c>
      <c r="W106" s="180">
        <v>9964317</v>
      </c>
      <c r="X106" s="180">
        <v>10514875</v>
      </c>
      <c r="Y106" s="180">
        <v>6512653</v>
      </c>
      <c r="Z106" s="180">
        <v>2411952</v>
      </c>
      <c r="AA106" s="180">
        <v>4270158</v>
      </c>
      <c r="AB106" s="180">
        <v>1416249</v>
      </c>
      <c r="AC106" s="180">
        <v>325808</v>
      </c>
      <c r="AD106" s="180">
        <v>1542340</v>
      </c>
      <c r="AE106" s="180">
        <v>1951036</v>
      </c>
      <c r="AF106" s="180">
        <v>120435</v>
      </c>
      <c r="AG106" s="180">
        <v>76904</v>
      </c>
      <c r="AH106" s="180">
        <v>167857</v>
      </c>
      <c r="AI106" s="180">
        <v>2439206</v>
      </c>
      <c r="AJ106" s="180">
        <v>2784006</v>
      </c>
      <c r="AK106" s="180">
        <v>346631</v>
      </c>
      <c r="AL106" s="180">
        <v>127717</v>
      </c>
      <c r="AM106" s="180">
        <v>11703495</v>
      </c>
      <c r="AN106" s="180">
        <v>15966260</v>
      </c>
      <c r="AO106" s="180"/>
      <c r="AP106" s="180">
        <v>7274408</v>
      </c>
      <c r="AQ106" s="180">
        <v>12033437</v>
      </c>
      <c r="AR106" s="180"/>
      <c r="AS106" s="180"/>
      <c r="AT106" s="180"/>
      <c r="AU106" s="180">
        <v>8060745</v>
      </c>
      <c r="AV106" s="180">
        <v>290054</v>
      </c>
      <c r="AW106" s="180"/>
      <c r="AX106" s="180">
        <v>3611312</v>
      </c>
      <c r="AY106" s="180">
        <v>3009156</v>
      </c>
      <c r="AZ106" s="180"/>
      <c r="BA106" s="180">
        <v>132754</v>
      </c>
      <c r="BB106" s="180">
        <v>2371779</v>
      </c>
      <c r="BC106" s="180"/>
      <c r="BD106" s="180">
        <v>399197</v>
      </c>
      <c r="BE106" s="180">
        <v>6729661</v>
      </c>
      <c r="BF106" s="180"/>
      <c r="BG106" s="180"/>
      <c r="BH106" s="180">
        <v>3224578</v>
      </c>
      <c r="BI106" s="180">
        <v>4668289</v>
      </c>
      <c r="BJ106" s="180">
        <v>500803</v>
      </c>
      <c r="BK106" s="180">
        <v>4503062</v>
      </c>
      <c r="BL106" s="180">
        <v>7126650</v>
      </c>
      <c r="BM106" s="180">
        <v>176865</v>
      </c>
      <c r="BN106" s="180">
        <v>4276370</v>
      </c>
      <c r="BO106" s="180">
        <v>4697973</v>
      </c>
      <c r="BP106" s="180">
        <v>1577230</v>
      </c>
      <c r="BQ106" s="180">
        <v>2128446</v>
      </c>
      <c r="BR106" s="180">
        <v>2487709</v>
      </c>
      <c r="BS106" s="180">
        <v>17395340</v>
      </c>
      <c r="BT106" s="180">
        <v>2321055</v>
      </c>
      <c r="BU106" s="180">
        <v>1967927</v>
      </c>
      <c r="BV106" s="180">
        <v>935125</v>
      </c>
      <c r="BW106" s="180">
        <v>1530804</v>
      </c>
      <c r="BX106" s="180"/>
      <c r="BY106" s="180">
        <v>188656</v>
      </c>
      <c r="BZ106" s="180">
        <v>18906921</v>
      </c>
      <c r="CA106" s="180">
        <v>54257</v>
      </c>
      <c r="CB106" s="180"/>
      <c r="CC106" s="180"/>
      <c r="CD106" s="180"/>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507</v>
      </c>
      <c r="B107" s="180" t="s">
        <v>926</v>
      </c>
      <c r="C107" s="180"/>
      <c r="D107" s="180">
        <v>0</v>
      </c>
      <c r="E107" s="180">
        <v>0</v>
      </c>
      <c r="F107" s="180"/>
      <c r="G107" s="180">
        <v>0</v>
      </c>
      <c r="H107" s="180">
        <v>8088</v>
      </c>
      <c r="I107" s="180">
        <v>0</v>
      </c>
      <c r="J107" s="180">
        <v>0</v>
      </c>
      <c r="K107" s="180">
        <v>0</v>
      </c>
      <c r="L107" s="180">
        <v>951105</v>
      </c>
      <c r="M107" s="180"/>
      <c r="N107" s="180">
        <v>0</v>
      </c>
      <c r="O107" s="180"/>
      <c r="P107" s="180">
        <v>0</v>
      </c>
      <c r="Q107" s="180">
        <v>0</v>
      </c>
      <c r="R107" s="180">
        <v>-2</v>
      </c>
      <c r="S107" s="180">
        <v>0</v>
      </c>
      <c r="T107" s="180">
        <v>0</v>
      </c>
      <c r="U107" s="180">
        <v>0</v>
      </c>
      <c r="V107" s="180">
        <v>0</v>
      </c>
      <c r="W107" s="180">
        <v>0</v>
      </c>
      <c r="X107" s="180">
        <v>0</v>
      </c>
      <c r="Y107" s="180">
        <v>-2</v>
      </c>
      <c r="Z107" s="180">
        <v>-9373</v>
      </c>
      <c r="AA107" s="180">
        <v>0</v>
      </c>
      <c r="AB107" s="180">
        <v>0</v>
      </c>
      <c r="AC107" s="180">
        <v>44461</v>
      </c>
      <c r="AD107" s="180">
        <v>0</v>
      </c>
      <c r="AE107" s="180">
        <v>0</v>
      </c>
      <c r="AF107" s="180">
        <v>0</v>
      </c>
      <c r="AG107" s="180">
        <v>0</v>
      </c>
      <c r="AH107" s="180">
        <v>0</v>
      </c>
      <c r="AI107" s="180">
        <v>-1155</v>
      </c>
      <c r="AJ107" s="180">
        <v>431620</v>
      </c>
      <c r="AK107" s="180">
        <v>0</v>
      </c>
      <c r="AL107" s="180">
        <v>0</v>
      </c>
      <c r="AM107" s="180">
        <v>0</v>
      </c>
      <c r="AN107" s="180">
        <v>3227</v>
      </c>
      <c r="AO107" s="180"/>
      <c r="AP107" s="180">
        <v>0</v>
      </c>
      <c r="AQ107" s="180">
        <v>-2090365</v>
      </c>
      <c r="AR107" s="180"/>
      <c r="AS107" s="180"/>
      <c r="AT107" s="180"/>
      <c r="AU107" s="180">
        <v>-1</v>
      </c>
      <c r="AV107" s="180">
        <v>0</v>
      </c>
      <c r="AW107" s="180"/>
      <c r="AX107" s="180">
        <v>-1</v>
      </c>
      <c r="AY107" s="180">
        <v>0</v>
      </c>
      <c r="AZ107" s="180"/>
      <c r="BA107" s="180">
        <v>0</v>
      </c>
      <c r="BB107" s="180">
        <v>0</v>
      </c>
      <c r="BC107" s="180"/>
      <c r="BD107" s="180">
        <v>0</v>
      </c>
      <c r="BE107" s="180">
        <v>0</v>
      </c>
      <c r="BF107" s="180"/>
      <c r="BG107" s="180"/>
      <c r="BH107" s="180">
        <v>0</v>
      </c>
      <c r="BI107" s="180">
        <v>0</v>
      </c>
      <c r="BJ107" s="180">
        <v>0</v>
      </c>
      <c r="BK107" s="180">
        <v>0</v>
      </c>
      <c r="BL107" s="180">
        <v>0</v>
      </c>
      <c r="BM107" s="180">
        <v>0</v>
      </c>
      <c r="BN107" s="180">
        <v>0</v>
      </c>
      <c r="BO107" s="180">
        <v>0</v>
      </c>
      <c r="BP107" s="180">
        <v>0</v>
      </c>
      <c r="BQ107" s="180">
        <v>-3</v>
      </c>
      <c r="BR107" s="180">
        <v>0</v>
      </c>
      <c r="BS107" s="180">
        <v>0</v>
      </c>
      <c r="BT107" s="180">
        <v>0</v>
      </c>
      <c r="BU107" s="180">
        <v>0</v>
      </c>
      <c r="BV107" s="180">
        <v>0</v>
      </c>
      <c r="BW107" s="180">
        <v>0</v>
      </c>
      <c r="BX107" s="180"/>
      <c r="BY107" s="180">
        <v>0</v>
      </c>
      <c r="BZ107" s="180">
        <v>1</v>
      </c>
      <c r="CA107" s="180">
        <v>0</v>
      </c>
      <c r="CB107" s="180"/>
      <c r="CC107" s="180"/>
      <c r="CD107" s="180"/>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508</v>
      </c>
      <c r="B108" s="180" t="s">
        <v>204</v>
      </c>
      <c r="C108" s="180"/>
      <c r="D108" s="180">
        <v>0</v>
      </c>
      <c r="E108" s="180">
        <v>0</v>
      </c>
      <c r="F108" s="180"/>
      <c r="G108" s="180">
        <v>0</v>
      </c>
      <c r="H108" s="180">
        <v>0</v>
      </c>
      <c r="I108" s="180">
        <v>0</v>
      </c>
      <c r="J108" s="180">
        <v>0</v>
      </c>
      <c r="K108" s="180">
        <v>0</v>
      </c>
      <c r="L108" s="180">
        <v>0</v>
      </c>
      <c r="M108" s="180"/>
      <c r="N108" s="180">
        <v>0</v>
      </c>
      <c r="O108" s="180"/>
      <c r="P108" s="180">
        <v>0</v>
      </c>
      <c r="Q108" s="180">
        <v>0</v>
      </c>
      <c r="R108" s="180">
        <v>0</v>
      </c>
      <c r="S108" s="180">
        <v>0</v>
      </c>
      <c r="T108" s="180">
        <v>0</v>
      </c>
      <c r="U108" s="180">
        <v>0</v>
      </c>
      <c r="V108" s="180">
        <v>0</v>
      </c>
      <c r="W108" s="180">
        <v>0</v>
      </c>
      <c r="X108" s="180">
        <v>0</v>
      </c>
      <c r="Y108" s="180">
        <v>0</v>
      </c>
      <c r="Z108" s="180">
        <v>0</v>
      </c>
      <c r="AA108" s="180">
        <v>0</v>
      </c>
      <c r="AB108" s="180">
        <v>0</v>
      </c>
      <c r="AC108" s="180">
        <v>0</v>
      </c>
      <c r="AD108" s="180">
        <v>0</v>
      </c>
      <c r="AE108" s="180">
        <v>0</v>
      </c>
      <c r="AF108" s="180">
        <v>0</v>
      </c>
      <c r="AG108" s="180">
        <v>0</v>
      </c>
      <c r="AH108" s="180">
        <v>0</v>
      </c>
      <c r="AI108" s="180">
        <v>0</v>
      </c>
      <c r="AJ108" s="180">
        <v>0</v>
      </c>
      <c r="AK108" s="180">
        <v>0</v>
      </c>
      <c r="AL108" s="180">
        <v>0</v>
      </c>
      <c r="AM108" s="180">
        <v>0</v>
      </c>
      <c r="AN108" s="180">
        <v>0</v>
      </c>
      <c r="AO108" s="180"/>
      <c r="AP108" s="180">
        <v>0</v>
      </c>
      <c r="AQ108" s="180">
        <v>0</v>
      </c>
      <c r="AR108" s="180"/>
      <c r="AS108" s="180"/>
      <c r="AT108" s="180"/>
      <c r="AU108" s="180">
        <v>0</v>
      </c>
      <c r="AV108" s="180">
        <v>0</v>
      </c>
      <c r="AW108" s="180"/>
      <c r="AX108" s="180">
        <v>0</v>
      </c>
      <c r="AY108" s="180">
        <v>0</v>
      </c>
      <c r="AZ108" s="180"/>
      <c r="BA108" s="180">
        <v>0</v>
      </c>
      <c r="BB108" s="180">
        <v>0</v>
      </c>
      <c r="BC108" s="180"/>
      <c r="BD108" s="180">
        <v>0</v>
      </c>
      <c r="BE108" s="180">
        <v>0</v>
      </c>
      <c r="BF108" s="180"/>
      <c r="BG108" s="180"/>
      <c r="BH108" s="180">
        <v>0</v>
      </c>
      <c r="BI108" s="180">
        <v>0</v>
      </c>
      <c r="BJ108" s="180">
        <v>0</v>
      </c>
      <c r="BK108" s="180">
        <v>0</v>
      </c>
      <c r="BL108" s="180">
        <v>0</v>
      </c>
      <c r="BM108" s="180">
        <v>0</v>
      </c>
      <c r="BN108" s="180">
        <v>0</v>
      </c>
      <c r="BO108" s="180">
        <v>0</v>
      </c>
      <c r="BP108" s="180">
        <v>0</v>
      </c>
      <c r="BQ108" s="180">
        <v>0</v>
      </c>
      <c r="BR108" s="180">
        <v>0</v>
      </c>
      <c r="BS108" s="180">
        <v>0</v>
      </c>
      <c r="BT108" s="180">
        <v>0</v>
      </c>
      <c r="BU108" s="180">
        <v>0</v>
      </c>
      <c r="BV108" s="180">
        <v>0</v>
      </c>
      <c r="BW108" s="180">
        <v>0</v>
      </c>
      <c r="BX108" s="180"/>
      <c r="BY108" s="180">
        <v>0</v>
      </c>
      <c r="BZ108" s="180">
        <v>0</v>
      </c>
      <c r="CA108" s="180">
        <v>0</v>
      </c>
      <c r="CB108" s="180"/>
      <c r="CC108" s="180"/>
      <c r="CD108" s="180"/>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509</v>
      </c>
      <c r="B109" s="180" t="s">
        <v>205</v>
      </c>
      <c r="C109" s="180"/>
      <c r="D109" s="180">
        <v>0</v>
      </c>
      <c r="E109" s="180">
        <v>0</v>
      </c>
      <c r="F109" s="180"/>
      <c r="G109" s="180">
        <v>0</v>
      </c>
      <c r="H109" s="180">
        <v>0</v>
      </c>
      <c r="I109" s="180">
        <v>0</v>
      </c>
      <c r="J109" s="180">
        <v>0</v>
      </c>
      <c r="K109" s="180">
        <v>0</v>
      </c>
      <c r="L109" s="180">
        <v>0</v>
      </c>
      <c r="M109" s="180"/>
      <c r="N109" s="180">
        <v>0</v>
      </c>
      <c r="O109" s="180"/>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c r="AP109" s="180">
        <v>0</v>
      </c>
      <c r="AQ109" s="180">
        <v>0</v>
      </c>
      <c r="AR109" s="180"/>
      <c r="AS109" s="180"/>
      <c r="AT109" s="180"/>
      <c r="AU109" s="180">
        <v>0</v>
      </c>
      <c r="AV109" s="180">
        <v>0</v>
      </c>
      <c r="AW109" s="180"/>
      <c r="AX109" s="180">
        <v>0</v>
      </c>
      <c r="AY109" s="180">
        <v>0</v>
      </c>
      <c r="AZ109" s="180"/>
      <c r="BA109" s="180">
        <v>0</v>
      </c>
      <c r="BB109" s="180">
        <v>0</v>
      </c>
      <c r="BC109" s="180"/>
      <c r="BD109" s="180">
        <v>0</v>
      </c>
      <c r="BE109" s="180">
        <v>0</v>
      </c>
      <c r="BF109" s="180"/>
      <c r="BG109" s="180"/>
      <c r="BH109" s="180">
        <v>0</v>
      </c>
      <c r="BI109" s="180">
        <v>0</v>
      </c>
      <c r="BJ109" s="180">
        <v>0</v>
      </c>
      <c r="BK109" s="180">
        <v>0</v>
      </c>
      <c r="BL109" s="180">
        <v>0</v>
      </c>
      <c r="BM109" s="180">
        <v>0</v>
      </c>
      <c r="BN109" s="180">
        <v>0</v>
      </c>
      <c r="BO109" s="180">
        <v>0</v>
      </c>
      <c r="BP109" s="180">
        <v>0</v>
      </c>
      <c r="BQ109" s="180">
        <v>0</v>
      </c>
      <c r="BR109" s="180">
        <v>0</v>
      </c>
      <c r="BS109" s="180">
        <v>0</v>
      </c>
      <c r="BT109" s="180">
        <v>0</v>
      </c>
      <c r="BU109" s="180">
        <v>0</v>
      </c>
      <c r="BV109" s="180">
        <v>0</v>
      </c>
      <c r="BW109" s="180">
        <v>0</v>
      </c>
      <c r="BX109" s="180"/>
      <c r="BY109" s="180">
        <v>0</v>
      </c>
      <c r="BZ109" s="180">
        <v>0</v>
      </c>
      <c r="CA109" s="180">
        <v>0</v>
      </c>
      <c r="CB109" s="180"/>
      <c r="CC109" s="180"/>
      <c r="CD109" s="180"/>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510</v>
      </c>
      <c r="B110" s="180" t="s">
        <v>211</v>
      </c>
      <c r="C110" s="180"/>
      <c r="D110" s="180">
        <v>0</v>
      </c>
      <c r="E110" s="180">
        <v>0</v>
      </c>
      <c r="F110" s="180"/>
      <c r="G110" s="180">
        <v>252048</v>
      </c>
      <c r="H110" s="180">
        <v>13638</v>
      </c>
      <c r="I110" s="180">
        <v>0</v>
      </c>
      <c r="J110" s="180">
        <v>0</v>
      </c>
      <c r="K110" s="180">
        <v>41532</v>
      </c>
      <c r="L110" s="180">
        <v>0</v>
      </c>
      <c r="M110" s="180"/>
      <c r="N110" s="180">
        <v>0</v>
      </c>
      <c r="O110" s="180"/>
      <c r="P110" s="180">
        <v>0</v>
      </c>
      <c r="Q110" s="180">
        <v>161111</v>
      </c>
      <c r="R110" s="180">
        <v>0</v>
      </c>
      <c r="S110" s="180">
        <v>405462</v>
      </c>
      <c r="T110" s="180">
        <v>975</v>
      </c>
      <c r="U110" s="180">
        <v>464243</v>
      </c>
      <c r="V110" s="180">
        <v>0</v>
      </c>
      <c r="W110" s="180">
        <v>0</v>
      </c>
      <c r="X110" s="180">
        <v>0</v>
      </c>
      <c r="Y110" s="180">
        <v>0</v>
      </c>
      <c r="Z110" s="180">
        <v>122966</v>
      </c>
      <c r="AA110" s="180">
        <v>32265</v>
      </c>
      <c r="AB110" s="180">
        <v>0</v>
      </c>
      <c r="AC110" s="180">
        <v>0</v>
      </c>
      <c r="AD110" s="180">
        <v>6304</v>
      </c>
      <c r="AE110" s="180">
        <v>0</v>
      </c>
      <c r="AF110" s="180">
        <v>0</v>
      </c>
      <c r="AG110" s="180">
        <v>0</v>
      </c>
      <c r="AH110" s="180">
        <v>0</v>
      </c>
      <c r="AI110" s="180">
        <v>0</v>
      </c>
      <c r="AJ110" s="180">
        <v>172168</v>
      </c>
      <c r="AK110" s="180">
        <v>0</v>
      </c>
      <c r="AL110" s="180">
        <v>0</v>
      </c>
      <c r="AM110" s="180">
        <v>0</v>
      </c>
      <c r="AN110" s="180">
        <v>145497</v>
      </c>
      <c r="AO110" s="180"/>
      <c r="AP110" s="180">
        <v>0</v>
      </c>
      <c r="AQ110" s="180">
        <v>592371</v>
      </c>
      <c r="AR110" s="180"/>
      <c r="AS110" s="180"/>
      <c r="AT110" s="180"/>
      <c r="AU110" s="180">
        <v>102039</v>
      </c>
      <c r="AV110" s="180">
        <v>0</v>
      </c>
      <c r="AW110" s="180"/>
      <c r="AX110" s="180">
        <v>0</v>
      </c>
      <c r="AY110" s="180">
        <v>190709</v>
      </c>
      <c r="AZ110" s="180"/>
      <c r="BA110" s="180">
        <v>0</v>
      </c>
      <c r="BB110" s="180">
        <v>56650</v>
      </c>
      <c r="BC110" s="180"/>
      <c r="BD110" s="180">
        <v>0</v>
      </c>
      <c r="BE110" s="180">
        <v>826000</v>
      </c>
      <c r="BF110" s="180"/>
      <c r="BG110" s="180"/>
      <c r="BH110" s="180">
        <v>0</v>
      </c>
      <c r="BI110" s="180">
        <v>1310</v>
      </c>
      <c r="BJ110" s="180">
        <v>0</v>
      </c>
      <c r="BK110" s="180">
        <v>199690</v>
      </c>
      <c r="BL110" s="180">
        <v>0</v>
      </c>
      <c r="BM110" s="180">
        <v>0</v>
      </c>
      <c r="BN110" s="180">
        <v>57152</v>
      </c>
      <c r="BO110" s="180">
        <v>70947</v>
      </c>
      <c r="BP110" s="180">
        <v>0</v>
      </c>
      <c r="BQ110" s="180">
        <v>72805</v>
      </c>
      <c r="BR110" s="180">
        <v>0</v>
      </c>
      <c r="BS110" s="180">
        <v>0</v>
      </c>
      <c r="BT110" s="180">
        <v>22446</v>
      </c>
      <c r="BU110" s="180">
        <v>165165</v>
      </c>
      <c r="BV110" s="180">
        <v>3747</v>
      </c>
      <c r="BW110" s="180">
        <v>177</v>
      </c>
      <c r="BX110" s="180"/>
      <c r="BY110" s="180">
        <v>0</v>
      </c>
      <c r="BZ110" s="180">
        <v>0</v>
      </c>
      <c r="CA110" s="180">
        <v>0</v>
      </c>
      <c r="CB110" s="180"/>
      <c r="CC110" s="180"/>
      <c r="CD110" s="180"/>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511</v>
      </c>
      <c r="B111" s="180" t="s">
        <v>216</v>
      </c>
      <c r="C111" s="180"/>
      <c r="D111" s="180">
        <v>0</v>
      </c>
      <c r="E111" s="180">
        <v>0</v>
      </c>
      <c r="F111" s="180"/>
      <c r="G111" s="180">
        <v>0</v>
      </c>
      <c r="H111" s="180">
        <v>0</v>
      </c>
      <c r="I111" s="180">
        <v>0</v>
      </c>
      <c r="J111" s="180">
        <v>0</v>
      </c>
      <c r="K111" s="180">
        <v>0</v>
      </c>
      <c r="L111" s="180">
        <v>0</v>
      </c>
      <c r="M111" s="180"/>
      <c r="N111" s="180">
        <v>0</v>
      </c>
      <c r="O111" s="180"/>
      <c r="P111" s="180">
        <v>0</v>
      </c>
      <c r="Q111" s="180">
        <v>0</v>
      </c>
      <c r="R111" s="180">
        <v>0</v>
      </c>
      <c r="S111" s="180">
        <v>387000</v>
      </c>
      <c r="T111" s="180">
        <v>0</v>
      </c>
      <c r="U111" s="180">
        <v>1610354</v>
      </c>
      <c r="V111" s="180">
        <v>0</v>
      </c>
      <c r="W111" s="180">
        <v>0</v>
      </c>
      <c r="X111" s="180">
        <v>0</v>
      </c>
      <c r="Y111" s="180">
        <v>0</v>
      </c>
      <c r="Z111" s="180">
        <v>205837</v>
      </c>
      <c r="AA111" s="180">
        <v>0</v>
      </c>
      <c r="AB111" s="180">
        <v>0</v>
      </c>
      <c r="AC111" s="180">
        <v>0</v>
      </c>
      <c r="AD111" s="180">
        <v>0</v>
      </c>
      <c r="AE111" s="180">
        <v>0</v>
      </c>
      <c r="AF111" s="180">
        <v>0</v>
      </c>
      <c r="AG111" s="180">
        <v>0</v>
      </c>
      <c r="AH111" s="180">
        <v>0</v>
      </c>
      <c r="AI111" s="180">
        <v>0</v>
      </c>
      <c r="AJ111" s="180">
        <v>876613</v>
      </c>
      <c r="AK111" s="180">
        <v>0</v>
      </c>
      <c r="AL111" s="180">
        <v>0</v>
      </c>
      <c r="AM111" s="180">
        <v>0</v>
      </c>
      <c r="AN111" s="180">
        <v>0</v>
      </c>
      <c r="AO111" s="180"/>
      <c r="AP111" s="180">
        <v>0</v>
      </c>
      <c r="AQ111" s="180">
        <v>2707432</v>
      </c>
      <c r="AR111" s="180"/>
      <c r="AS111" s="180"/>
      <c r="AT111" s="180"/>
      <c r="AU111" s="180">
        <v>70456</v>
      </c>
      <c r="AV111" s="180">
        <v>0</v>
      </c>
      <c r="AW111" s="180"/>
      <c r="AX111" s="180">
        <v>0</v>
      </c>
      <c r="AY111" s="180">
        <v>0</v>
      </c>
      <c r="AZ111" s="180"/>
      <c r="BA111" s="180">
        <v>0</v>
      </c>
      <c r="BB111" s="180">
        <v>0</v>
      </c>
      <c r="BC111" s="180"/>
      <c r="BD111" s="180">
        <v>0</v>
      </c>
      <c r="BE111" s="180">
        <v>676130</v>
      </c>
      <c r="BF111" s="180"/>
      <c r="BG111" s="180"/>
      <c r="BH111" s="180">
        <v>0</v>
      </c>
      <c r="BI111" s="180">
        <v>0</v>
      </c>
      <c r="BJ111" s="180">
        <v>0</v>
      </c>
      <c r="BK111" s="180">
        <v>502936</v>
      </c>
      <c r="BL111" s="180">
        <v>0</v>
      </c>
      <c r="BM111" s="180">
        <v>0</v>
      </c>
      <c r="BN111" s="180">
        <v>0</v>
      </c>
      <c r="BO111" s="180">
        <v>0</v>
      </c>
      <c r="BP111" s="180">
        <v>0</v>
      </c>
      <c r="BQ111" s="180">
        <v>0</v>
      </c>
      <c r="BR111" s="180">
        <v>0</v>
      </c>
      <c r="BS111" s="180">
        <v>0</v>
      </c>
      <c r="BT111" s="180">
        <v>0</v>
      </c>
      <c r="BU111" s="180">
        <v>0</v>
      </c>
      <c r="BV111" s="180">
        <v>0</v>
      </c>
      <c r="BW111" s="180">
        <v>0</v>
      </c>
      <c r="BX111" s="180"/>
      <c r="BY111" s="180">
        <v>0</v>
      </c>
      <c r="BZ111" s="180">
        <v>0</v>
      </c>
      <c r="CA111" s="180">
        <v>0</v>
      </c>
      <c r="CB111" s="180"/>
      <c r="CC111" s="180"/>
      <c r="CD111" s="180"/>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512</v>
      </c>
      <c r="B112" s="180" t="s">
        <v>243</v>
      </c>
      <c r="C112" s="180"/>
      <c r="D112" s="180">
        <v>0</v>
      </c>
      <c r="E112" s="180">
        <v>0</v>
      </c>
      <c r="F112" s="180"/>
      <c r="G112" s="180">
        <v>0</v>
      </c>
      <c r="H112" s="180">
        <v>0</v>
      </c>
      <c r="I112" s="180">
        <v>0</v>
      </c>
      <c r="J112" s="180">
        <v>0</v>
      </c>
      <c r="K112" s="180">
        <v>0</v>
      </c>
      <c r="L112" s="180">
        <v>0</v>
      </c>
      <c r="M112" s="180"/>
      <c r="N112" s="180">
        <v>0</v>
      </c>
      <c r="O112" s="180"/>
      <c r="P112" s="180">
        <v>641648</v>
      </c>
      <c r="Q112" s="180">
        <v>515290</v>
      </c>
      <c r="R112" s="180">
        <v>0</v>
      </c>
      <c r="S112" s="180">
        <v>250726</v>
      </c>
      <c r="T112" s="180">
        <v>0</v>
      </c>
      <c r="U112" s="180">
        <v>0</v>
      </c>
      <c r="V112" s="180">
        <v>0</v>
      </c>
      <c r="W112" s="180">
        <v>0</v>
      </c>
      <c r="X112" s="180">
        <v>0</v>
      </c>
      <c r="Y112" s="180">
        <v>0</v>
      </c>
      <c r="Z112" s="180">
        <v>0</v>
      </c>
      <c r="AA112" s="180">
        <v>30384</v>
      </c>
      <c r="AB112" s="180">
        <v>0</v>
      </c>
      <c r="AC112" s="180">
        <v>0</v>
      </c>
      <c r="AD112" s="180">
        <v>0</v>
      </c>
      <c r="AE112" s="180">
        <v>0</v>
      </c>
      <c r="AF112" s="180">
        <v>0</v>
      </c>
      <c r="AG112" s="180">
        <v>0</v>
      </c>
      <c r="AH112" s="180">
        <v>0</v>
      </c>
      <c r="AI112" s="180">
        <v>0</v>
      </c>
      <c r="AJ112" s="180">
        <v>0</v>
      </c>
      <c r="AK112" s="180">
        <v>0</v>
      </c>
      <c r="AL112" s="180">
        <v>0</v>
      </c>
      <c r="AM112" s="180">
        <v>0</v>
      </c>
      <c r="AN112" s="180">
        <v>0</v>
      </c>
      <c r="AO112" s="180"/>
      <c r="AP112" s="180">
        <v>0</v>
      </c>
      <c r="AQ112" s="180">
        <v>0</v>
      </c>
      <c r="AR112" s="180"/>
      <c r="AS112" s="180"/>
      <c r="AT112" s="180"/>
      <c r="AU112" s="180">
        <v>0</v>
      </c>
      <c r="AV112" s="180">
        <v>0</v>
      </c>
      <c r="AW112" s="180"/>
      <c r="AX112" s="180">
        <v>0</v>
      </c>
      <c r="AY112" s="180">
        <v>0</v>
      </c>
      <c r="AZ112" s="180"/>
      <c r="BA112" s="180">
        <v>0</v>
      </c>
      <c r="BB112" s="180">
        <v>0</v>
      </c>
      <c r="BC112" s="180"/>
      <c r="BD112" s="180">
        <v>0</v>
      </c>
      <c r="BE112" s="180">
        <v>0</v>
      </c>
      <c r="BF112" s="180"/>
      <c r="BG112" s="180"/>
      <c r="BH112" s="180">
        <v>181165</v>
      </c>
      <c r="BI112" s="180">
        <v>0</v>
      </c>
      <c r="BJ112" s="180">
        <v>0</v>
      </c>
      <c r="BK112" s="180">
        <v>0</v>
      </c>
      <c r="BL112" s="180">
        <v>0</v>
      </c>
      <c r="BM112" s="180">
        <v>0</v>
      </c>
      <c r="BN112" s="180">
        <v>0</v>
      </c>
      <c r="BO112" s="180">
        <v>0</v>
      </c>
      <c r="BP112" s="180">
        <v>0</v>
      </c>
      <c r="BQ112" s="180">
        <v>0</v>
      </c>
      <c r="BR112" s="180">
        <v>0</v>
      </c>
      <c r="BS112" s="180">
        <v>0</v>
      </c>
      <c r="BT112" s="180">
        <v>0</v>
      </c>
      <c r="BU112" s="180">
        <v>0</v>
      </c>
      <c r="BV112" s="180">
        <v>0</v>
      </c>
      <c r="BW112" s="180">
        <v>0</v>
      </c>
      <c r="BX112" s="180"/>
      <c r="BY112" s="180">
        <v>0</v>
      </c>
      <c r="BZ112" s="180">
        <v>0</v>
      </c>
      <c r="CA112" s="180">
        <v>0</v>
      </c>
      <c r="CB112" s="180"/>
      <c r="CC112" s="180"/>
      <c r="CD112" s="180"/>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513</v>
      </c>
      <c r="B113" s="180" t="s">
        <v>249</v>
      </c>
      <c r="C113" s="180"/>
      <c r="D113" s="180">
        <v>0</v>
      </c>
      <c r="E113" s="180">
        <v>0</v>
      </c>
      <c r="F113" s="180"/>
      <c r="G113" s="180">
        <v>0</v>
      </c>
      <c r="H113" s="180">
        <v>0</v>
      </c>
      <c r="I113" s="180">
        <v>0</v>
      </c>
      <c r="J113" s="180">
        <v>0</v>
      </c>
      <c r="K113" s="180">
        <v>0</v>
      </c>
      <c r="L113" s="180">
        <v>0</v>
      </c>
      <c r="M113" s="180"/>
      <c r="N113" s="180">
        <v>0</v>
      </c>
      <c r="O113" s="180"/>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c r="AP113" s="180">
        <v>0</v>
      </c>
      <c r="AQ113" s="180">
        <v>0</v>
      </c>
      <c r="AR113" s="180"/>
      <c r="AS113" s="180"/>
      <c r="AT113" s="180"/>
      <c r="AU113" s="180">
        <v>0</v>
      </c>
      <c r="AV113" s="180">
        <v>0</v>
      </c>
      <c r="AW113" s="180"/>
      <c r="AX113" s="180">
        <v>0</v>
      </c>
      <c r="AY113" s="180">
        <v>0</v>
      </c>
      <c r="AZ113" s="180"/>
      <c r="BA113" s="180">
        <v>0</v>
      </c>
      <c r="BB113" s="180">
        <v>0</v>
      </c>
      <c r="BC113" s="180"/>
      <c r="BD113" s="180">
        <v>0</v>
      </c>
      <c r="BE113" s="180">
        <v>0</v>
      </c>
      <c r="BF113" s="180"/>
      <c r="BG113" s="180"/>
      <c r="BH113" s="180">
        <v>0</v>
      </c>
      <c r="BI113" s="180">
        <v>0</v>
      </c>
      <c r="BJ113" s="180">
        <v>0</v>
      </c>
      <c r="BK113" s="180">
        <v>0</v>
      </c>
      <c r="BL113" s="180">
        <v>0</v>
      </c>
      <c r="BM113" s="180">
        <v>0</v>
      </c>
      <c r="BN113" s="180">
        <v>0</v>
      </c>
      <c r="BO113" s="180">
        <v>0</v>
      </c>
      <c r="BP113" s="180">
        <v>0</v>
      </c>
      <c r="BQ113" s="180">
        <v>0</v>
      </c>
      <c r="BR113" s="180">
        <v>0</v>
      </c>
      <c r="BS113" s="180">
        <v>0</v>
      </c>
      <c r="BT113" s="180">
        <v>0</v>
      </c>
      <c r="BU113" s="180">
        <v>0</v>
      </c>
      <c r="BV113" s="180">
        <v>0</v>
      </c>
      <c r="BW113" s="180">
        <v>0</v>
      </c>
      <c r="BX113" s="180"/>
      <c r="BY113" s="180">
        <v>0</v>
      </c>
      <c r="BZ113" s="180">
        <v>0</v>
      </c>
      <c r="CA113" s="180">
        <v>0</v>
      </c>
      <c r="CB113" s="180"/>
      <c r="CC113" s="180"/>
      <c r="CD113" s="180"/>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514</v>
      </c>
      <c r="B114" s="180" t="s">
        <v>250</v>
      </c>
      <c r="C114" s="180"/>
      <c r="D114" s="180">
        <v>0</v>
      </c>
      <c r="E114" s="180">
        <v>0</v>
      </c>
      <c r="F114" s="180"/>
      <c r="G114" s="180">
        <v>0</v>
      </c>
      <c r="H114" s="180">
        <v>0</v>
      </c>
      <c r="I114" s="180">
        <v>0</v>
      </c>
      <c r="J114" s="180">
        <v>0</v>
      </c>
      <c r="K114" s="180">
        <v>0</v>
      </c>
      <c r="L114" s="180">
        <v>0</v>
      </c>
      <c r="M114" s="180"/>
      <c r="N114" s="180">
        <v>0</v>
      </c>
      <c r="O114" s="180"/>
      <c r="P114" s="180">
        <v>0</v>
      </c>
      <c r="Q114" s="180">
        <v>0</v>
      </c>
      <c r="R114" s="180">
        <v>0</v>
      </c>
      <c r="S114" s="180">
        <v>1000000</v>
      </c>
      <c r="T114" s="180">
        <v>0</v>
      </c>
      <c r="U114" s="180">
        <v>2722330</v>
      </c>
      <c r="V114" s="180">
        <v>0</v>
      </c>
      <c r="W114" s="180">
        <v>0</v>
      </c>
      <c r="X114" s="180">
        <v>0</v>
      </c>
      <c r="Y114" s="180">
        <v>0</v>
      </c>
      <c r="Z114" s="180">
        <v>0</v>
      </c>
      <c r="AA114" s="180">
        <v>0</v>
      </c>
      <c r="AB114" s="180">
        <v>0</v>
      </c>
      <c r="AC114" s="180">
        <v>0</v>
      </c>
      <c r="AD114" s="180">
        <v>0</v>
      </c>
      <c r="AE114" s="180">
        <v>650</v>
      </c>
      <c r="AF114" s="180">
        <v>0</v>
      </c>
      <c r="AG114" s="180">
        <v>0</v>
      </c>
      <c r="AH114" s="180">
        <v>0</v>
      </c>
      <c r="AI114" s="180">
        <v>0</v>
      </c>
      <c r="AJ114" s="180">
        <v>683586</v>
      </c>
      <c r="AK114" s="180">
        <v>0</v>
      </c>
      <c r="AL114" s="180">
        <v>0</v>
      </c>
      <c r="AM114" s="180">
        <v>0</v>
      </c>
      <c r="AN114" s="180">
        <v>0</v>
      </c>
      <c r="AO114" s="180"/>
      <c r="AP114" s="180">
        <v>0</v>
      </c>
      <c r="AQ114" s="180">
        <v>1200000</v>
      </c>
      <c r="AR114" s="180"/>
      <c r="AS114" s="180"/>
      <c r="AT114" s="180"/>
      <c r="AU114" s="180">
        <v>30465</v>
      </c>
      <c r="AV114" s="180">
        <v>0</v>
      </c>
      <c r="AW114" s="180"/>
      <c r="AX114" s="180">
        <v>0</v>
      </c>
      <c r="AY114" s="180">
        <v>0</v>
      </c>
      <c r="AZ114" s="180"/>
      <c r="BA114" s="180">
        <v>0</v>
      </c>
      <c r="BB114" s="180">
        <v>0</v>
      </c>
      <c r="BC114" s="180"/>
      <c r="BD114" s="180">
        <v>0</v>
      </c>
      <c r="BE114" s="180">
        <v>1525000</v>
      </c>
      <c r="BF114" s="180"/>
      <c r="BG114" s="180"/>
      <c r="BH114" s="180">
        <v>0</v>
      </c>
      <c r="BI114" s="180">
        <v>0</v>
      </c>
      <c r="BJ114" s="180">
        <v>0</v>
      </c>
      <c r="BK114" s="180">
        <v>0</v>
      </c>
      <c r="BL114" s="180">
        <v>0</v>
      </c>
      <c r="BM114" s="180">
        <v>0</v>
      </c>
      <c r="BN114" s="180">
        <v>0</v>
      </c>
      <c r="BO114" s="180">
        <v>0</v>
      </c>
      <c r="BP114" s="180">
        <v>0</v>
      </c>
      <c r="BQ114" s="180">
        <v>0</v>
      </c>
      <c r="BR114" s="180">
        <v>0</v>
      </c>
      <c r="BS114" s="180">
        <v>0</v>
      </c>
      <c r="BT114" s="180">
        <v>0</v>
      </c>
      <c r="BU114" s="180">
        <v>0</v>
      </c>
      <c r="BV114" s="180">
        <v>0</v>
      </c>
      <c r="BW114" s="180">
        <v>0</v>
      </c>
      <c r="BX114" s="180"/>
      <c r="BY114" s="180">
        <v>0</v>
      </c>
      <c r="BZ114" s="180">
        <v>0</v>
      </c>
      <c r="CA114" s="180">
        <v>0</v>
      </c>
      <c r="CB114" s="180"/>
      <c r="CC114" s="180"/>
      <c r="CD114" s="180"/>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515</v>
      </c>
      <c r="B115" s="180" t="s">
        <v>262</v>
      </c>
      <c r="C115" s="180"/>
      <c r="D115" s="180">
        <v>0</v>
      </c>
      <c r="E115" s="180">
        <v>0</v>
      </c>
      <c r="F115" s="180"/>
      <c r="G115" s="180">
        <v>114994069</v>
      </c>
      <c r="H115" s="180">
        <v>1419157</v>
      </c>
      <c r="I115" s="180">
        <v>0</v>
      </c>
      <c r="J115" s="180">
        <v>0</v>
      </c>
      <c r="K115" s="180">
        <v>0</v>
      </c>
      <c r="L115" s="180">
        <v>23416054</v>
      </c>
      <c r="M115" s="180"/>
      <c r="N115" s="180">
        <v>0</v>
      </c>
      <c r="O115" s="180"/>
      <c r="P115" s="180">
        <v>0</v>
      </c>
      <c r="Q115" s="180">
        <v>432323</v>
      </c>
      <c r="R115" s="180">
        <v>494360</v>
      </c>
      <c r="S115" s="180">
        <v>14550217</v>
      </c>
      <c r="T115" s="180">
        <v>0</v>
      </c>
      <c r="U115" s="180">
        <v>41958129</v>
      </c>
      <c r="V115" s="180">
        <v>0</v>
      </c>
      <c r="W115" s="180">
        <v>0</v>
      </c>
      <c r="X115" s="180">
        <v>0</v>
      </c>
      <c r="Y115" s="180">
        <v>793162</v>
      </c>
      <c r="Z115" s="180">
        <v>0</v>
      </c>
      <c r="AA115" s="180">
        <v>0</v>
      </c>
      <c r="AB115" s="180">
        <v>0</v>
      </c>
      <c r="AC115" s="180">
        <v>0</v>
      </c>
      <c r="AD115" s="180">
        <v>0</v>
      </c>
      <c r="AE115" s="180">
        <v>219072</v>
      </c>
      <c r="AF115" s="180">
        <v>0</v>
      </c>
      <c r="AG115" s="180">
        <v>0</v>
      </c>
      <c r="AH115" s="180">
        <v>0</v>
      </c>
      <c r="AI115" s="180">
        <v>0</v>
      </c>
      <c r="AJ115" s="180">
        <v>0</v>
      </c>
      <c r="AK115" s="180">
        <v>73000</v>
      </c>
      <c r="AL115" s="180">
        <v>0</v>
      </c>
      <c r="AM115" s="180">
        <v>0</v>
      </c>
      <c r="AN115" s="180">
        <v>0</v>
      </c>
      <c r="AO115" s="180"/>
      <c r="AP115" s="180">
        <v>0</v>
      </c>
      <c r="AQ115" s="180">
        <v>699043</v>
      </c>
      <c r="AR115" s="180"/>
      <c r="AS115" s="180"/>
      <c r="AT115" s="180"/>
      <c r="AU115" s="180">
        <v>14333287</v>
      </c>
      <c r="AV115" s="180">
        <v>108060</v>
      </c>
      <c r="AW115" s="180"/>
      <c r="AX115" s="180">
        <v>0</v>
      </c>
      <c r="AY115" s="180">
        <v>0</v>
      </c>
      <c r="AZ115" s="180"/>
      <c r="BA115" s="180">
        <v>0</v>
      </c>
      <c r="BB115" s="180">
        <v>16683</v>
      </c>
      <c r="BC115" s="180"/>
      <c r="BD115" s="180">
        <v>0</v>
      </c>
      <c r="BE115" s="180">
        <v>18580814</v>
      </c>
      <c r="BF115" s="180"/>
      <c r="BG115" s="180"/>
      <c r="BH115" s="180">
        <v>0</v>
      </c>
      <c r="BI115" s="180">
        <v>0</v>
      </c>
      <c r="BJ115" s="180">
        <v>0</v>
      </c>
      <c r="BK115" s="180">
        <v>390955</v>
      </c>
      <c r="BL115" s="180">
        <v>7987925</v>
      </c>
      <c r="BM115" s="180">
        <v>0</v>
      </c>
      <c r="BN115" s="180">
        <v>7538404</v>
      </c>
      <c r="BO115" s="180">
        <v>671860</v>
      </c>
      <c r="BP115" s="180">
        <v>0</v>
      </c>
      <c r="BQ115" s="180">
        <v>364151</v>
      </c>
      <c r="BR115" s="180">
        <v>0</v>
      </c>
      <c r="BS115" s="180">
        <v>0</v>
      </c>
      <c r="BT115" s="180">
        <v>2483050</v>
      </c>
      <c r="BU115" s="180">
        <v>0</v>
      </c>
      <c r="BV115" s="180">
        <v>0</v>
      </c>
      <c r="BW115" s="180">
        <v>0</v>
      </c>
      <c r="BX115" s="180"/>
      <c r="BY115" s="180">
        <v>0</v>
      </c>
      <c r="BZ115" s="180">
        <v>9796576</v>
      </c>
      <c r="CA115" s="180">
        <v>0</v>
      </c>
      <c r="CB115" s="180"/>
      <c r="CC115" s="180"/>
      <c r="CD115" s="180"/>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516</v>
      </c>
      <c r="B116" s="180" t="s">
        <v>263</v>
      </c>
      <c r="C116" s="180"/>
      <c r="D116" s="180">
        <v>0</v>
      </c>
      <c r="E116" s="180">
        <v>0</v>
      </c>
      <c r="F116" s="180"/>
      <c r="G116" s="180">
        <v>137131786</v>
      </c>
      <c r="H116" s="180">
        <v>13389527</v>
      </c>
      <c r="I116" s="180">
        <v>1932498</v>
      </c>
      <c r="J116" s="180">
        <v>10450708</v>
      </c>
      <c r="K116" s="180">
        <v>8234235</v>
      </c>
      <c r="L116" s="180">
        <v>150301905</v>
      </c>
      <c r="M116" s="180"/>
      <c r="N116" s="180">
        <v>5168694</v>
      </c>
      <c r="O116" s="180"/>
      <c r="P116" s="180">
        <v>0</v>
      </c>
      <c r="Q116" s="180">
        <v>24323641</v>
      </c>
      <c r="R116" s="180">
        <v>39955221</v>
      </c>
      <c r="S116" s="180">
        <v>31120557</v>
      </c>
      <c r="T116" s="180">
        <v>3487307</v>
      </c>
      <c r="U116" s="180">
        <v>68585866</v>
      </c>
      <c r="V116" s="180">
        <v>0</v>
      </c>
      <c r="W116" s="180">
        <v>0</v>
      </c>
      <c r="X116" s="180">
        <v>0</v>
      </c>
      <c r="Y116" s="180">
        <v>10874172</v>
      </c>
      <c r="Z116" s="180">
        <v>15387508</v>
      </c>
      <c r="AA116" s="180">
        <v>10784179</v>
      </c>
      <c r="AB116" s="180">
        <v>0</v>
      </c>
      <c r="AC116" s="180">
        <v>960289</v>
      </c>
      <c r="AD116" s="180">
        <v>14236357</v>
      </c>
      <c r="AE116" s="180">
        <v>18573247</v>
      </c>
      <c r="AF116" s="180">
        <v>1286321</v>
      </c>
      <c r="AG116" s="180">
        <v>0</v>
      </c>
      <c r="AH116" s="180">
        <v>0</v>
      </c>
      <c r="AI116" s="180">
        <v>0</v>
      </c>
      <c r="AJ116" s="180">
        <v>61294286</v>
      </c>
      <c r="AK116" s="180">
        <v>2131288</v>
      </c>
      <c r="AL116" s="180">
        <v>0</v>
      </c>
      <c r="AM116" s="180">
        <v>0</v>
      </c>
      <c r="AN116" s="180">
        <v>86671271</v>
      </c>
      <c r="AO116" s="180"/>
      <c r="AP116" s="180">
        <v>0</v>
      </c>
      <c r="AQ116" s="180">
        <v>72785489</v>
      </c>
      <c r="AR116" s="180"/>
      <c r="AS116" s="180"/>
      <c r="AT116" s="180"/>
      <c r="AU116" s="180">
        <v>47673483</v>
      </c>
      <c r="AV116" s="180">
        <v>1742830</v>
      </c>
      <c r="AW116" s="180"/>
      <c r="AX116" s="180">
        <v>14869143</v>
      </c>
      <c r="AY116" s="180">
        <v>17597375</v>
      </c>
      <c r="AZ116" s="180"/>
      <c r="BA116" s="180">
        <v>20457</v>
      </c>
      <c r="BB116" s="180">
        <v>790666</v>
      </c>
      <c r="BC116" s="180"/>
      <c r="BD116" s="180">
        <v>0</v>
      </c>
      <c r="BE116" s="180">
        <v>77480074</v>
      </c>
      <c r="BF116" s="180"/>
      <c r="BG116" s="180"/>
      <c r="BH116" s="180">
        <v>11744116</v>
      </c>
      <c r="BI116" s="180">
        <v>8234496</v>
      </c>
      <c r="BJ116" s="180">
        <v>9540734</v>
      </c>
      <c r="BK116" s="180">
        <v>17122640</v>
      </c>
      <c r="BL116" s="180">
        <v>2900999</v>
      </c>
      <c r="BM116" s="180">
        <v>0</v>
      </c>
      <c r="BN116" s="180">
        <v>24673278</v>
      </c>
      <c r="BO116" s="180">
        <v>15564246</v>
      </c>
      <c r="BP116" s="180">
        <v>15049071</v>
      </c>
      <c r="BQ116" s="180">
        <v>6860871</v>
      </c>
      <c r="BR116" s="180">
        <v>0</v>
      </c>
      <c r="BS116" s="180">
        <v>0</v>
      </c>
      <c r="BT116" s="180">
        <v>5109890</v>
      </c>
      <c r="BU116" s="180">
        <v>24073444</v>
      </c>
      <c r="BV116" s="180">
        <v>7418635</v>
      </c>
      <c r="BW116" s="180">
        <v>2225233</v>
      </c>
      <c r="BX116" s="180"/>
      <c r="BY116" s="180">
        <v>0</v>
      </c>
      <c r="BZ116" s="180">
        <v>69553613</v>
      </c>
      <c r="CA116" s="180">
        <v>0</v>
      </c>
      <c r="CB116" s="180"/>
      <c r="CC116" s="180"/>
      <c r="CD116" s="180"/>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517</v>
      </c>
      <c r="B117" s="180" t="s">
        <v>264</v>
      </c>
      <c r="C117" s="180"/>
      <c r="D117" s="180">
        <v>0</v>
      </c>
      <c r="E117" s="180">
        <v>0</v>
      </c>
      <c r="F117" s="180"/>
      <c r="G117" s="180">
        <v>0</v>
      </c>
      <c r="H117" s="180">
        <v>0</v>
      </c>
      <c r="I117" s="180">
        <v>0</v>
      </c>
      <c r="J117" s="180">
        <v>0</v>
      </c>
      <c r="K117" s="180">
        <v>0</v>
      </c>
      <c r="L117" s="180">
        <v>0</v>
      </c>
      <c r="M117" s="180"/>
      <c r="N117" s="180">
        <v>0</v>
      </c>
      <c r="O117" s="180"/>
      <c r="P117" s="180">
        <v>0</v>
      </c>
      <c r="Q117" s="180">
        <v>0</v>
      </c>
      <c r="R117" s="180">
        <v>0</v>
      </c>
      <c r="S117" s="180">
        <v>0</v>
      </c>
      <c r="T117" s="180">
        <v>0</v>
      </c>
      <c r="U117" s="180">
        <v>575177</v>
      </c>
      <c r="V117" s="180">
        <v>0</v>
      </c>
      <c r="W117" s="180">
        <v>0</v>
      </c>
      <c r="X117" s="180">
        <v>0</v>
      </c>
      <c r="Y117" s="180">
        <v>0</v>
      </c>
      <c r="Z117" s="180">
        <v>0</v>
      </c>
      <c r="AA117" s="180">
        <v>0</v>
      </c>
      <c r="AB117" s="180">
        <v>0</v>
      </c>
      <c r="AC117" s="180">
        <v>0</v>
      </c>
      <c r="AD117" s="180">
        <v>0</v>
      </c>
      <c r="AE117" s="180">
        <v>0</v>
      </c>
      <c r="AF117" s="180">
        <v>0</v>
      </c>
      <c r="AG117" s="180">
        <v>0</v>
      </c>
      <c r="AH117" s="180">
        <v>0</v>
      </c>
      <c r="AI117" s="180">
        <v>0</v>
      </c>
      <c r="AJ117" s="180">
        <v>0</v>
      </c>
      <c r="AK117" s="180">
        <v>0</v>
      </c>
      <c r="AL117" s="180">
        <v>0</v>
      </c>
      <c r="AM117" s="180">
        <v>0</v>
      </c>
      <c r="AN117" s="180">
        <v>0</v>
      </c>
      <c r="AO117" s="180"/>
      <c r="AP117" s="180">
        <v>0</v>
      </c>
      <c r="AQ117" s="180">
        <v>0</v>
      </c>
      <c r="AR117" s="180"/>
      <c r="AS117" s="180"/>
      <c r="AT117" s="180"/>
      <c r="AU117" s="180">
        <v>0</v>
      </c>
      <c r="AV117" s="180">
        <v>0</v>
      </c>
      <c r="AW117" s="180"/>
      <c r="AX117" s="180">
        <v>0</v>
      </c>
      <c r="AY117" s="180">
        <v>0</v>
      </c>
      <c r="AZ117" s="180"/>
      <c r="BA117" s="180">
        <v>0</v>
      </c>
      <c r="BB117" s="180">
        <v>6492801</v>
      </c>
      <c r="BC117" s="180"/>
      <c r="BD117" s="180">
        <v>0</v>
      </c>
      <c r="BE117" s="180">
        <v>0</v>
      </c>
      <c r="BF117" s="180"/>
      <c r="BG117" s="180"/>
      <c r="BH117" s="180">
        <v>0</v>
      </c>
      <c r="BI117" s="180">
        <v>0</v>
      </c>
      <c r="BJ117" s="180">
        <v>0</v>
      </c>
      <c r="BK117" s="180">
        <v>0</v>
      </c>
      <c r="BL117" s="180">
        <v>0</v>
      </c>
      <c r="BM117" s="180">
        <v>0</v>
      </c>
      <c r="BN117" s="180">
        <v>0</v>
      </c>
      <c r="BO117" s="180">
        <v>0</v>
      </c>
      <c r="BP117" s="180">
        <v>0</v>
      </c>
      <c r="BQ117" s="180">
        <v>0</v>
      </c>
      <c r="BR117" s="180">
        <v>0</v>
      </c>
      <c r="BS117" s="180">
        <v>0</v>
      </c>
      <c r="BT117" s="180">
        <v>0</v>
      </c>
      <c r="BU117" s="180">
        <v>0</v>
      </c>
      <c r="BV117" s="180">
        <v>0</v>
      </c>
      <c r="BW117" s="180">
        <v>0</v>
      </c>
      <c r="BX117" s="180"/>
      <c r="BY117" s="180">
        <v>0</v>
      </c>
      <c r="BZ117" s="180">
        <v>0</v>
      </c>
      <c r="CA117" s="180">
        <v>0</v>
      </c>
      <c r="CB117" s="180"/>
      <c r="CC117" s="180"/>
      <c r="CD117" s="180"/>
      <c r="CE117" s="180"/>
      <c r="CF117" s="180"/>
      <c r="CG117" s="180"/>
      <c r="CH117" s="180"/>
      <c r="CI117" s="180"/>
      <c r="CJ117" s="180"/>
      <c r="CK117" s="180"/>
      <c r="CL117" s="180"/>
      <c r="CM117" s="180"/>
      <c r="CN117" s="180"/>
      <c r="CO117" s="180"/>
      <c r="CP117" s="180"/>
      <c r="CQ117" s="180"/>
      <c r="CR117" s="180"/>
      <c r="CS117" s="180"/>
      <c r="CT117" s="180"/>
      <c r="CU117" s="180"/>
    </row>
    <row r="118" spans="1:99" s="180" customFormat="1" x14ac:dyDescent="0.3">
      <c r="A118" s="155">
        <v>518</v>
      </c>
      <c r="B118" s="180" t="s">
        <v>265</v>
      </c>
      <c r="D118" s="180">
        <v>0</v>
      </c>
      <c r="E118" s="180">
        <v>0</v>
      </c>
      <c r="G118" s="180">
        <v>10603292</v>
      </c>
      <c r="H118" s="180">
        <v>12196997</v>
      </c>
      <c r="I118" s="180">
        <v>256138</v>
      </c>
      <c r="J118" s="180">
        <v>378286</v>
      </c>
      <c r="K118" s="180">
        <v>0</v>
      </c>
      <c r="L118" s="180">
        <v>5670365</v>
      </c>
      <c r="N118" s="180">
        <v>496033</v>
      </c>
      <c r="P118" s="180">
        <v>0</v>
      </c>
      <c r="Q118" s="180">
        <v>6829502</v>
      </c>
      <c r="R118" s="180">
        <v>2022655</v>
      </c>
      <c r="S118" s="180">
        <v>64620758</v>
      </c>
      <c r="T118" s="180">
        <v>0</v>
      </c>
      <c r="U118" s="180">
        <v>6889015</v>
      </c>
      <c r="V118" s="180">
        <v>0</v>
      </c>
      <c r="W118" s="180">
        <v>0</v>
      </c>
      <c r="X118" s="180">
        <v>0</v>
      </c>
      <c r="Y118" s="180">
        <v>1244782</v>
      </c>
      <c r="Z118" s="180">
        <v>1665601</v>
      </c>
      <c r="AA118" s="180">
        <v>532723</v>
      </c>
      <c r="AB118" s="180">
        <v>0</v>
      </c>
      <c r="AC118" s="180">
        <v>60562</v>
      </c>
      <c r="AD118" s="180">
        <v>701624</v>
      </c>
      <c r="AE118" s="180">
        <v>1784180</v>
      </c>
      <c r="AF118" s="180">
        <v>17089</v>
      </c>
      <c r="AG118" s="180">
        <v>0</v>
      </c>
      <c r="AH118" s="180">
        <v>0</v>
      </c>
      <c r="AI118" s="180">
        <v>0</v>
      </c>
      <c r="AJ118" s="180">
        <v>5774242</v>
      </c>
      <c r="AK118" s="180">
        <v>99649</v>
      </c>
      <c r="AL118" s="180">
        <v>0</v>
      </c>
      <c r="AM118" s="180">
        <v>0</v>
      </c>
      <c r="AN118" s="180">
        <v>5069142</v>
      </c>
      <c r="AP118" s="180">
        <v>0</v>
      </c>
      <c r="AQ118" s="180">
        <v>4725722</v>
      </c>
      <c r="AU118" s="180">
        <v>11813029</v>
      </c>
      <c r="AV118" s="180">
        <v>20574</v>
      </c>
      <c r="AX118" s="180">
        <v>440545</v>
      </c>
      <c r="AY118" s="180">
        <v>625740</v>
      </c>
      <c r="BA118" s="180">
        <v>0</v>
      </c>
      <c r="BB118" s="180">
        <v>727391</v>
      </c>
      <c r="BD118" s="180">
        <v>0</v>
      </c>
      <c r="BE118" s="180">
        <v>16458527</v>
      </c>
      <c r="BH118" s="180">
        <v>1028616</v>
      </c>
      <c r="BI118" s="180">
        <v>457524</v>
      </c>
      <c r="BJ118" s="180">
        <v>402945</v>
      </c>
      <c r="BK118" s="180">
        <v>2065046</v>
      </c>
      <c r="BL118" s="180">
        <v>705775</v>
      </c>
      <c r="BM118" s="180">
        <v>0</v>
      </c>
      <c r="BN118" s="180">
        <v>5125592</v>
      </c>
      <c r="BO118" s="180">
        <v>546904</v>
      </c>
      <c r="BP118" s="180">
        <v>151001</v>
      </c>
      <c r="BQ118" s="180">
        <v>720898</v>
      </c>
      <c r="BR118" s="180">
        <v>0</v>
      </c>
      <c r="BS118" s="180">
        <v>0</v>
      </c>
      <c r="BT118" s="180">
        <v>1983749</v>
      </c>
      <c r="BU118" s="180">
        <v>1245145</v>
      </c>
      <c r="BV118" s="180">
        <v>419954</v>
      </c>
      <c r="BW118" s="180">
        <v>0</v>
      </c>
      <c r="BY118" s="180">
        <v>0</v>
      </c>
      <c r="BZ118" s="180">
        <v>2523612</v>
      </c>
      <c r="CA118" s="180">
        <v>0</v>
      </c>
    </row>
    <row r="119" spans="1:99" x14ac:dyDescent="0.3">
      <c r="A119" s="155">
        <v>519</v>
      </c>
      <c r="B119" s="180" t="s">
        <v>266</v>
      </c>
      <c r="C119" s="180"/>
      <c r="D119" s="180">
        <v>0</v>
      </c>
      <c r="E119" s="180">
        <v>0</v>
      </c>
      <c r="F119" s="180"/>
      <c r="G119" s="180">
        <v>2667982</v>
      </c>
      <c r="H119" s="180">
        <v>32680</v>
      </c>
      <c r="I119" s="180">
        <v>0</v>
      </c>
      <c r="J119" s="180">
        <v>0</v>
      </c>
      <c r="K119" s="180">
        <v>0</v>
      </c>
      <c r="L119" s="180">
        <v>1058787</v>
      </c>
      <c r="M119" s="180"/>
      <c r="N119" s="180">
        <v>0</v>
      </c>
      <c r="O119" s="180"/>
      <c r="P119" s="180">
        <v>0</v>
      </c>
      <c r="Q119" s="180">
        <v>1867</v>
      </c>
      <c r="R119" s="180">
        <v>8520</v>
      </c>
      <c r="S119" s="180">
        <v>160878</v>
      </c>
      <c r="T119" s="180">
        <v>0</v>
      </c>
      <c r="U119" s="180">
        <v>985857</v>
      </c>
      <c r="V119" s="180">
        <v>0</v>
      </c>
      <c r="W119" s="180">
        <v>0</v>
      </c>
      <c r="X119" s="180">
        <v>0</v>
      </c>
      <c r="Y119" s="180">
        <v>19830</v>
      </c>
      <c r="Z119" s="180">
        <v>0</v>
      </c>
      <c r="AA119" s="180">
        <v>0</v>
      </c>
      <c r="AB119" s="180">
        <v>0</v>
      </c>
      <c r="AC119" s="180">
        <v>0</v>
      </c>
      <c r="AD119" s="180">
        <v>0</v>
      </c>
      <c r="AE119" s="180">
        <v>7557</v>
      </c>
      <c r="AF119" s="180">
        <v>0</v>
      </c>
      <c r="AG119" s="180">
        <v>0</v>
      </c>
      <c r="AH119" s="180">
        <v>0</v>
      </c>
      <c r="AI119" s="180">
        <v>0</v>
      </c>
      <c r="AJ119" s="180">
        <v>0</v>
      </c>
      <c r="AK119" s="180">
        <v>0</v>
      </c>
      <c r="AL119" s="180">
        <v>0</v>
      </c>
      <c r="AM119" s="180">
        <v>0</v>
      </c>
      <c r="AN119" s="180">
        <v>0</v>
      </c>
      <c r="AO119" s="180"/>
      <c r="AP119" s="180">
        <v>0</v>
      </c>
      <c r="AQ119" s="180">
        <v>27771</v>
      </c>
      <c r="AR119" s="180"/>
      <c r="AS119" s="180"/>
      <c r="AT119" s="180"/>
      <c r="AU119" s="180">
        <v>339470</v>
      </c>
      <c r="AV119" s="180">
        <v>2874</v>
      </c>
      <c r="AW119" s="180"/>
      <c r="AX119" s="180">
        <v>0</v>
      </c>
      <c r="AY119" s="180">
        <v>0</v>
      </c>
      <c r="AZ119" s="180"/>
      <c r="BA119" s="180">
        <v>0</v>
      </c>
      <c r="BB119" s="180">
        <v>0</v>
      </c>
      <c r="BC119" s="180"/>
      <c r="BD119" s="180">
        <v>0</v>
      </c>
      <c r="BE119" s="180">
        <v>262699</v>
      </c>
      <c r="BF119" s="180"/>
      <c r="BG119" s="180"/>
      <c r="BH119" s="180">
        <v>0</v>
      </c>
      <c r="BI119" s="180">
        <v>0</v>
      </c>
      <c r="BJ119" s="180">
        <v>0</v>
      </c>
      <c r="BK119" s="180">
        <v>29563</v>
      </c>
      <c r="BL119" s="180">
        <v>217726</v>
      </c>
      <c r="BM119" s="180">
        <v>0</v>
      </c>
      <c r="BN119" s="180">
        <v>132301</v>
      </c>
      <c r="BO119" s="180">
        <v>16488</v>
      </c>
      <c r="BP119" s="180">
        <v>0</v>
      </c>
      <c r="BQ119" s="180">
        <v>9546</v>
      </c>
      <c r="BR119" s="180">
        <v>0</v>
      </c>
      <c r="BS119" s="180">
        <v>0</v>
      </c>
      <c r="BT119" s="180">
        <v>117584</v>
      </c>
      <c r="BU119" s="180">
        <v>0</v>
      </c>
      <c r="BV119" s="180">
        <v>0</v>
      </c>
      <c r="BW119" s="180">
        <v>0</v>
      </c>
      <c r="BX119" s="180"/>
      <c r="BY119" s="180">
        <v>0</v>
      </c>
      <c r="BZ119" s="180">
        <v>209228</v>
      </c>
      <c r="CA119" s="180">
        <v>0</v>
      </c>
      <c r="CB119" s="180"/>
      <c r="CC119" s="180"/>
      <c r="CD119" s="180"/>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520</v>
      </c>
      <c r="B120" s="180" t="s">
        <v>267</v>
      </c>
      <c r="C120" s="180"/>
      <c r="D120" s="180">
        <v>0</v>
      </c>
      <c r="E120" s="180">
        <v>0</v>
      </c>
      <c r="F120" s="180"/>
      <c r="G120" s="180">
        <v>5324940</v>
      </c>
      <c r="H120" s="180">
        <v>278514</v>
      </c>
      <c r="I120" s="180">
        <v>15471</v>
      </c>
      <c r="J120" s="180">
        <v>210032</v>
      </c>
      <c r="K120" s="180">
        <v>163417</v>
      </c>
      <c r="L120" s="180">
        <v>2210495</v>
      </c>
      <c r="M120" s="180"/>
      <c r="N120" s="180">
        <v>102980</v>
      </c>
      <c r="O120" s="180"/>
      <c r="P120" s="180">
        <v>0</v>
      </c>
      <c r="Q120" s="180">
        <v>464189</v>
      </c>
      <c r="R120" s="180">
        <v>933747</v>
      </c>
      <c r="S120" s="180">
        <v>1118211</v>
      </c>
      <c r="T120" s="180">
        <v>89418</v>
      </c>
      <c r="U120" s="180">
        <v>1475585</v>
      </c>
      <c r="V120" s="180">
        <v>0</v>
      </c>
      <c r="W120" s="180">
        <v>0</v>
      </c>
      <c r="X120" s="180">
        <v>0</v>
      </c>
      <c r="Y120" s="180">
        <v>315813</v>
      </c>
      <c r="Z120" s="180">
        <v>287030</v>
      </c>
      <c r="AA120" s="180">
        <v>314267</v>
      </c>
      <c r="AB120" s="180">
        <v>0</v>
      </c>
      <c r="AC120" s="180">
        <v>5761</v>
      </c>
      <c r="AD120" s="180">
        <v>307898</v>
      </c>
      <c r="AE120" s="180">
        <v>398547</v>
      </c>
      <c r="AF120" s="180">
        <v>26928</v>
      </c>
      <c r="AG120" s="180">
        <v>0</v>
      </c>
      <c r="AH120" s="180">
        <v>0</v>
      </c>
      <c r="AI120" s="180">
        <v>0</v>
      </c>
      <c r="AJ120" s="180">
        <v>1325933</v>
      </c>
      <c r="AK120" s="180">
        <v>44598</v>
      </c>
      <c r="AL120" s="180">
        <v>0</v>
      </c>
      <c r="AM120" s="180">
        <v>0</v>
      </c>
      <c r="AN120" s="180">
        <v>1333570</v>
      </c>
      <c r="AO120" s="180"/>
      <c r="AP120" s="180">
        <v>0</v>
      </c>
      <c r="AQ120" s="180">
        <v>1045555</v>
      </c>
      <c r="AR120" s="180"/>
      <c r="AS120" s="180"/>
      <c r="AT120" s="180"/>
      <c r="AU120" s="180">
        <v>1090411</v>
      </c>
      <c r="AV120" s="180">
        <v>53595</v>
      </c>
      <c r="AW120" s="180"/>
      <c r="AX120" s="180">
        <v>210757</v>
      </c>
      <c r="AY120" s="180">
        <v>329766</v>
      </c>
      <c r="AZ120" s="180"/>
      <c r="BA120" s="180">
        <v>0</v>
      </c>
      <c r="BB120" s="180">
        <v>44395</v>
      </c>
      <c r="BC120" s="180"/>
      <c r="BD120" s="180">
        <v>0</v>
      </c>
      <c r="BE120" s="180">
        <v>1387037</v>
      </c>
      <c r="BF120" s="180"/>
      <c r="BG120" s="180"/>
      <c r="BH120" s="180">
        <v>231349</v>
      </c>
      <c r="BI120" s="180">
        <v>167015</v>
      </c>
      <c r="BJ120" s="180">
        <v>259307</v>
      </c>
      <c r="BK120" s="180">
        <v>320971</v>
      </c>
      <c r="BL120" s="180">
        <v>68756</v>
      </c>
      <c r="BM120" s="180">
        <v>0</v>
      </c>
      <c r="BN120" s="180">
        <v>566687</v>
      </c>
      <c r="BO120" s="180">
        <v>296751</v>
      </c>
      <c r="BP120" s="180">
        <v>304183</v>
      </c>
      <c r="BQ120" s="180">
        <v>359809</v>
      </c>
      <c r="BR120" s="180">
        <v>0</v>
      </c>
      <c r="BS120" s="180">
        <v>0</v>
      </c>
      <c r="BT120" s="180">
        <v>60236</v>
      </c>
      <c r="BU120" s="180">
        <v>477213</v>
      </c>
      <c r="BV120" s="180">
        <v>171604</v>
      </c>
      <c r="BW120" s="180">
        <v>45281</v>
      </c>
      <c r="BX120" s="180"/>
      <c r="BY120" s="180">
        <v>0</v>
      </c>
      <c r="BZ120" s="180">
        <v>1441766</v>
      </c>
      <c r="CA120" s="180">
        <v>0</v>
      </c>
      <c r="CB120" s="180"/>
      <c r="CC120" s="180"/>
      <c r="CD120" s="180"/>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521</v>
      </c>
      <c r="B121" s="180" t="s">
        <v>268</v>
      </c>
      <c r="C121" s="180"/>
      <c r="D121" s="180">
        <v>0</v>
      </c>
      <c r="E121" s="180">
        <v>0</v>
      </c>
      <c r="F121" s="180"/>
      <c r="G121" s="180">
        <v>0</v>
      </c>
      <c r="H121" s="180">
        <v>0</v>
      </c>
      <c r="I121" s="180">
        <v>0</v>
      </c>
      <c r="J121" s="180">
        <v>0</v>
      </c>
      <c r="K121" s="180">
        <v>0</v>
      </c>
      <c r="L121" s="180">
        <v>0</v>
      </c>
      <c r="M121" s="180"/>
      <c r="N121" s="180">
        <v>0</v>
      </c>
      <c r="O121" s="180"/>
      <c r="P121" s="180">
        <v>0</v>
      </c>
      <c r="Q121" s="180">
        <v>0</v>
      </c>
      <c r="R121" s="180">
        <v>0</v>
      </c>
      <c r="S121" s="180">
        <v>0</v>
      </c>
      <c r="T121" s="180">
        <v>0</v>
      </c>
      <c r="U121" s="180">
        <v>28580</v>
      </c>
      <c r="V121" s="180">
        <v>0</v>
      </c>
      <c r="W121" s="180">
        <v>0</v>
      </c>
      <c r="X121" s="180">
        <v>0</v>
      </c>
      <c r="Y121" s="180">
        <v>0</v>
      </c>
      <c r="Z121" s="180">
        <v>0</v>
      </c>
      <c r="AA121" s="180">
        <v>0</v>
      </c>
      <c r="AB121" s="180">
        <v>0</v>
      </c>
      <c r="AC121" s="180">
        <v>0</v>
      </c>
      <c r="AD121" s="180">
        <v>0</v>
      </c>
      <c r="AE121" s="180">
        <v>0</v>
      </c>
      <c r="AF121" s="180">
        <v>0</v>
      </c>
      <c r="AG121" s="180">
        <v>0</v>
      </c>
      <c r="AH121" s="180">
        <v>0</v>
      </c>
      <c r="AI121" s="180">
        <v>0</v>
      </c>
      <c r="AJ121" s="180">
        <v>0</v>
      </c>
      <c r="AK121" s="180">
        <v>0</v>
      </c>
      <c r="AL121" s="180">
        <v>0</v>
      </c>
      <c r="AM121" s="180">
        <v>0</v>
      </c>
      <c r="AN121" s="180">
        <v>0</v>
      </c>
      <c r="AO121" s="180"/>
      <c r="AP121" s="180">
        <v>0</v>
      </c>
      <c r="AQ121" s="180">
        <v>0</v>
      </c>
      <c r="AR121" s="180"/>
      <c r="AS121" s="180"/>
      <c r="AT121" s="180"/>
      <c r="AU121" s="180">
        <v>0</v>
      </c>
      <c r="AV121" s="180">
        <v>0</v>
      </c>
      <c r="AW121" s="180"/>
      <c r="AX121" s="180">
        <v>0</v>
      </c>
      <c r="AY121" s="180">
        <v>0</v>
      </c>
      <c r="AZ121" s="180"/>
      <c r="BA121" s="180">
        <v>0</v>
      </c>
      <c r="BB121" s="180">
        <v>101554</v>
      </c>
      <c r="BC121" s="180"/>
      <c r="BD121" s="180">
        <v>0</v>
      </c>
      <c r="BE121" s="180">
        <v>0</v>
      </c>
      <c r="BF121" s="180"/>
      <c r="BG121" s="180"/>
      <c r="BH121" s="180">
        <v>0</v>
      </c>
      <c r="BI121" s="180">
        <v>0</v>
      </c>
      <c r="BJ121" s="180">
        <v>0</v>
      </c>
      <c r="BK121" s="180">
        <v>0</v>
      </c>
      <c r="BL121" s="180">
        <v>0</v>
      </c>
      <c r="BM121" s="180">
        <v>0</v>
      </c>
      <c r="BN121" s="180">
        <v>0</v>
      </c>
      <c r="BO121" s="180">
        <v>0</v>
      </c>
      <c r="BP121" s="180">
        <v>0</v>
      </c>
      <c r="BQ121" s="180">
        <v>0</v>
      </c>
      <c r="BR121" s="180">
        <v>0</v>
      </c>
      <c r="BS121" s="180">
        <v>0</v>
      </c>
      <c r="BT121" s="180">
        <v>0</v>
      </c>
      <c r="BU121" s="180">
        <v>0</v>
      </c>
      <c r="BV121" s="180">
        <v>0</v>
      </c>
      <c r="BW121" s="180">
        <v>0</v>
      </c>
      <c r="BX121" s="180"/>
      <c r="BY121" s="180">
        <v>0</v>
      </c>
      <c r="BZ121" s="180">
        <v>0</v>
      </c>
      <c r="CA121" s="180">
        <v>0</v>
      </c>
      <c r="CB121" s="180"/>
      <c r="CC121" s="180"/>
      <c r="CD121" s="180"/>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522</v>
      </c>
      <c r="B122" s="180" t="s">
        <v>269</v>
      </c>
      <c r="C122" s="180"/>
      <c r="D122" s="180">
        <v>0</v>
      </c>
      <c r="E122" s="180">
        <v>0</v>
      </c>
      <c r="F122" s="180"/>
      <c r="G122" s="180">
        <v>598312</v>
      </c>
      <c r="H122" s="180">
        <v>404636</v>
      </c>
      <c r="I122" s="180">
        <v>12551</v>
      </c>
      <c r="J122" s="180">
        <v>20734</v>
      </c>
      <c r="K122" s="180">
        <v>0</v>
      </c>
      <c r="L122" s="180">
        <v>320276</v>
      </c>
      <c r="M122" s="180"/>
      <c r="N122" s="180">
        <v>31622</v>
      </c>
      <c r="O122" s="180"/>
      <c r="P122" s="180">
        <v>0</v>
      </c>
      <c r="Q122" s="180">
        <v>244621</v>
      </c>
      <c r="R122" s="180">
        <v>90819</v>
      </c>
      <c r="S122" s="180">
        <v>1639383</v>
      </c>
      <c r="T122" s="180">
        <v>0</v>
      </c>
      <c r="U122" s="180">
        <v>375392</v>
      </c>
      <c r="V122" s="180">
        <v>0</v>
      </c>
      <c r="W122" s="180">
        <v>0</v>
      </c>
      <c r="X122" s="180">
        <v>0</v>
      </c>
      <c r="Y122" s="180">
        <v>50734</v>
      </c>
      <c r="Z122" s="180">
        <v>47889</v>
      </c>
      <c r="AA122" s="180">
        <v>25073</v>
      </c>
      <c r="AB122" s="180">
        <v>0</v>
      </c>
      <c r="AC122" s="180">
        <v>980</v>
      </c>
      <c r="AD122" s="180">
        <v>37360</v>
      </c>
      <c r="AE122" s="180">
        <v>151289</v>
      </c>
      <c r="AF122" s="180">
        <v>0</v>
      </c>
      <c r="AG122" s="180">
        <v>0</v>
      </c>
      <c r="AH122" s="180">
        <v>0</v>
      </c>
      <c r="AI122" s="180">
        <v>0</v>
      </c>
      <c r="AJ122" s="180">
        <v>309267</v>
      </c>
      <c r="AK122" s="180">
        <v>0</v>
      </c>
      <c r="AL122" s="180">
        <v>0</v>
      </c>
      <c r="AM122" s="180">
        <v>0</v>
      </c>
      <c r="AN122" s="180">
        <v>303676</v>
      </c>
      <c r="AO122" s="180"/>
      <c r="AP122" s="180">
        <v>0</v>
      </c>
      <c r="AQ122" s="180">
        <v>396072</v>
      </c>
      <c r="AR122" s="180"/>
      <c r="AS122" s="180"/>
      <c r="AT122" s="180"/>
      <c r="AU122" s="180">
        <v>500135</v>
      </c>
      <c r="AV122" s="180">
        <v>0</v>
      </c>
      <c r="AW122" s="180"/>
      <c r="AX122" s="180">
        <v>164847</v>
      </c>
      <c r="AY122" s="180">
        <v>16181</v>
      </c>
      <c r="AZ122" s="180"/>
      <c r="BA122" s="180">
        <v>0</v>
      </c>
      <c r="BB122" s="180">
        <v>25136</v>
      </c>
      <c r="BC122" s="180"/>
      <c r="BD122" s="180">
        <v>0</v>
      </c>
      <c r="BE122" s="180">
        <v>322359</v>
      </c>
      <c r="BF122" s="180"/>
      <c r="BG122" s="180"/>
      <c r="BH122" s="180">
        <v>8147</v>
      </c>
      <c r="BI122" s="180">
        <v>19416</v>
      </c>
      <c r="BJ122" s="180">
        <v>21498</v>
      </c>
      <c r="BK122" s="180">
        <v>51500</v>
      </c>
      <c r="BL122" s="180">
        <v>52689</v>
      </c>
      <c r="BM122" s="180">
        <v>0</v>
      </c>
      <c r="BN122" s="180">
        <v>201723</v>
      </c>
      <c r="BO122" s="180">
        <v>17314</v>
      </c>
      <c r="BP122" s="180">
        <v>12952</v>
      </c>
      <c r="BQ122" s="180">
        <v>49592</v>
      </c>
      <c r="BR122" s="180">
        <v>0</v>
      </c>
      <c r="BS122" s="180">
        <v>0</v>
      </c>
      <c r="BT122" s="180">
        <v>58632</v>
      </c>
      <c r="BU122" s="180">
        <v>70488</v>
      </c>
      <c r="BV122" s="180">
        <v>15134</v>
      </c>
      <c r="BW122" s="180">
        <v>0</v>
      </c>
      <c r="BX122" s="180"/>
      <c r="BY122" s="180">
        <v>0</v>
      </c>
      <c r="BZ122" s="180">
        <v>114676</v>
      </c>
      <c r="CA122" s="180">
        <v>0</v>
      </c>
      <c r="CB122" s="180"/>
      <c r="CC122" s="180"/>
      <c r="CD122" s="180"/>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523</v>
      </c>
      <c r="B123" s="180" t="s">
        <v>270</v>
      </c>
      <c r="C123" s="180"/>
      <c r="D123" s="180">
        <v>0</v>
      </c>
      <c r="E123" s="180">
        <v>0</v>
      </c>
      <c r="F123" s="180"/>
      <c r="G123" s="180">
        <v>95194693</v>
      </c>
      <c r="H123" s="180">
        <v>222056</v>
      </c>
      <c r="I123" s="180">
        <v>0</v>
      </c>
      <c r="J123" s="180">
        <v>0</v>
      </c>
      <c r="K123" s="180">
        <v>0</v>
      </c>
      <c r="L123" s="180">
        <v>11676783</v>
      </c>
      <c r="M123" s="180"/>
      <c r="N123" s="180">
        <v>0</v>
      </c>
      <c r="O123" s="180"/>
      <c r="P123" s="180">
        <v>0</v>
      </c>
      <c r="Q123" s="180">
        <v>393838</v>
      </c>
      <c r="R123" s="180">
        <v>336221</v>
      </c>
      <c r="S123" s="180">
        <v>13092448</v>
      </c>
      <c r="T123" s="180">
        <v>0</v>
      </c>
      <c r="U123" s="180">
        <v>16602307</v>
      </c>
      <c r="V123" s="180">
        <v>0</v>
      </c>
      <c r="W123" s="180">
        <v>0</v>
      </c>
      <c r="X123" s="180">
        <v>0</v>
      </c>
      <c r="Y123" s="180">
        <v>153497</v>
      </c>
      <c r="Z123" s="180">
        <v>0</v>
      </c>
      <c r="AA123" s="180">
        <v>0</v>
      </c>
      <c r="AB123" s="180">
        <v>0</v>
      </c>
      <c r="AC123" s="180">
        <v>0</v>
      </c>
      <c r="AD123" s="180">
        <v>0</v>
      </c>
      <c r="AE123" s="180">
        <v>135935</v>
      </c>
      <c r="AF123" s="180">
        <v>0</v>
      </c>
      <c r="AG123" s="180">
        <v>0</v>
      </c>
      <c r="AH123" s="180">
        <v>0</v>
      </c>
      <c r="AI123" s="180">
        <v>0</v>
      </c>
      <c r="AJ123" s="180">
        <v>0</v>
      </c>
      <c r="AK123" s="180">
        <v>73000</v>
      </c>
      <c r="AL123" s="180">
        <v>0</v>
      </c>
      <c r="AM123" s="180">
        <v>0</v>
      </c>
      <c r="AN123" s="180">
        <v>0</v>
      </c>
      <c r="AO123" s="180"/>
      <c r="AP123" s="180">
        <v>0</v>
      </c>
      <c r="AQ123" s="180">
        <v>184423</v>
      </c>
      <c r="AR123" s="180"/>
      <c r="AS123" s="180"/>
      <c r="AT123" s="180"/>
      <c r="AU123" s="180">
        <v>7917284</v>
      </c>
      <c r="AV123" s="180">
        <v>77665</v>
      </c>
      <c r="AW123" s="180"/>
      <c r="AX123" s="180">
        <v>0</v>
      </c>
      <c r="AY123" s="180">
        <v>0</v>
      </c>
      <c r="AZ123" s="180"/>
      <c r="BA123" s="180">
        <v>0</v>
      </c>
      <c r="BB123" s="180">
        <v>16683</v>
      </c>
      <c r="BC123" s="180"/>
      <c r="BD123" s="180">
        <v>0</v>
      </c>
      <c r="BE123" s="180">
        <v>9318310</v>
      </c>
      <c r="BF123" s="180"/>
      <c r="BG123" s="180"/>
      <c r="BH123" s="180">
        <v>0</v>
      </c>
      <c r="BI123" s="180">
        <v>0</v>
      </c>
      <c r="BJ123" s="180">
        <v>0</v>
      </c>
      <c r="BK123" s="180">
        <v>61676</v>
      </c>
      <c r="BL123" s="180">
        <v>4492151</v>
      </c>
      <c r="BM123" s="180">
        <v>0</v>
      </c>
      <c r="BN123" s="180">
        <v>5497755</v>
      </c>
      <c r="BO123" s="180">
        <v>225303</v>
      </c>
      <c r="BP123" s="180">
        <v>0</v>
      </c>
      <c r="BQ123" s="180">
        <v>256446</v>
      </c>
      <c r="BR123" s="180">
        <v>0</v>
      </c>
      <c r="BS123" s="180">
        <v>0</v>
      </c>
      <c r="BT123" s="180">
        <v>479141</v>
      </c>
      <c r="BU123" s="180">
        <v>0</v>
      </c>
      <c r="BV123" s="180">
        <v>0</v>
      </c>
      <c r="BW123" s="180">
        <v>0</v>
      </c>
      <c r="BX123" s="180"/>
      <c r="BY123" s="180">
        <v>0</v>
      </c>
      <c r="BZ123" s="180">
        <v>4060569</v>
      </c>
      <c r="CA123" s="180">
        <v>0</v>
      </c>
      <c r="CB123" s="180"/>
      <c r="CC123" s="180"/>
      <c r="CD123" s="180"/>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524</v>
      </c>
      <c r="B124" s="180" t="s">
        <v>271</v>
      </c>
      <c r="C124" s="180"/>
      <c r="D124" s="180">
        <v>0</v>
      </c>
      <c r="E124" s="180">
        <v>0</v>
      </c>
      <c r="F124" s="180"/>
      <c r="G124" s="180">
        <v>92089162</v>
      </c>
      <c r="H124" s="180">
        <v>7145589</v>
      </c>
      <c r="I124" s="180">
        <v>1649899</v>
      </c>
      <c r="J124" s="180">
        <v>5932479</v>
      </c>
      <c r="K124" s="180">
        <v>2982821</v>
      </c>
      <c r="L124" s="180">
        <v>43816401</v>
      </c>
      <c r="M124" s="180"/>
      <c r="N124" s="180">
        <v>3612255</v>
      </c>
      <c r="O124" s="180"/>
      <c r="P124" s="180">
        <v>0</v>
      </c>
      <c r="Q124" s="180">
        <v>11467172</v>
      </c>
      <c r="R124" s="180">
        <v>16935076</v>
      </c>
      <c r="S124" s="180">
        <v>8632505</v>
      </c>
      <c r="T124" s="180">
        <v>1330973</v>
      </c>
      <c r="U124" s="180">
        <v>38952942</v>
      </c>
      <c r="V124" s="180">
        <v>0</v>
      </c>
      <c r="W124" s="180">
        <v>0</v>
      </c>
      <c r="X124" s="180">
        <v>0</v>
      </c>
      <c r="Y124" s="180">
        <v>4705067</v>
      </c>
      <c r="Z124" s="180">
        <v>9387390</v>
      </c>
      <c r="AA124" s="180">
        <v>4577830</v>
      </c>
      <c r="AB124" s="180">
        <v>0</v>
      </c>
      <c r="AC124" s="180">
        <v>720836</v>
      </c>
      <c r="AD124" s="180">
        <v>7068713</v>
      </c>
      <c r="AE124" s="180">
        <v>9444805</v>
      </c>
      <c r="AF124" s="180">
        <v>726896</v>
      </c>
      <c r="AG124" s="180">
        <v>0</v>
      </c>
      <c r="AH124" s="180">
        <v>0</v>
      </c>
      <c r="AI124" s="180">
        <v>0</v>
      </c>
      <c r="AJ124" s="180">
        <v>26933100</v>
      </c>
      <c r="AK124" s="180">
        <v>827427</v>
      </c>
      <c r="AL124" s="180">
        <v>0</v>
      </c>
      <c r="AM124" s="180">
        <v>0</v>
      </c>
      <c r="AN124" s="180">
        <v>30956585</v>
      </c>
      <c r="AO124" s="180"/>
      <c r="AP124" s="180">
        <v>0</v>
      </c>
      <c r="AQ124" s="180">
        <v>41186594</v>
      </c>
      <c r="AR124" s="180"/>
      <c r="AS124" s="180"/>
      <c r="AT124" s="180"/>
      <c r="AU124" s="180">
        <v>32042837</v>
      </c>
      <c r="AV124" s="180">
        <v>1287753</v>
      </c>
      <c r="AW124" s="180"/>
      <c r="AX124" s="180">
        <v>5296530</v>
      </c>
      <c r="AY124" s="180">
        <v>10669331</v>
      </c>
      <c r="AZ124" s="180"/>
      <c r="BA124" s="180">
        <v>20457</v>
      </c>
      <c r="BB124" s="180">
        <v>566333</v>
      </c>
      <c r="BC124" s="180"/>
      <c r="BD124" s="180">
        <v>0</v>
      </c>
      <c r="BE124" s="180">
        <v>32505924</v>
      </c>
      <c r="BF124" s="180"/>
      <c r="BG124" s="180"/>
      <c r="BH124" s="180">
        <v>7665849</v>
      </c>
      <c r="BI124" s="180">
        <v>3442623</v>
      </c>
      <c r="BJ124" s="180">
        <v>4224449</v>
      </c>
      <c r="BK124" s="180">
        <v>10636774</v>
      </c>
      <c r="BL124" s="180">
        <v>2252156</v>
      </c>
      <c r="BM124" s="180">
        <v>0</v>
      </c>
      <c r="BN124" s="180">
        <v>10935496</v>
      </c>
      <c r="BO124" s="180">
        <v>7788176</v>
      </c>
      <c r="BP124" s="180">
        <v>8003234</v>
      </c>
      <c r="BQ124" s="180">
        <v>2594646</v>
      </c>
      <c r="BR124" s="180">
        <v>0</v>
      </c>
      <c r="BS124" s="180">
        <v>0</v>
      </c>
      <c r="BT124" s="180">
        <v>1603405</v>
      </c>
      <c r="BU124" s="180">
        <v>10852565</v>
      </c>
      <c r="BV124" s="180">
        <v>2526482</v>
      </c>
      <c r="BW124" s="180">
        <v>557242</v>
      </c>
      <c r="BX124" s="180"/>
      <c r="BY124" s="180">
        <v>0</v>
      </c>
      <c r="BZ124" s="180">
        <v>18905033</v>
      </c>
      <c r="CA124" s="180">
        <v>0</v>
      </c>
      <c r="CB124" s="180"/>
      <c r="CC124" s="180"/>
      <c r="CD124" s="180"/>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525</v>
      </c>
      <c r="B125" s="180" t="s">
        <v>272</v>
      </c>
      <c r="C125" s="180"/>
      <c r="D125" s="180">
        <v>0</v>
      </c>
      <c r="E125" s="180">
        <v>0</v>
      </c>
      <c r="F125" s="180"/>
      <c r="G125" s="180">
        <v>0</v>
      </c>
      <c r="H125" s="180">
        <v>0</v>
      </c>
      <c r="I125" s="180">
        <v>0</v>
      </c>
      <c r="J125" s="180">
        <v>0</v>
      </c>
      <c r="K125" s="180">
        <v>0</v>
      </c>
      <c r="L125" s="180">
        <v>0</v>
      </c>
      <c r="M125" s="180"/>
      <c r="N125" s="180">
        <v>0</v>
      </c>
      <c r="O125" s="180"/>
      <c r="P125" s="180">
        <v>0</v>
      </c>
      <c r="Q125" s="180">
        <v>0</v>
      </c>
      <c r="R125" s="180">
        <v>0</v>
      </c>
      <c r="S125" s="180">
        <v>0</v>
      </c>
      <c r="T125" s="180">
        <v>0</v>
      </c>
      <c r="U125" s="180">
        <v>250951</v>
      </c>
      <c r="V125" s="180">
        <v>0</v>
      </c>
      <c r="W125" s="180">
        <v>0</v>
      </c>
      <c r="X125" s="180">
        <v>0</v>
      </c>
      <c r="Y125" s="180">
        <v>0</v>
      </c>
      <c r="Z125" s="180">
        <v>0</v>
      </c>
      <c r="AA125" s="180">
        <v>0</v>
      </c>
      <c r="AB125" s="180">
        <v>0</v>
      </c>
      <c r="AC125" s="180">
        <v>0</v>
      </c>
      <c r="AD125" s="180">
        <v>0</v>
      </c>
      <c r="AE125" s="180">
        <v>0</v>
      </c>
      <c r="AF125" s="180">
        <v>0</v>
      </c>
      <c r="AG125" s="180">
        <v>0</v>
      </c>
      <c r="AH125" s="180">
        <v>0</v>
      </c>
      <c r="AI125" s="180">
        <v>0</v>
      </c>
      <c r="AJ125" s="180">
        <v>0</v>
      </c>
      <c r="AK125" s="180">
        <v>0</v>
      </c>
      <c r="AL125" s="180">
        <v>0</v>
      </c>
      <c r="AM125" s="180">
        <v>0</v>
      </c>
      <c r="AN125" s="180">
        <v>0</v>
      </c>
      <c r="AO125" s="180"/>
      <c r="AP125" s="180">
        <v>0</v>
      </c>
      <c r="AQ125" s="180">
        <v>0</v>
      </c>
      <c r="AR125" s="180"/>
      <c r="AS125" s="180"/>
      <c r="AT125" s="180"/>
      <c r="AU125" s="180">
        <v>0</v>
      </c>
      <c r="AV125" s="180">
        <v>0</v>
      </c>
      <c r="AW125" s="180"/>
      <c r="AX125" s="180">
        <v>0</v>
      </c>
      <c r="AY125" s="180">
        <v>0</v>
      </c>
      <c r="AZ125" s="180"/>
      <c r="BA125" s="180">
        <v>0</v>
      </c>
      <c r="BB125" s="180">
        <v>4213657</v>
      </c>
      <c r="BC125" s="180"/>
      <c r="BD125" s="180">
        <v>0</v>
      </c>
      <c r="BE125" s="180">
        <v>0</v>
      </c>
      <c r="BF125" s="180"/>
      <c r="BG125" s="180"/>
      <c r="BH125" s="180">
        <v>0</v>
      </c>
      <c r="BI125" s="180">
        <v>0</v>
      </c>
      <c r="BJ125" s="180">
        <v>0</v>
      </c>
      <c r="BK125" s="180">
        <v>0</v>
      </c>
      <c r="BL125" s="180">
        <v>0</v>
      </c>
      <c r="BM125" s="180">
        <v>0</v>
      </c>
      <c r="BN125" s="180">
        <v>0</v>
      </c>
      <c r="BO125" s="180">
        <v>0</v>
      </c>
      <c r="BP125" s="180">
        <v>0</v>
      </c>
      <c r="BQ125" s="180">
        <v>0</v>
      </c>
      <c r="BR125" s="180">
        <v>0</v>
      </c>
      <c r="BS125" s="180">
        <v>0</v>
      </c>
      <c r="BT125" s="180">
        <v>0</v>
      </c>
      <c r="BU125" s="180">
        <v>0</v>
      </c>
      <c r="BV125" s="180">
        <v>0</v>
      </c>
      <c r="BW125" s="180">
        <v>0</v>
      </c>
      <c r="BX125" s="180"/>
      <c r="BY125" s="180">
        <v>0</v>
      </c>
      <c r="BZ125" s="180">
        <v>0</v>
      </c>
      <c r="CA125" s="180">
        <v>0</v>
      </c>
      <c r="CB125" s="180"/>
      <c r="CC125" s="180"/>
      <c r="CD125" s="180"/>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526</v>
      </c>
      <c r="B126" s="180" t="s">
        <v>273</v>
      </c>
      <c r="C126" s="180"/>
      <c r="D126" s="180">
        <v>0</v>
      </c>
      <c r="E126" s="180">
        <v>0</v>
      </c>
      <c r="F126" s="180"/>
      <c r="G126" s="180">
        <v>9154718</v>
      </c>
      <c r="H126" s="180">
        <v>4956348</v>
      </c>
      <c r="I126" s="180">
        <v>80146</v>
      </c>
      <c r="J126" s="180">
        <v>330120</v>
      </c>
      <c r="K126" s="180">
        <v>0</v>
      </c>
      <c r="L126" s="180">
        <v>3932187</v>
      </c>
      <c r="M126" s="180"/>
      <c r="N126" s="180">
        <v>423785</v>
      </c>
      <c r="O126" s="180"/>
      <c r="P126" s="180">
        <v>0</v>
      </c>
      <c r="Q126" s="180">
        <v>4959555</v>
      </c>
      <c r="R126" s="180">
        <v>1677710</v>
      </c>
      <c r="S126" s="180">
        <v>46875124</v>
      </c>
      <c r="T126" s="180">
        <v>0</v>
      </c>
      <c r="U126" s="180">
        <v>5918718</v>
      </c>
      <c r="V126" s="180">
        <v>0</v>
      </c>
      <c r="W126" s="180">
        <v>0</v>
      </c>
      <c r="X126" s="180">
        <v>0</v>
      </c>
      <c r="Y126" s="180">
        <v>834427</v>
      </c>
      <c r="Z126" s="180">
        <v>1028828</v>
      </c>
      <c r="AA126" s="180">
        <v>420423</v>
      </c>
      <c r="AB126" s="180">
        <v>0</v>
      </c>
      <c r="AC126" s="180">
        <v>50967</v>
      </c>
      <c r="AD126" s="180">
        <v>401605</v>
      </c>
      <c r="AE126" s="180">
        <v>1197446</v>
      </c>
      <c r="AF126" s="180">
        <v>11089</v>
      </c>
      <c r="AG126" s="180">
        <v>0</v>
      </c>
      <c r="AH126" s="180">
        <v>0</v>
      </c>
      <c r="AI126" s="180">
        <v>0</v>
      </c>
      <c r="AJ126" s="180">
        <v>3939876</v>
      </c>
      <c r="AK126" s="180">
        <v>99649</v>
      </c>
      <c r="AL126" s="180">
        <v>0</v>
      </c>
      <c r="AM126" s="180">
        <v>0</v>
      </c>
      <c r="AN126" s="180">
        <v>4546580</v>
      </c>
      <c r="AO126" s="180"/>
      <c r="AP126" s="180">
        <v>0</v>
      </c>
      <c r="AQ126" s="180">
        <v>3313159</v>
      </c>
      <c r="AR126" s="180"/>
      <c r="AS126" s="180"/>
      <c r="AT126" s="180"/>
      <c r="AU126" s="180">
        <v>8679157</v>
      </c>
      <c r="AV126" s="180">
        <v>20572</v>
      </c>
      <c r="AW126" s="180"/>
      <c r="AX126" s="180">
        <v>172072</v>
      </c>
      <c r="AY126" s="180">
        <v>494572</v>
      </c>
      <c r="AZ126" s="180"/>
      <c r="BA126" s="180">
        <v>0</v>
      </c>
      <c r="BB126" s="180">
        <v>536394</v>
      </c>
      <c r="BC126" s="180"/>
      <c r="BD126" s="180">
        <v>0</v>
      </c>
      <c r="BE126" s="180">
        <v>15050496</v>
      </c>
      <c r="BF126" s="180"/>
      <c r="BG126" s="180"/>
      <c r="BH126" s="180">
        <v>1009193</v>
      </c>
      <c r="BI126" s="180">
        <v>220675</v>
      </c>
      <c r="BJ126" s="180">
        <v>336370</v>
      </c>
      <c r="BK126" s="180">
        <v>1762464</v>
      </c>
      <c r="BL126" s="180">
        <v>488178</v>
      </c>
      <c r="BM126" s="180">
        <v>0</v>
      </c>
      <c r="BN126" s="180">
        <v>3603085</v>
      </c>
      <c r="BO126" s="180">
        <v>434912</v>
      </c>
      <c r="BP126" s="180">
        <v>43463</v>
      </c>
      <c r="BQ126" s="180">
        <v>718792</v>
      </c>
      <c r="BR126" s="180">
        <v>0</v>
      </c>
      <c r="BS126" s="180">
        <v>0</v>
      </c>
      <c r="BT126" s="180">
        <v>2312574</v>
      </c>
      <c r="BU126" s="180">
        <v>967735</v>
      </c>
      <c r="BV126" s="180">
        <v>349074</v>
      </c>
      <c r="BW126" s="180">
        <v>0</v>
      </c>
      <c r="BX126" s="180"/>
      <c r="BY126" s="180">
        <v>0</v>
      </c>
      <c r="BZ126" s="180">
        <v>1451351</v>
      </c>
      <c r="CA126" s="180">
        <v>0</v>
      </c>
      <c r="CB126" s="180"/>
      <c r="CC126" s="180"/>
      <c r="CD126" s="180"/>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527</v>
      </c>
      <c r="B127" s="180" t="s">
        <v>274</v>
      </c>
      <c r="C127" s="180"/>
      <c r="D127" s="180">
        <v>0</v>
      </c>
      <c r="E127" s="180">
        <v>0</v>
      </c>
      <c r="F127" s="180"/>
      <c r="G127" s="180">
        <v>0</v>
      </c>
      <c r="H127" s="180">
        <v>0</v>
      </c>
      <c r="I127" s="180">
        <v>0</v>
      </c>
      <c r="J127" s="180">
        <v>0</v>
      </c>
      <c r="K127" s="180">
        <v>0</v>
      </c>
      <c r="L127" s="180">
        <v>0</v>
      </c>
      <c r="M127" s="180"/>
      <c r="N127" s="180">
        <v>0</v>
      </c>
      <c r="O127" s="180"/>
      <c r="P127" s="180">
        <v>0</v>
      </c>
      <c r="Q127" s="180">
        <v>0</v>
      </c>
      <c r="R127" s="180">
        <v>0</v>
      </c>
      <c r="S127" s="180">
        <v>1682434</v>
      </c>
      <c r="T127" s="180">
        <v>0</v>
      </c>
      <c r="U127" s="180">
        <v>16405113</v>
      </c>
      <c r="V127" s="180">
        <v>0</v>
      </c>
      <c r="W127" s="180">
        <v>0</v>
      </c>
      <c r="X127" s="180">
        <v>0</v>
      </c>
      <c r="Y127" s="180">
        <v>0</v>
      </c>
      <c r="Z127" s="180">
        <v>2747224</v>
      </c>
      <c r="AA127" s="180">
        <v>57889</v>
      </c>
      <c r="AB127" s="180">
        <v>0</v>
      </c>
      <c r="AC127" s="180">
        <v>0</v>
      </c>
      <c r="AD127" s="180">
        <v>0</v>
      </c>
      <c r="AE127" s="180">
        <v>294748</v>
      </c>
      <c r="AF127" s="180">
        <v>0</v>
      </c>
      <c r="AG127" s="180">
        <v>0</v>
      </c>
      <c r="AH127" s="180">
        <v>0</v>
      </c>
      <c r="AI127" s="180">
        <v>0</v>
      </c>
      <c r="AJ127" s="180">
        <v>4779814</v>
      </c>
      <c r="AK127" s="180">
        <v>0</v>
      </c>
      <c r="AL127" s="180">
        <v>0</v>
      </c>
      <c r="AM127" s="180">
        <v>0</v>
      </c>
      <c r="AN127" s="180">
        <v>0</v>
      </c>
      <c r="AO127" s="180"/>
      <c r="AP127" s="180">
        <v>0</v>
      </c>
      <c r="AQ127" s="180">
        <v>3325924</v>
      </c>
      <c r="AR127" s="180"/>
      <c r="AS127" s="180"/>
      <c r="AT127" s="180"/>
      <c r="AU127" s="180">
        <v>199402</v>
      </c>
      <c r="AV127" s="180">
        <v>0</v>
      </c>
      <c r="AW127" s="180"/>
      <c r="AX127" s="180">
        <v>0</v>
      </c>
      <c r="AY127" s="180">
        <v>0</v>
      </c>
      <c r="AZ127" s="180"/>
      <c r="BA127" s="180">
        <v>0</v>
      </c>
      <c r="BB127" s="180">
        <v>0</v>
      </c>
      <c r="BC127" s="180"/>
      <c r="BD127" s="180">
        <v>0</v>
      </c>
      <c r="BE127" s="180">
        <v>2027595</v>
      </c>
      <c r="BF127" s="180"/>
      <c r="BG127" s="180"/>
      <c r="BH127" s="180">
        <v>0</v>
      </c>
      <c r="BI127" s="180">
        <v>0</v>
      </c>
      <c r="BJ127" s="180">
        <v>0</v>
      </c>
      <c r="BK127" s="180">
        <v>19800</v>
      </c>
      <c r="BL127" s="180">
        <v>0</v>
      </c>
      <c r="BM127" s="180">
        <v>0</v>
      </c>
      <c r="BN127" s="180">
        <v>0</v>
      </c>
      <c r="BO127" s="180">
        <v>0</v>
      </c>
      <c r="BP127" s="180">
        <v>0</v>
      </c>
      <c r="BQ127" s="180">
        <v>0</v>
      </c>
      <c r="BR127" s="180">
        <v>0</v>
      </c>
      <c r="BS127" s="180">
        <v>0</v>
      </c>
      <c r="BT127" s="180">
        <v>0</v>
      </c>
      <c r="BU127" s="180">
        <v>0</v>
      </c>
      <c r="BV127" s="180">
        <v>0</v>
      </c>
      <c r="BW127" s="180">
        <v>0</v>
      </c>
      <c r="BX127" s="180"/>
      <c r="BY127" s="180">
        <v>0</v>
      </c>
      <c r="BZ127" s="180">
        <v>0</v>
      </c>
      <c r="CA127" s="180">
        <v>0</v>
      </c>
      <c r="CB127" s="180"/>
      <c r="CC127" s="180"/>
      <c r="CD127" s="180"/>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528</v>
      </c>
      <c r="B128" s="180" t="s">
        <v>257</v>
      </c>
      <c r="C128" s="180"/>
      <c r="D128" s="180">
        <v>1386789</v>
      </c>
      <c r="E128" s="180">
        <v>9561875</v>
      </c>
      <c r="F128" s="180"/>
      <c r="G128" s="180">
        <v>21865195</v>
      </c>
      <c r="H128" s="180">
        <v>2246946</v>
      </c>
      <c r="I128" s="180">
        <v>111235</v>
      </c>
      <c r="J128" s="180">
        <v>618625</v>
      </c>
      <c r="K128" s="180">
        <v>829540</v>
      </c>
      <c r="L128" s="180">
        <v>31381421</v>
      </c>
      <c r="M128" s="180"/>
      <c r="N128" s="180">
        <v>342342</v>
      </c>
      <c r="O128" s="180"/>
      <c r="P128" s="180">
        <v>19869505</v>
      </c>
      <c r="Q128" s="180">
        <v>9273620</v>
      </c>
      <c r="R128" s="180">
        <v>3136904</v>
      </c>
      <c r="S128" s="180">
        <v>7559463</v>
      </c>
      <c r="T128" s="180">
        <v>89035</v>
      </c>
      <c r="U128" s="180">
        <v>9750071</v>
      </c>
      <c r="V128" s="180">
        <v>7382</v>
      </c>
      <c r="W128" s="180">
        <v>4316515</v>
      </c>
      <c r="X128" s="180">
        <v>9687204</v>
      </c>
      <c r="Y128" s="180">
        <v>3258487</v>
      </c>
      <c r="Z128" s="180">
        <v>595036</v>
      </c>
      <c r="AA128" s="180">
        <v>4336734</v>
      </c>
      <c r="AB128" s="180">
        <v>667860</v>
      </c>
      <c r="AC128" s="180">
        <v>252045</v>
      </c>
      <c r="AD128" s="180">
        <v>536774</v>
      </c>
      <c r="AE128" s="180">
        <v>1545200</v>
      </c>
      <c r="AF128" s="180">
        <v>29273</v>
      </c>
      <c r="AG128" s="180">
        <v>8625</v>
      </c>
      <c r="AH128" s="180">
        <v>40365</v>
      </c>
      <c r="AI128" s="180">
        <v>1828971</v>
      </c>
      <c r="AJ128" s="180">
        <v>2945805</v>
      </c>
      <c r="AK128" s="180">
        <v>71436</v>
      </c>
      <c r="AL128" s="180">
        <v>10237</v>
      </c>
      <c r="AM128" s="180">
        <v>8410356</v>
      </c>
      <c r="AN128" s="180">
        <v>9193950</v>
      </c>
      <c r="AO128" s="180"/>
      <c r="AP128" s="180">
        <v>2577014</v>
      </c>
      <c r="AQ128" s="180">
        <v>10756516</v>
      </c>
      <c r="AR128" s="180"/>
      <c r="AS128" s="180"/>
      <c r="AT128" s="180"/>
      <c r="AU128" s="180">
        <v>5105554</v>
      </c>
      <c r="AV128" s="180">
        <v>24858</v>
      </c>
      <c r="AW128" s="180"/>
      <c r="AX128" s="180">
        <v>2016998</v>
      </c>
      <c r="AY128" s="180">
        <v>1604550</v>
      </c>
      <c r="AZ128" s="180"/>
      <c r="BA128" s="180">
        <v>25217</v>
      </c>
      <c r="BB128" s="180">
        <v>1591014</v>
      </c>
      <c r="BC128" s="180"/>
      <c r="BD128" s="180">
        <v>28984</v>
      </c>
      <c r="BE128" s="180">
        <v>9590464</v>
      </c>
      <c r="BF128" s="180"/>
      <c r="BG128" s="180"/>
      <c r="BH128" s="180">
        <v>1611569</v>
      </c>
      <c r="BI128" s="180">
        <v>1972092</v>
      </c>
      <c r="BJ128" s="180">
        <v>166906</v>
      </c>
      <c r="BK128" s="180">
        <v>7890322</v>
      </c>
      <c r="BL128" s="180">
        <v>2262048</v>
      </c>
      <c r="BM128" s="180">
        <v>0</v>
      </c>
      <c r="BN128" s="180">
        <v>2794025</v>
      </c>
      <c r="BO128" s="180">
        <v>712217</v>
      </c>
      <c r="BP128" s="180">
        <v>564579</v>
      </c>
      <c r="BQ128" s="180">
        <v>1094781</v>
      </c>
      <c r="BR128" s="180">
        <v>888460</v>
      </c>
      <c r="BS128" s="180">
        <v>14329482</v>
      </c>
      <c r="BT128" s="180">
        <v>661085</v>
      </c>
      <c r="BU128" s="180">
        <v>1555929</v>
      </c>
      <c r="BV128" s="180">
        <v>234616</v>
      </c>
      <c r="BW128" s="180">
        <v>415864</v>
      </c>
      <c r="BX128" s="180"/>
      <c r="BY128" s="180">
        <v>8313</v>
      </c>
      <c r="BZ128" s="180">
        <v>11594881</v>
      </c>
      <c r="CA128" s="180">
        <v>24346</v>
      </c>
      <c r="CB128" s="180"/>
      <c r="CC128" s="180"/>
      <c r="CD128" s="180"/>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529</v>
      </c>
      <c r="B129" s="180" t="s">
        <v>258</v>
      </c>
      <c r="C129" s="180"/>
      <c r="D129" s="180">
        <v>19799</v>
      </c>
      <c r="E129" s="180">
        <v>1018154</v>
      </c>
      <c r="F129" s="180"/>
      <c r="G129" s="180">
        <v>2527523</v>
      </c>
      <c r="H129" s="180">
        <v>234209</v>
      </c>
      <c r="I129" s="180">
        <v>28083</v>
      </c>
      <c r="J129" s="180">
        <v>61850</v>
      </c>
      <c r="K129" s="180">
        <v>144054</v>
      </c>
      <c r="L129" s="180">
        <v>3047800</v>
      </c>
      <c r="M129" s="180"/>
      <c r="N129" s="180">
        <v>35193</v>
      </c>
      <c r="O129" s="180"/>
      <c r="P129" s="180">
        <v>1881234</v>
      </c>
      <c r="Q129" s="180">
        <v>370576</v>
      </c>
      <c r="R129" s="180">
        <v>362394</v>
      </c>
      <c r="S129" s="180">
        <v>424094</v>
      </c>
      <c r="T129" s="180">
        <v>22234</v>
      </c>
      <c r="U129" s="180">
        <v>1181505</v>
      </c>
      <c r="V129" s="180">
        <v>1488</v>
      </c>
      <c r="W129" s="180">
        <v>213915</v>
      </c>
      <c r="X129" s="180">
        <v>858686</v>
      </c>
      <c r="Y129" s="180">
        <v>93776</v>
      </c>
      <c r="Z129" s="180">
        <v>108466</v>
      </c>
      <c r="AA129" s="180">
        <v>92737</v>
      </c>
      <c r="AB129" s="180">
        <v>77176</v>
      </c>
      <c r="AC129" s="180">
        <v>2064</v>
      </c>
      <c r="AD129" s="180">
        <v>34447</v>
      </c>
      <c r="AE129" s="180">
        <v>216555</v>
      </c>
      <c r="AF129" s="180">
        <v>3771</v>
      </c>
      <c r="AG129" s="180">
        <v>1907</v>
      </c>
      <c r="AH129" s="180">
        <v>6104</v>
      </c>
      <c r="AI129" s="180">
        <v>122598</v>
      </c>
      <c r="AJ129" s="180">
        <v>440460</v>
      </c>
      <c r="AK129" s="180">
        <v>16165</v>
      </c>
      <c r="AL129" s="180">
        <v>1646</v>
      </c>
      <c r="AM129" s="180">
        <v>848308</v>
      </c>
      <c r="AN129" s="180">
        <v>880039</v>
      </c>
      <c r="AO129" s="180"/>
      <c r="AP129" s="180">
        <v>298291</v>
      </c>
      <c r="AQ129" s="180">
        <v>956411</v>
      </c>
      <c r="AR129" s="180"/>
      <c r="AS129" s="180"/>
      <c r="AT129" s="180"/>
      <c r="AU129" s="180">
        <v>586714</v>
      </c>
      <c r="AV129" s="180">
        <v>5593</v>
      </c>
      <c r="AW129" s="180"/>
      <c r="AX129" s="180">
        <v>235219</v>
      </c>
      <c r="AY129" s="180">
        <v>203169</v>
      </c>
      <c r="AZ129" s="180"/>
      <c r="BA129" s="180">
        <v>4372</v>
      </c>
      <c r="BB129" s="180">
        <v>178919</v>
      </c>
      <c r="BC129" s="180"/>
      <c r="BD129" s="180">
        <v>3829</v>
      </c>
      <c r="BE129" s="180">
        <v>1121434</v>
      </c>
      <c r="BF129" s="180"/>
      <c r="BG129" s="180"/>
      <c r="BH129" s="180">
        <v>132333</v>
      </c>
      <c r="BI129" s="180">
        <v>111367</v>
      </c>
      <c r="BJ129" s="180">
        <v>44138</v>
      </c>
      <c r="BK129" s="180">
        <v>141886</v>
      </c>
      <c r="BL129" s="180">
        <v>91027</v>
      </c>
      <c r="BM129" s="180">
        <v>0</v>
      </c>
      <c r="BN129" s="180">
        <v>259100</v>
      </c>
      <c r="BO129" s="180">
        <v>61489</v>
      </c>
      <c r="BP129" s="180">
        <v>32549</v>
      </c>
      <c r="BQ129" s="180">
        <v>107548</v>
      </c>
      <c r="BR129" s="180">
        <v>65707</v>
      </c>
      <c r="BS129" s="180">
        <v>993575</v>
      </c>
      <c r="BT129" s="180">
        <v>124982</v>
      </c>
      <c r="BU129" s="180">
        <v>111044</v>
      </c>
      <c r="BV129" s="180">
        <v>36088</v>
      </c>
      <c r="BW129" s="180">
        <v>37215</v>
      </c>
      <c r="BX129" s="180"/>
      <c r="BY129" s="180">
        <v>1807</v>
      </c>
      <c r="BZ129" s="180">
        <v>895578</v>
      </c>
      <c r="CA129" s="180">
        <v>8600</v>
      </c>
      <c r="CB129" s="180"/>
      <c r="CC129" s="180"/>
      <c r="CD129" s="180"/>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530</v>
      </c>
      <c r="B130" s="180" t="s">
        <v>259</v>
      </c>
      <c r="C130" s="180"/>
      <c r="D130" s="180">
        <v>6224</v>
      </c>
      <c r="E130" s="180">
        <v>13765</v>
      </c>
      <c r="F130" s="180"/>
      <c r="G130" s="180">
        <v>195880</v>
      </c>
      <c r="H130" s="180">
        <v>6098</v>
      </c>
      <c r="I130" s="180">
        <v>13756</v>
      </c>
      <c r="J130" s="180">
        <v>15130</v>
      </c>
      <c r="K130" s="180">
        <v>22601</v>
      </c>
      <c r="L130" s="180">
        <v>360831</v>
      </c>
      <c r="M130" s="180"/>
      <c r="N130" s="180">
        <v>5371</v>
      </c>
      <c r="O130" s="180"/>
      <c r="P130" s="180">
        <v>125845</v>
      </c>
      <c r="Q130" s="180">
        <v>25346</v>
      </c>
      <c r="R130" s="180">
        <v>33906</v>
      </c>
      <c r="S130" s="180">
        <v>62914</v>
      </c>
      <c r="T130" s="180">
        <v>10513</v>
      </c>
      <c r="U130" s="180">
        <v>235774</v>
      </c>
      <c r="V130" s="180">
        <v>226</v>
      </c>
      <c r="W130" s="180">
        <v>25938</v>
      </c>
      <c r="X130" s="180">
        <v>22542</v>
      </c>
      <c r="Y130" s="180">
        <v>11183</v>
      </c>
      <c r="Z130" s="180">
        <v>32468</v>
      </c>
      <c r="AA130" s="180">
        <v>29157</v>
      </c>
      <c r="AB130" s="180">
        <v>0</v>
      </c>
      <c r="AC130" s="180">
        <v>3238</v>
      </c>
      <c r="AD130" s="180">
        <v>6290</v>
      </c>
      <c r="AE130" s="180">
        <v>43224</v>
      </c>
      <c r="AF130" s="180">
        <v>3209</v>
      </c>
      <c r="AG130" s="180">
        <v>392</v>
      </c>
      <c r="AH130" s="180">
        <v>580</v>
      </c>
      <c r="AI130" s="180">
        <v>2924</v>
      </c>
      <c r="AJ130" s="180">
        <v>161962</v>
      </c>
      <c r="AK130" s="180">
        <v>2999</v>
      </c>
      <c r="AL130" s="180">
        <v>266</v>
      </c>
      <c r="AM130" s="180">
        <v>39477</v>
      </c>
      <c r="AN130" s="180">
        <v>284879</v>
      </c>
      <c r="AO130" s="180"/>
      <c r="AP130" s="180">
        <v>9141</v>
      </c>
      <c r="AQ130" s="180">
        <v>261778</v>
      </c>
      <c r="AR130" s="180"/>
      <c r="AS130" s="180"/>
      <c r="AT130" s="180"/>
      <c r="AU130" s="180">
        <v>49053</v>
      </c>
      <c r="AV130" s="180">
        <v>358</v>
      </c>
      <c r="AW130" s="180"/>
      <c r="AX130" s="180">
        <v>16337</v>
      </c>
      <c r="AY130" s="180">
        <v>39797</v>
      </c>
      <c r="AZ130" s="180"/>
      <c r="BA130" s="180">
        <v>2000</v>
      </c>
      <c r="BB130" s="180">
        <v>18831</v>
      </c>
      <c r="BC130" s="180"/>
      <c r="BD130" s="180">
        <v>900</v>
      </c>
      <c r="BE130" s="180">
        <v>707618</v>
      </c>
      <c r="BF130" s="180"/>
      <c r="BG130" s="180"/>
      <c r="BH130" s="180">
        <v>22229</v>
      </c>
      <c r="BI130" s="180">
        <v>30657</v>
      </c>
      <c r="BJ130" s="180">
        <v>12487</v>
      </c>
      <c r="BK130" s="180">
        <v>9728</v>
      </c>
      <c r="BL130" s="180">
        <v>7611</v>
      </c>
      <c r="BM130" s="180">
        <v>0</v>
      </c>
      <c r="BN130" s="180">
        <v>14498</v>
      </c>
      <c r="BO130" s="180">
        <v>48133</v>
      </c>
      <c r="BP130" s="180">
        <v>11398</v>
      </c>
      <c r="BQ130" s="180">
        <v>7232</v>
      </c>
      <c r="BR130" s="180">
        <v>266</v>
      </c>
      <c r="BS130" s="180">
        <v>73314</v>
      </c>
      <c r="BT130" s="180">
        <v>120936</v>
      </c>
      <c r="BU130" s="180">
        <v>14720</v>
      </c>
      <c r="BV130" s="180">
        <v>13161</v>
      </c>
      <c r="BW130" s="180">
        <v>1324</v>
      </c>
      <c r="BX130" s="180"/>
      <c r="BY130" s="180">
        <v>74</v>
      </c>
      <c r="BZ130" s="180">
        <v>22170</v>
      </c>
      <c r="CA130" s="180">
        <v>2013</v>
      </c>
      <c r="CB130" s="180"/>
      <c r="CC130" s="180"/>
      <c r="CD130" s="180"/>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531</v>
      </c>
      <c r="B131" s="180" t="s">
        <v>260</v>
      </c>
      <c r="C131" s="180"/>
      <c r="D131" s="180">
        <v>0</v>
      </c>
      <c r="E131" s="180">
        <v>0</v>
      </c>
      <c r="F131" s="180"/>
      <c r="G131" s="180">
        <v>0</v>
      </c>
      <c r="H131" s="180">
        <v>0</v>
      </c>
      <c r="I131" s="180">
        <v>0</v>
      </c>
      <c r="J131" s="180">
        <v>0</v>
      </c>
      <c r="K131" s="180">
        <v>0</v>
      </c>
      <c r="L131" s="180">
        <v>0</v>
      </c>
      <c r="M131" s="180"/>
      <c r="N131" s="180">
        <v>0</v>
      </c>
      <c r="O131" s="180"/>
      <c r="P131" s="180">
        <v>0</v>
      </c>
      <c r="Q131" s="180">
        <v>0</v>
      </c>
      <c r="R131" s="180">
        <v>0</v>
      </c>
      <c r="S131" s="180">
        <v>0</v>
      </c>
      <c r="T131" s="180">
        <v>860</v>
      </c>
      <c r="U131" s="180">
        <v>0</v>
      </c>
      <c r="V131" s="180">
        <v>0</v>
      </c>
      <c r="W131" s="180">
        <v>0</v>
      </c>
      <c r="X131" s="180">
        <v>2561</v>
      </c>
      <c r="Y131" s="180">
        <v>0</v>
      </c>
      <c r="Z131" s="180">
        <v>0</v>
      </c>
      <c r="AA131" s="180">
        <v>0</v>
      </c>
      <c r="AB131" s="180">
        <v>0</v>
      </c>
      <c r="AC131" s="180">
        <v>0</v>
      </c>
      <c r="AD131" s="180">
        <v>0</v>
      </c>
      <c r="AE131" s="180">
        <v>1114</v>
      </c>
      <c r="AF131" s="180">
        <v>0</v>
      </c>
      <c r="AG131" s="180">
        <v>0</v>
      </c>
      <c r="AH131" s="180">
        <v>0</v>
      </c>
      <c r="AI131" s="180">
        <v>0</v>
      </c>
      <c r="AJ131" s="180">
        <v>0</v>
      </c>
      <c r="AK131" s="180">
        <v>186</v>
      </c>
      <c r="AL131" s="180">
        <v>0</v>
      </c>
      <c r="AM131" s="180">
        <v>0</v>
      </c>
      <c r="AN131" s="180">
        <v>0</v>
      </c>
      <c r="AO131" s="180"/>
      <c r="AP131" s="180">
        <v>0</v>
      </c>
      <c r="AQ131" s="180">
        <v>0</v>
      </c>
      <c r="AR131" s="180"/>
      <c r="AS131" s="180"/>
      <c r="AT131" s="180"/>
      <c r="AU131" s="180">
        <v>0</v>
      </c>
      <c r="AV131" s="180">
        <v>0</v>
      </c>
      <c r="AW131" s="180"/>
      <c r="AX131" s="180">
        <v>481</v>
      </c>
      <c r="AY131" s="180">
        <v>0</v>
      </c>
      <c r="AZ131" s="180"/>
      <c r="BA131" s="180">
        <v>0</v>
      </c>
      <c r="BB131" s="180">
        <v>0</v>
      </c>
      <c r="BC131" s="180"/>
      <c r="BD131" s="180">
        <v>0</v>
      </c>
      <c r="BE131" s="180">
        <v>0</v>
      </c>
      <c r="BF131" s="180"/>
      <c r="BG131" s="180"/>
      <c r="BH131" s="180">
        <v>0</v>
      </c>
      <c r="BI131" s="180">
        <v>125</v>
      </c>
      <c r="BJ131" s="180">
        <v>0</v>
      </c>
      <c r="BK131" s="180">
        <v>0</v>
      </c>
      <c r="BL131" s="180">
        <v>0</v>
      </c>
      <c r="BM131" s="180">
        <v>0</v>
      </c>
      <c r="BN131" s="180">
        <v>0</v>
      </c>
      <c r="BO131" s="180">
        <v>0</v>
      </c>
      <c r="BP131" s="180">
        <v>0</v>
      </c>
      <c r="BQ131" s="180">
        <v>0</v>
      </c>
      <c r="BR131" s="180">
        <v>0</v>
      </c>
      <c r="BS131" s="180">
        <v>0</v>
      </c>
      <c r="BT131" s="180">
        <v>1619</v>
      </c>
      <c r="BU131" s="180">
        <v>0</v>
      </c>
      <c r="BV131" s="180">
        <v>0</v>
      </c>
      <c r="BW131" s="180">
        <v>0</v>
      </c>
      <c r="BX131" s="180"/>
      <c r="BY131" s="180">
        <v>0</v>
      </c>
      <c r="BZ131" s="180">
        <v>8023</v>
      </c>
      <c r="CA131" s="180">
        <v>0</v>
      </c>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532</v>
      </c>
      <c r="B132" s="180" t="s">
        <v>927</v>
      </c>
      <c r="C132" s="180"/>
      <c r="D132" s="180">
        <v>2366377</v>
      </c>
      <c r="E132" s="180">
        <v>14861442</v>
      </c>
      <c r="F132" s="180"/>
      <c r="G132" s="180">
        <v>46501677</v>
      </c>
      <c r="H132" s="180">
        <v>5347081</v>
      </c>
      <c r="I132" s="180">
        <v>327825</v>
      </c>
      <c r="J132" s="180">
        <v>1531626</v>
      </c>
      <c r="K132" s="180">
        <v>2151209</v>
      </c>
      <c r="L132" s="180">
        <v>55758578</v>
      </c>
      <c r="M132" s="180"/>
      <c r="N132" s="180">
        <v>996559</v>
      </c>
      <c r="O132" s="180"/>
      <c r="P132" s="180">
        <v>33032377</v>
      </c>
      <c r="Q132" s="180">
        <v>21809012</v>
      </c>
      <c r="R132" s="180">
        <v>7703117</v>
      </c>
      <c r="S132" s="180">
        <v>15988285</v>
      </c>
      <c r="T132" s="180">
        <v>120535</v>
      </c>
      <c r="U132" s="180">
        <v>21076203</v>
      </c>
      <c r="V132" s="180">
        <v>39102</v>
      </c>
      <c r="W132" s="180">
        <v>9826279</v>
      </c>
      <c r="X132" s="180">
        <v>25519105</v>
      </c>
      <c r="Y132" s="180">
        <v>7174720</v>
      </c>
      <c r="Z132" s="180">
        <v>1735072</v>
      </c>
      <c r="AA132" s="180">
        <v>7671748</v>
      </c>
      <c r="AB132" s="180">
        <v>1305966</v>
      </c>
      <c r="AC132" s="180">
        <v>343294</v>
      </c>
      <c r="AD132" s="180">
        <v>1284178</v>
      </c>
      <c r="AE132" s="180">
        <v>3891729</v>
      </c>
      <c r="AF132" s="180">
        <v>164684</v>
      </c>
      <c r="AG132" s="180">
        <v>59360</v>
      </c>
      <c r="AH132" s="180">
        <v>111396</v>
      </c>
      <c r="AI132" s="180">
        <v>3429575</v>
      </c>
      <c r="AJ132" s="180">
        <v>8766370</v>
      </c>
      <c r="AK132" s="180">
        <v>432049</v>
      </c>
      <c r="AL132" s="180">
        <v>27311</v>
      </c>
      <c r="AM132" s="180">
        <v>23673023</v>
      </c>
      <c r="AN132" s="180">
        <v>18458847</v>
      </c>
      <c r="AO132" s="180"/>
      <c r="AP132" s="180">
        <v>4575551</v>
      </c>
      <c r="AQ132" s="180">
        <v>26674116</v>
      </c>
      <c r="AR132" s="180"/>
      <c r="AS132" s="180"/>
      <c r="AT132" s="180"/>
      <c r="AU132" s="180">
        <v>13715882</v>
      </c>
      <c r="AV132" s="180">
        <v>119936</v>
      </c>
      <c r="AW132" s="180"/>
      <c r="AX132" s="180">
        <v>4994130</v>
      </c>
      <c r="AY132" s="180">
        <v>4573344</v>
      </c>
      <c r="AZ132" s="180"/>
      <c r="BA132" s="180">
        <v>51201</v>
      </c>
      <c r="BB132" s="180">
        <v>2817720</v>
      </c>
      <c r="BC132" s="180"/>
      <c r="BD132" s="180">
        <v>74524</v>
      </c>
      <c r="BE132" s="180">
        <v>27658962</v>
      </c>
      <c r="BF132" s="180"/>
      <c r="BG132" s="180"/>
      <c r="BH132" s="180">
        <v>3573030</v>
      </c>
      <c r="BI132" s="180">
        <v>2643933</v>
      </c>
      <c r="BJ132" s="180">
        <v>714789</v>
      </c>
      <c r="BK132" s="180">
        <v>11138944</v>
      </c>
      <c r="BL132" s="180">
        <v>5219744</v>
      </c>
      <c r="BM132" s="180">
        <v>32081</v>
      </c>
      <c r="BN132" s="180">
        <v>7814230</v>
      </c>
      <c r="BO132" s="180">
        <v>2068894</v>
      </c>
      <c r="BP132" s="180">
        <v>1054719</v>
      </c>
      <c r="BQ132" s="180">
        <v>2746936</v>
      </c>
      <c r="BR132" s="180">
        <v>1563854</v>
      </c>
      <c r="BS132" s="180">
        <v>27214534</v>
      </c>
      <c r="BT132" s="180">
        <v>2261323</v>
      </c>
      <c r="BU132" s="180">
        <v>3213649</v>
      </c>
      <c r="BV132" s="180">
        <v>915482</v>
      </c>
      <c r="BW132" s="180">
        <v>843313</v>
      </c>
      <c r="BX132" s="180"/>
      <c r="BY132" s="180">
        <v>44298</v>
      </c>
      <c r="BZ132" s="180">
        <v>21397641</v>
      </c>
      <c r="CA132" s="180">
        <v>67913</v>
      </c>
      <c r="CB132" s="180"/>
      <c r="CC132" s="180"/>
      <c r="CD132" s="180"/>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533</v>
      </c>
      <c r="B133" s="180" t="s">
        <v>928</v>
      </c>
      <c r="C133" s="180"/>
      <c r="D133" s="180">
        <v>101581</v>
      </c>
      <c r="E133" s="180">
        <v>0</v>
      </c>
      <c r="F133" s="180"/>
      <c r="G133" s="180">
        <v>1256582</v>
      </c>
      <c r="H133" s="180">
        <v>0</v>
      </c>
      <c r="I133" s="180">
        <v>0</v>
      </c>
      <c r="J133" s="180">
        <v>0</v>
      </c>
      <c r="K133" s="180">
        <v>0</v>
      </c>
      <c r="L133" s="180">
        <v>0</v>
      </c>
      <c r="M133" s="180"/>
      <c r="N133" s="180">
        <v>0</v>
      </c>
      <c r="O133" s="180"/>
      <c r="P133" s="180">
        <v>4677972</v>
      </c>
      <c r="Q133" s="180">
        <v>1648463</v>
      </c>
      <c r="R133" s="180">
        <v>179000</v>
      </c>
      <c r="S133" s="180">
        <v>18562</v>
      </c>
      <c r="T133" s="180">
        <v>0</v>
      </c>
      <c r="U133" s="180">
        <v>95081</v>
      </c>
      <c r="V133" s="180">
        <v>0</v>
      </c>
      <c r="W133" s="180">
        <v>0</v>
      </c>
      <c r="X133" s="180">
        <v>5217000</v>
      </c>
      <c r="Y133" s="180">
        <v>219000</v>
      </c>
      <c r="Z133" s="180">
        <v>0</v>
      </c>
      <c r="AA133" s="180">
        <v>389006</v>
      </c>
      <c r="AB133" s="180">
        <v>0</v>
      </c>
      <c r="AC133" s="180">
        <v>0</v>
      </c>
      <c r="AD133" s="180">
        <v>0</v>
      </c>
      <c r="AE133" s="180">
        <v>42091</v>
      </c>
      <c r="AF133" s="180">
        <v>0</v>
      </c>
      <c r="AG133" s="180">
        <v>0</v>
      </c>
      <c r="AH133" s="180">
        <v>0</v>
      </c>
      <c r="AI133" s="180">
        <v>45888</v>
      </c>
      <c r="AJ133" s="180">
        <v>450087</v>
      </c>
      <c r="AK133" s="180">
        <v>0</v>
      </c>
      <c r="AL133" s="180">
        <v>0</v>
      </c>
      <c r="AM133" s="180">
        <v>1400000</v>
      </c>
      <c r="AN133" s="180">
        <v>0</v>
      </c>
      <c r="AO133" s="180"/>
      <c r="AP133" s="180">
        <v>0</v>
      </c>
      <c r="AQ133" s="180">
        <v>149591</v>
      </c>
      <c r="AR133" s="180"/>
      <c r="AS133" s="180"/>
      <c r="AT133" s="180"/>
      <c r="AU133" s="180">
        <v>0</v>
      </c>
      <c r="AV133" s="180">
        <v>0</v>
      </c>
      <c r="AW133" s="180"/>
      <c r="AX133" s="180">
        <v>0</v>
      </c>
      <c r="AY133" s="180">
        <v>301809</v>
      </c>
      <c r="AZ133" s="180"/>
      <c r="BA133" s="180">
        <v>0</v>
      </c>
      <c r="BB133" s="180">
        <v>0</v>
      </c>
      <c r="BC133" s="180"/>
      <c r="BD133" s="180">
        <v>0</v>
      </c>
      <c r="BE133" s="180">
        <v>719482</v>
      </c>
      <c r="BF133" s="180"/>
      <c r="BG133" s="180"/>
      <c r="BH133" s="180">
        <v>0</v>
      </c>
      <c r="BI133" s="180">
        <v>9056</v>
      </c>
      <c r="BJ133" s="180">
        <v>0</v>
      </c>
      <c r="BK133" s="180">
        <v>0</v>
      </c>
      <c r="BL133" s="180">
        <v>0</v>
      </c>
      <c r="BM133" s="180">
        <v>0</v>
      </c>
      <c r="BN133" s="180">
        <v>283000</v>
      </c>
      <c r="BO133" s="180">
        <v>0</v>
      </c>
      <c r="BP133" s="180">
        <v>0</v>
      </c>
      <c r="BQ133" s="180">
        <v>1250000</v>
      </c>
      <c r="BR133" s="180">
        <v>0</v>
      </c>
      <c r="BS133" s="180">
        <v>1886124</v>
      </c>
      <c r="BT133" s="180">
        <v>0</v>
      </c>
      <c r="BU133" s="180">
        <v>168822</v>
      </c>
      <c r="BV133" s="180">
        <v>0</v>
      </c>
      <c r="BW133" s="180">
        <v>0</v>
      </c>
      <c r="BX133" s="180"/>
      <c r="BY133" s="180">
        <v>0</v>
      </c>
      <c r="BZ133" s="180">
        <v>1365000</v>
      </c>
      <c r="CA133" s="180">
        <v>0</v>
      </c>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535</v>
      </c>
      <c r="B134" s="180" t="s">
        <v>244</v>
      </c>
      <c r="C134" s="180"/>
      <c r="D134" s="180">
        <v>0</v>
      </c>
      <c r="E134" s="180">
        <v>8859942</v>
      </c>
      <c r="F134" s="180"/>
      <c r="G134" s="180">
        <v>6719316</v>
      </c>
      <c r="H134" s="180">
        <v>0</v>
      </c>
      <c r="I134" s="180">
        <v>0</v>
      </c>
      <c r="J134" s="180">
        <v>0</v>
      </c>
      <c r="K134" s="180">
        <v>0</v>
      </c>
      <c r="L134" s="180">
        <v>5652856</v>
      </c>
      <c r="M134" s="180"/>
      <c r="N134" s="180">
        <v>0</v>
      </c>
      <c r="O134" s="180"/>
      <c r="P134" s="180">
        <v>2221598</v>
      </c>
      <c r="Q134" s="180">
        <v>5504870</v>
      </c>
      <c r="R134" s="180">
        <v>0</v>
      </c>
      <c r="S134" s="180">
        <v>334291</v>
      </c>
      <c r="T134" s="180">
        <v>0</v>
      </c>
      <c r="U134" s="180">
        <v>0</v>
      </c>
      <c r="V134" s="180">
        <v>0</v>
      </c>
      <c r="W134" s="180">
        <v>5020429</v>
      </c>
      <c r="X134" s="180">
        <v>0</v>
      </c>
      <c r="Y134" s="180">
        <v>0</v>
      </c>
      <c r="Z134" s="180">
        <v>0</v>
      </c>
      <c r="AA134" s="180">
        <v>2752</v>
      </c>
      <c r="AB134" s="180">
        <v>0</v>
      </c>
      <c r="AC134" s="180">
        <v>0</v>
      </c>
      <c r="AD134" s="180">
        <v>0</v>
      </c>
      <c r="AE134" s="180">
        <v>0</v>
      </c>
      <c r="AF134" s="180">
        <v>0</v>
      </c>
      <c r="AG134" s="180">
        <v>0</v>
      </c>
      <c r="AH134" s="180">
        <v>0</v>
      </c>
      <c r="AI134" s="180">
        <v>0</v>
      </c>
      <c r="AJ134" s="180">
        <v>0</v>
      </c>
      <c r="AK134" s="180">
        <v>0</v>
      </c>
      <c r="AL134" s="180">
        <v>0</v>
      </c>
      <c r="AM134" s="180">
        <v>0</v>
      </c>
      <c r="AN134" s="180">
        <v>0</v>
      </c>
      <c r="AO134" s="180"/>
      <c r="AP134" s="180">
        <v>0</v>
      </c>
      <c r="AQ134" s="180">
        <v>16800926</v>
      </c>
      <c r="AR134" s="180"/>
      <c r="AS134" s="180"/>
      <c r="AT134" s="180"/>
      <c r="AU134" s="180">
        <v>0</v>
      </c>
      <c r="AV134" s="180">
        <v>0</v>
      </c>
      <c r="AW134" s="180"/>
      <c r="AX134" s="180">
        <v>0</v>
      </c>
      <c r="AY134" s="180">
        <v>0</v>
      </c>
      <c r="AZ134" s="180"/>
      <c r="BA134" s="180">
        <v>0</v>
      </c>
      <c r="BB134" s="180">
        <v>0</v>
      </c>
      <c r="BC134" s="180"/>
      <c r="BD134" s="180">
        <v>0</v>
      </c>
      <c r="BE134" s="180">
        <v>0</v>
      </c>
      <c r="BF134" s="180"/>
      <c r="BG134" s="180"/>
      <c r="BH134" s="180">
        <v>0</v>
      </c>
      <c r="BI134" s="180">
        <v>0</v>
      </c>
      <c r="BJ134" s="180">
        <v>0</v>
      </c>
      <c r="BK134" s="180">
        <v>0</v>
      </c>
      <c r="BL134" s="180">
        <v>0</v>
      </c>
      <c r="BM134" s="180">
        <v>0</v>
      </c>
      <c r="BN134" s="180">
        <v>350097</v>
      </c>
      <c r="BO134" s="180">
        <v>0</v>
      </c>
      <c r="BP134" s="180">
        <v>0</v>
      </c>
      <c r="BQ134" s="180">
        <v>0</v>
      </c>
      <c r="BR134" s="180">
        <v>0</v>
      </c>
      <c r="BS134" s="180">
        <v>0</v>
      </c>
      <c r="BT134" s="180">
        <v>1</v>
      </c>
      <c r="BU134" s="180">
        <v>0</v>
      </c>
      <c r="BV134" s="180">
        <v>0</v>
      </c>
      <c r="BW134" s="180">
        <v>0</v>
      </c>
      <c r="BX134" s="180"/>
      <c r="BY134" s="180">
        <v>0</v>
      </c>
      <c r="BZ134" s="180">
        <v>0</v>
      </c>
      <c r="CA134" s="180">
        <v>0</v>
      </c>
      <c r="CB134" s="180"/>
      <c r="CC134" s="180"/>
      <c r="CD134" s="180"/>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536</v>
      </c>
      <c r="B135" s="180" t="s">
        <v>190</v>
      </c>
      <c r="C135" s="180"/>
      <c r="D135" s="180">
        <v>0</v>
      </c>
      <c r="E135" s="180">
        <v>2703453</v>
      </c>
      <c r="F135" s="180"/>
      <c r="G135" s="180">
        <v>5103243</v>
      </c>
      <c r="H135" s="180">
        <v>375351</v>
      </c>
      <c r="I135" s="180">
        <v>123804</v>
      </c>
      <c r="J135" s="180">
        <v>71165</v>
      </c>
      <c r="K135" s="180">
        <v>40189</v>
      </c>
      <c r="L135" s="180">
        <v>2476017</v>
      </c>
      <c r="M135" s="180"/>
      <c r="N135" s="180">
        <v>49293</v>
      </c>
      <c r="O135" s="180"/>
      <c r="P135" s="180">
        <v>2564259</v>
      </c>
      <c r="Q135" s="180">
        <v>4390746</v>
      </c>
      <c r="R135" s="180">
        <v>237045</v>
      </c>
      <c r="S135" s="180">
        <v>389382</v>
      </c>
      <c r="T135" s="180">
        <v>145770</v>
      </c>
      <c r="U135" s="180">
        <v>0</v>
      </c>
      <c r="V135" s="180">
        <v>106586</v>
      </c>
      <c r="W135" s="180">
        <v>3226864</v>
      </c>
      <c r="X135" s="180">
        <v>1348581</v>
      </c>
      <c r="Y135" s="180">
        <v>154410</v>
      </c>
      <c r="Z135" s="180">
        <v>286580</v>
      </c>
      <c r="AA135" s="180">
        <v>3668</v>
      </c>
      <c r="AB135" s="180">
        <v>229754</v>
      </c>
      <c r="AC135" s="180">
        <v>59</v>
      </c>
      <c r="AD135" s="180">
        <v>152622</v>
      </c>
      <c r="AE135" s="180">
        <v>500958</v>
      </c>
      <c r="AF135" s="180">
        <v>18441</v>
      </c>
      <c r="AG135" s="180">
        <v>9304</v>
      </c>
      <c r="AH135" s="180">
        <v>91570</v>
      </c>
      <c r="AI135" s="180">
        <v>90964</v>
      </c>
      <c r="AJ135" s="180">
        <v>130344</v>
      </c>
      <c r="AK135" s="180">
        <v>106419</v>
      </c>
      <c r="AL135" s="180">
        <v>0</v>
      </c>
      <c r="AM135" s="180">
        <v>4992881</v>
      </c>
      <c r="AN135" s="180">
        <v>0</v>
      </c>
      <c r="AO135" s="180"/>
      <c r="AP135" s="180">
        <v>710652</v>
      </c>
      <c r="AQ135" s="180">
        <v>102075</v>
      </c>
      <c r="AR135" s="180"/>
      <c r="AS135" s="180"/>
      <c r="AT135" s="180"/>
      <c r="AU135" s="180">
        <v>318599</v>
      </c>
      <c r="AV135" s="180">
        <v>8965</v>
      </c>
      <c r="AW135" s="180"/>
      <c r="AX135" s="180">
        <v>2330736</v>
      </c>
      <c r="AY135" s="180">
        <v>587423</v>
      </c>
      <c r="AZ135" s="180"/>
      <c r="BA135" s="180">
        <v>31687</v>
      </c>
      <c r="BB135" s="180">
        <v>526424</v>
      </c>
      <c r="BC135" s="180"/>
      <c r="BD135" s="180">
        <v>15239</v>
      </c>
      <c r="BE135" s="180">
        <v>373495</v>
      </c>
      <c r="BF135" s="180"/>
      <c r="BG135" s="180"/>
      <c r="BH135" s="180">
        <v>0</v>
      </c>
      <c r="BI135" s="180">
        <v>69163</v>
      </c>
      <c r="BJ135" s="180">
        <v>126035</v>
      </c>
      <c r="BK135" s="180">
        <v>290271</v>
      </c>
      <c r="BL135" s="180">
        <v>104031</v>
      </c>
      <c r="BM135" s="180">
        <v>15750</v>
      </c>
      <c r="BN135" s="180">
        <v>603435</v>
      </c>
      <c r="BO135" s="180">
        <v>444915</v>
      </c>
      <c r="BP135" s="180">
        <v>181693</v>
      </c>
      <c r="BQ135" s="180">
        <v>161448</v>
      </c>
      <c r="BR135" s="180">
        <v>229394</v>
      </c>
      <c r="BS135" s="180">
        <v>901864</v>
      </c>
      <c r="BT135" s="180">
        <v>79766</v>
      </c>
      <c r="BU135" s="180">
        <v>1540715</v>
      </c>
      <c r="BV135" s="180">
        <v>0</v>
      </c>
      <c r="BW135" s="180">
        <v>81441</v>
      </c>
      <c r="BX135" s="180"/>
      <c r="BY135" s="180">
        <v>22370</v>
      </c>
      <c r="BZ135" s="180">
        <v>2117885</v>
      </c>
      <c r="CA135" s="180">
        <v>44280</v>
      </c>
      <c r="CB135" s="180"/>
      <c r="CC135" s="180"/>
      <c r="CD135" s="180"/>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537</v>
      </c>
      <c r="B136" s="180" t="s">
        <v>280</v>
      </c>
      <c r="C136" s="180"/>
      <c r="D136" s="180">
        <v>0</v>
      </c>
      <c r="E136" s="180">
        <v>0</v>
      </c>
      <c r="F136" s="180"/>
      <c r="G136" s="180">
        <v>1</v>
      </c>
      <c r="H136" s="180">
        <v>1</v>
      </c>
      <c r="I136" s="180">
        <v>2</v>
      </c>
      <c r="J136" s="180">
        <v>2</v>
      </c>
      <c r="K136" s="180">
        <v>2</v>
      </c>
      <c r="L136" s="180">
        <v>2</v>
      </c>
      <c r="M136" s="180"/>
      <c r="N136" s="180">
        <v>1</v>
      </c>
      <c r="O136" s="180"/>
      <c r="P136" s="180">
        <v>0</v>
      </c>
      <c r="Q136" s="180">
        <v>1</v>
      </c>
      <c r="R136" s="180">
        <v>2</v>
      </c>
      <c r="S136" s="180">
        <v>2</v>
      </c>
      <c r="T136" s="180">
        <v>2</v>
      </c>
      <c r="U136" s="180">
        <v>1</v>
      </c>
      <c r="V136" s="180">
        <v>0</v>
      </c>
      <c r="W136" s="180">
        <v>0</v>
      </c>
      <c r="X136" s="180">
        <v>2</v>
      </c>
      <c r="Y136" s="180">
        <v>2</v>
      </c>
      <c r="Z136" s="180">
        <v>1</v>
      </c>
      <c r="AA136" s="180">
        <v>2</v>
      </c>
      <c r="AB136" s="180">
        <v>0</v>
      </c>
      <c r="AC136" s="180">
        <v>2</v>
      </c>
      <c r="AD136" s="180">
        <v>2</v>
      </c>
      <c r="AE136" s="180">
        <v>2</v>
      </c>
      <c r="AF136" s="180">
        <v>1</v>
      </c>
      <c r="AG136" s="180">
        <v>0</v>
      </c>
      <c r="AH136" s="180">
        <v>0</v>
      </c>
      <c r="AI136" s="180">
        <v>2</v>
      </c>
      <c r="AJ136" s="180">
        <v>2</v>
      </c>
      <c r="AK136" s="180">
        <v>2</v>
      </c>
      <c r="AL136" s="180">
        <v>0</v>
      </c>
      <c r="AM136" s="180">
        <v>0</v>
      </c>
      <c r="AN136" s="180">
        <v>2</v>
      </c>
      <c r="AO136" s="180"/>
      <c r="AP136" s="180">
        <v>0</v>
      </c>
      <c r="AQ136" s="180">
        <v>1</v>
      </c>
      <c r="AR136" s="180"/>
      <c r="AS136" s="180"/>
      <c r="AT136" s="180"/>
      <c r="AU136" s="180">
        <v>2</v>
      </c>
      <c r="AV136" s="180">
        <v>2</v>
      </c>
      <c r="AW136" s="180"/>
      <c r="AX136" s="180">
        <v>2</v>
      </c>
      <c r="AY136" s="180">
        <v>1</v>
      </c>
      <c r="AZ136" s="180"/>
      <c r="BA136" s="180">
        <v>2</v>
      </c>
      <c r="BB136" s="180">
        <v>1</v>
      </c>
      <c r="BC136" s="180"/>
      <c r="BD136" s="180">
        <v>2</v>
      </c>
      <c r="BE136" s="180">
        <v>1</v>
      </c>
      <c r="BF136" s="180"/>
      <c r="BG136" s="180"/>
      <c r="BH136" s="180">
        <v>2</v>
      </c>
      <c r="BI136" s="180">
        <v>1</v>
      </c>
      <c r="BJ136" s="180">
        <v>2</v>
      </c>
      <c r="BK136" s="180">
        <v>1</v>
      </c>
      <c r="BL136" s="180">
        <v>2</v>
      </c>
      <c r="BM136" s="180">
        <v>0</v>
      </c>
      <c r="BN136" s="180">
        <v>1</v>
      </c>
      <c r="BO136" s="180">
        <v>1</v>
      </c>
      <c r="BP136" s="180">
        <v>1</v>
      </c>
      <c r="BQ136" s="180">
        <v>2</v>
      </c>
      <c r="BR136" s="180">
        <v>0</v>
      </c>
      <c r="BS136" s="180">
        <v>2</v>
      </c>
      <c r="BT136" s="180">
        <v>1</v>
      </c>
      <c r="BU136" s="180">
        <v>1</v>
      </c>
      <c r="BV136" s="180">
        <v>2</v>
      </c>
      <c r="BW136" s="180">
        <v>1</v>
      </c>
      <c r="BX136" s="180"/>
      <c r="BY136" s="180">
        <v>0</v>
      </c>
      <c r="BZ136" s="180">
        <v>1</v>
      </c>
      <c r="CA136" s="180">
        <v>0</v>
      </c>
      <c r="CB136" s="180"/>
      <c r="CC136" s="180"/>
      <c r="CD136" s="180"/>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538</v>
      </c>
      <c r="B137" s="180" t="s">
        <v>279</v>
      </c>
      <c r="C137" s="180"/>
      <c r="D137" s="180">
        <v>0</v>
      </c>
      <c r="E137" s="180">
        <v>0</v>
      </c>
      <c r="F137" s="180"/>
      <c r="G137" s="180">
        <v>1</v>
      </c>
      <c r="H137" s="180">
        <v>1</v>
      </c>
      <c r="I137" s="180">
        <v>1</v>
      </c>
      <c r="J137" s="180">
        <v>1</v>
      </c>
      <c r="K137" s="180">
        <v>2</v>
      </c>
      <c r="L137" s="180">
        <v>2</v>
      </c>
      <c r="M137" s="180"/>
      <c r="N137" s="180">
        <v>1</v>
      </c>
      <c r="O137" s="180"/>
      <c r="P137" s="180">
        <v>0</v>
      </c>
      <c r="Q137" s="180">
        <v>1</v>
      </c>
      <c r="R137" s="180">
        <v>2</v>
      </c>
      <c r="S137" s="180">
        <v>2</v>
      </c>
      <c r="T137" s="180">
        <v>2</v>
      </c>
      <c r="U137" s="180">
        <v>2</v>
      </c>
      <c r="V137" s="180">
        <v>0</v>
      </c>
      <c r="W137" s="180">
        <v>0</v>
      </c>
      <c r="X137" s="180">
        <v>2</v>
      </c>
      <c r="Y137" s="180">
        <v>2</v>
      </c>
      <c r="Z137" s="180">
        <v>2</v>
      </c>
      <c r="AA137" s="180">
        <v>2</v>
      </c>
      <c r="AB137" s="180">
        <v>0</v>
      </c>
      <c r="AC137" s="180">
        <v>2</v>
      </c>
      <c r="AD137" s="180">
        <v>2</v>
      </c>
      <c r="AE137" s="180">
        <v>2</v>
      </c>
      <c r="AF137" s="180">
        <v>1</v>
      </c>
      <c r="AG137" s="180">
        <v>0</v>
      </c>
      <c r="AH137" s="180">
        <v>0</v>
      </c>
      <c r="AI137" s="180">
        <v>2</v>
      </c>
      <c r="AJ137" s="180">
        <v>2</v>
      </c>
      <c r="AK137" s="180">
        <v>1</v>
      </c>
      <c r="AL137" s="180">
        <v>0</v>
      </c>
      <c r="AM137" s="180">
        <v>0</v>
      </c>
      <c r="AN137" s="180">
        <v>2</v>
      </c>
      <c r="AO137" s="180"/>
      <c r="AP137" s="180">
        <v>0</v>
      </c>
      <c r="AQ137" s="180">
        <v>1</v>
      </c>
      <c r="AR137" s="180"/>
      <c r="AS137" s="180"/>
      <c r="AT137" s="180"/>
      <c r="AU137" s="180">
        <v>2</v>
      </c>
      <c r="AV137" s="180">
        <v>2</v>
      </c>
      <c r="AW137" s="180"/>
      <c r="AX137" s="180">
        <v>2</v>
      </c>
      <c r="AY137" s="180">
        <v>1</v>
      </c>
      <c r="AZ137" s="180"/>
      <c r="BA137" s="180">
        <v>2</v>
      </c>
      <c r="BB137" s="180">
        <v>1</v>
      </c>
      <c r="BC137" s="180"/>
      <c r="BD137" s="180">
        <v>2</v>
      </c>
      <c r="BE137" s="180">
        <v>2</v>
      </c>
      <c r="BF137" s="180"/>
      <c r="BG137" s="180"/>
      <c r="BH137" s="180">
        <v>2</v>
      </c>
      <c r="BI137" s="180">
        <v>1</v>
      </c>
      <c r="BJ137" s="180">
        <v>2</v>
      </c>
      <c r="BK137" s="180">
        <v>1</v>
      </c>
      <c r="BL137" s="180">
        <v>2</v>
      </c>
      <c r="BM137" s="180">
        <v>0</v>
      </c>
      <c r="BN137" s="180">
        <v>1</v>
      </c>
      <c r="BO137" s="180">
        <v>1</v>
      </c>
      <c r="BP137" s="180">
        <v>1</v>
      </c>
      <c r="BQ137" s="180">
        <v>2</v>
      </c>
      <c r="BR137" s="180">
        <v>0</v>
      </c>
      <c r="BS137" s="180">
        <v>2</v>
      </c>
      <c r="BT137" s="180">
        <v>2</v>
      </c>
      <c r="BU137" s="180">
        <v>1</v>
      </c>
      <c r="BV137" s="180">
        <v>2</v>
      </c>
      <c r="BW137" s="180">
        <v>2</v>
      </c>
      <c r="BX137" s="180"/>
      <c r="BY137" s="180">
        <v>0</v>
      </c>
      <c r="BZ137" s="180">
        <v>1</v>
      </c>
      <c r="CA137" s="180">
        <v>0</v>
      </c>
      <c r="CB137" s="180"/>
      <c r="CC137" s="180"/>
      <c r="CD137" s="180"/>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540</v>
      </c>
      <c r="B138" s="180" t="s">
        <v>253</v>
      </c>
      <c r="C138" s="180"/>
      <c r="D138" s="180">
        <v>0</v>
      </c>
      <c r="E138" s="180">
        <v>396081</v>
      </c>
      <c r="F138" s="180"/>
      <c r="G138" s="180">
        <v>3548030</v>
      </c>
      <c r="H138" s="180">
        <v>740448</v>
      </c>
      <c r="I138" s="180">
        <v>15890</v>
      </c>
      <c r="J138" s="180">
        <v>484117</v>
      </c>
      <c r="K138" s="180">
        <v>0</v>
      </c>
      <c r="L138" s="180">
        <v>0</v>
      </c>
      <c r="M138" s="180"/>
      <c r="N138" s="180">
        <v>0</v>
      </c>
      <c r="O138" s="180"/>
      <c r="P138" s="180">
        <v>0</v>
      </c>
      <c r="Q138" s="180">
        <v>2254309</v>
      </c>
      <c r="R138" s="180">
        <v>0</v>
      </c>
      <c r="S138" s="180">
        <v>0</v>
      </c>
      <c r="T138" s="180">
        <v>0</v>
      </c>
      <c r="U138" s="180">
        <v>1878109</v>
      </c>
      <c r="V138" s="180">
        <v>12600</v>
      </c>
      <c r="W138" s="180">
        <v>0</v>
      </c>
      <c r="X138" s="180">
        <v>333000</v>
      </c>
      <c r="Y138" s="180">
        <v>0</v>
      </c>
      <c r="Z138" s="180">
        <v>0</v>
      </c>
      <c r="AA138" s="180">
        <v>0</v>
      </c>
      <c r="AB138" s="180">
        <v>0</v>
      </c>
      <c r="AC138" s="180">
        <v>0</v>
      </c>
      <c r="AD138" s="180">
        <v>113486</v>
      </c>
      <c r="AE138" s="180">
        <v>415300</v>
      </c>
      <c r="AF138" s="180">
        <v>0</v>
      </c>
      <c r="AG138" s="180">
        <v>18601</v>
      </c>
      <c r="AH138" s="180">
        <v>0</v>
      </c>
      <c r="AI138" s="180">
        <v>290218</v>
      </c>
      <c r="AJ138" s="180">
        <v>521128</v>
      </c>
      <c r="AK138" s="180">
        <v>0</v>
      </c>
      <c r="AL138" s="180">
        <v>0</v>
      </c>
      <c r="AM138" s="180">
        <v>0</v>
      </c>
      <c r="AN138" s="180">
        <v>0</v>
      </c>
      <c r="AO138" s="180"/>
      <c r="AP138" s="180">
        <v>1205260</v>
      </c>
      <c r="AQ138" s="180">
        <v>2453719</v>
      </c>
      <c r="AR138" s="180"/>
      <c r="AS138" s="180"/>
      <c r="AT138" s="180"/>
      <c r="AU138" s="180">
        <v>0</v>
      </c>
      <c r="AV138" s="180">
        <v>0</v>
      </c>
      <c r="AW138" s="180"/>
      <c r="AX138" s="180">
        <v>0</v>
      </c>
      <c r="AY138" s="180">
        <v>0</v>
      </c>
      <c r="AZ138" s="180"/>
      <c r="BA138" s="180">
        <v>0</v>
      </c>
      <c r="BB138" s="180">
        <v>0</v>
      </c>
      <c r="BC138" s="180"/>
      <c r="BD138" s="180">
        <v>68385</v>
      </c>
      <c r="BE138" s="180">
        <v>0</v>
      </c>
      <c r="BF138" s="180"/>
      <c r="BG138" s="180"/>
      <c r="BH138" s="180">
        <v>120000</v>
      </c>
      <c r="BI138" s="180">
        <v>0</v>
      </c>
      <c r="BJ138" s="180">
        <v>0</v>
      </c>
      <c r="BK138" s="180">
        <v>0</v>
      </c>
      <c r="BL138" s="180">
        <v>0</v>
      </c>
      <c r="BM138" s="180">
        <v>0</v>
      </c>
      <c r="BN138" s="180">
        <v>622397</v>
      </c>
      <c r="BO138" s="180">
        <v>495997</v>
      </c>
      <c r="BP138" s="180">
        <v>241741</v>
      </c>
      <c r="BQ138" s="180">
        <v>726107</v>
      </c>
      <c r="BR138" s="180">
        <v>0</v>
      </c>
      <c r="BS138" s="180">
        <v>322860</v>
      </c>
      <c r="BT138" s="180">
        <v>750000</v>
      </c>
      <c r="BU138" s="180">
        <v>0</v>
      </c>
      <c r="BV138" s="180">
        <v>0</v>
      </c>
      <c r="BW138" s="180">
        <v>0</v>
      </c>
      <c r="BX138" s="180"/>
      <c r="BY138" s="180">
        <v>0</v>
      </c>
      <c r="BZ138" s="180">
        <v>2165385</v>
      </c>
      <c r="CA138" s="180">
        <v>0</v>
      </c>
      <c r="CB138" s="180"/>
      <c r="CC138" s="180"/>
      <c r="CD138" s="180"/>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541</v>
      </c>
      <c r="B139" s="180" t="s">
        <v>310</v>
      </c>
      <c r="C139" s="180"/>
      <c r="D139" s="180">
        <v>0</v>
      </c>
      <c r="E139" s="180">
        <v>0</v>
      </c>
      <c r="F139" s="180"/>
      <c r="G139" s="180">
        <v>6799908</v>
      </c>
      <c r="H139" s="180">
        <v>645075</v>
      </c>
      <c r="I139" s="180">
        <v>166291</v>
      </c>
      <c r="J139" s="180">
        <v>77174</v>
      </c>
      <c r="K139" s="180">
        <v>44476</v>
      </c>
      <c r="L139" s="180">
        <v>7073401</v>
      </c>
      <c r="M139" s="180"/>
      <c r="N139" s="180">
        <v>-61731</v>
      </c>
      <c r="O139" s="180"/>
      <c r="P139" s="180">
        <v>0</v>
      </c>
      <c r="Q139" s="180">
        <v>874000</v>
      </c>
      <c r="R139" s="180">
        <v>65667</v>
      </c>
      <c r="S139" s="180">
        <v>-10746</v>
      </c>
      <c r="T139" s="180">
        <v>196281</v>
      </c>
      <c r="U139" s="180">
        <v>2813604</v>
      </c>
      <c r="V139" s="180">
        <v>0</v>
      </c>
      <c r="W139" s="180">
        <v>0</v>
      </c>
      <c r="X139" s="180">
        <v>1980</v>
      </c>
      <c r="Y139" s="180">
        <v>401586</v>
      </c>
      <c r="Z139" s="180">
        <v>409372</v>
      </c>
      <c r="AA139" s="180">
        <v>-304986</v>
      </c>
      <c r="AB139" s="180">
        <v>0</v>
      </c>
      <c r="AC139" s="180">
        <v>37880</v>
      </c>
      <c r="AD139" s="180">
        <v>405308</v>
      </c>
      <c r="AE139" s="180">
        <v>492529</v>
      </c>
      <c r="AF139" s="180">
        <v>-4736</v>
      </c>
      <c r="AG139" s="180">
        <v>0</v>
      </c>
      <c r="AH139" s="180">
        <v>0</v>
      </c>
      <c r="AI139" s="180">
        <v>-920001</v>
      </c>
      <c r="AJ139" s="180">
        <v>-367838</v>
      </c>
      <c r="AK139" s="180">
        <v>-67848</v>
      </c>
      <c r="AL139" s="180">
        <v>0</v>
      </c>
      <c r="AM139" s="180">
        <v>0</v>
      </c>
      <c r="AN139" s="180">
        <v>1028850</v>
      </c>
      <c r="AO139" s="180"/>
      <c r="AP139" s="180">
        <v>0</v>
      </c>
      <c r="AQ139" s="180">
        <v>896581</v>
      </c>
      <c r="AR139" s="180"/>
      <c r="AS139" s="180"/>
      <c r="AT139" s="180"/>
      <c r="AU139" s="180">
        <v>916787</v>
      </c>
      <c r="AV139" s="180">
        <v>104820</v>
      </c>
      <c r="AW139" s="180"/>
      <c r="AX139" s="180">
        <v>1428163</v>
      </c>
      <c r="AY139" s="180">
        <v>92873</v>
      </c>
      <c r="AZ139" s="180"/>
      <c r="BA139" s="180">
        <v>-4335</v>
      </c>
      <c r="BB139" s="180">
        <v>-373</v>
      </c>
      <c r="BC139" s="180"/>
      <c r="BD139" s="180">
        <v>0</v>
      </c>
      <c r="BE139" s="180">
        <v>350581</v>
      </c>
      <c r="BF139" s="180"/>
      <c r="BG139" s="180"/>
      <c r="BH139" s="180">
        <v>-245408</v>
      </c>
      <c r="BI139" s="180">
        <v>326110</v>
      </c>
      <c r="BJ139" s="180">
        <v>0</v>
      </c>
      <c r="BK139" s="180">
        <v>-55057</v>
      </c>
      <c r="BL139" s="180">
        <v>84546</v>
      </c>
      <c r="BM139" s="180">
        <v>0</v>
      </c>
      <c r="BN139" s="180">
        <v>-188335</v>
      </c>
      <c r="BO139" s="180">
        <v>69415</v>
      </c>
      <c r="BP139" s="180">
        <v>231580</v>
      </c>
      <c r="BQ139" s="180">
        <v>-526920</v>
      </c>
      <c r="BR139" s="180">
        <v>0</v>
      </c>
      <c r="BS139" s="180">
        <v>0</v>
      </c>
      <c r="BT139" s="180">
        <v>-125141</v>
      </c>
      <c r="BU139" s="180">
        <v>584283</v>
      </c>
      <c r="BV139" s="180">
        <v>40130</v>
      </c>
      <c r="BW139" s="180">
        <v>245953</v>
      </c>
      <c r="BX139" s="180"/>
      <c r="BY139" s="180">
        <v>0</v>
      </c>
      <c r="BZ139" s="180">
        <v>4139026</v>
      </c>
      <c r="CA139" s="180">
        <v>0</v>
      </c>
      <c r="CB139" s="180"/>
      <c r="CC139" s="180"/>
      <c r="CD139" s="180"/>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542</v>
      </c>
      <c r="B140" s="180" t="s">
        <v>930</v>
      </c>
      <c r="C140" s="180"/>
      <c r="D140" s="180">
        <v>0</v>
      </c>
      <c r="E140" s="180">
        <v>0</v>
      </c>
      <c r="F140" s="180"/>
      <c r="G140" s="180">
        <v>2662492</v>
      </c>
      <c r="H140" s="180">
        <v>3684905</v>
      </c>
      <c r="I140" s="180">
        <v>32340</v>
      </c>
      <c r="J140" s="180">
        <v>209000</v>
      </c>
      <c r="K140" s="180">
        <v>0</v>
      </c>
      <c r="L140" s="180">
        <v>0</v>
      </c>
      <c r="M140" s="180"/>
      <c r="N140" s="180">
        <v>0</v>
      </c>
      <c r="O140" s="180"/>
      <c r="P140" s="180">
        <v>0</v>
      </c>
      <c r="Q140" s="180">
        <v>17891</v>
      </c>
      <c r="R140" s="180">
        <v>0</v>
      </c>
      <c r="S140" s="180">
        <v>0</v>
      </c>
      <c r="T140" s="180">
        <v>0</v>
      </c>
      <c r="U140" s="180">
        <v>0</v>
      </c>
      <c r="V140" s="180">
        <v>0</v>
      </c>
      <c r="W140" s="180">
        <v>0</v>
      </c>
      <c r="X140" s="180">
        <v>0</v>
      </c>
      <c r="Y140" s="180">
        <v>0</v>
      </c>
      <c r="Z140" s="180">
        <v>0</v>
      </c>
      <c r="AA140" s="180">
        <v>0</v>
      </c>
      <c r="AB140" s="180">
        <v>0</v>
      </c>
      <c r="AC140" s="180">
        <v>0</v>
      </c>
      <c r="AD140" s="180">
        <v>0</v>
      </c>
      <c r="AE140" s="180">
        <v>0</v>
      </c>
      <c r="AF140" s="180">
        <v>9015</v>
      </c>
      <c r="AG140" s="180">
        <v>0</v>
      </c>
      <c r="AH140" s="180">
        <v>0</v>
      </c>
      <c r="AI140" s="180">
        <v>0</v>
      </c>
      <c r="AJ140" s="180">
        <v>0</v>
      </c>
      <c r="AK140" s="180">
        <v>0</v>
      </c>
      <c r="AL140" s="180">
        <v>0</v>
      </c>
      <c r="AM140" s="180">
        <v>0</v>
      </c>
      <c r="AN140" s="180">
        <v>0</v>
      </c>
      <c r="AO140" s="180"/>
      <c r="AP140" s="180">
        <v>0</v>
      </c>
      <c r="AQ140" s="180">
        <v>23405</v>
      </c>
      <c r="AR140" s="180"/>
      <c r="AS140" s="180"/>
      <c r="AT140" s="180"/>
      <c r="AU140" s="180">
        <v>0</v>
      </c>
      <c r="AV140" s="180">
        <v>0</v>
      </c>
      <c r="AW140" s="180"/>
      <c r="AX140" s="180">
        <v>0</v>
      </c>
      <c r="AY140" s="180">
        <v>0</v>
      </c>
      <c r="AZ140" s="180"/>
      <c r="BA140" s="180">
        <v>0</v>
      </c>
      <c r="BB140" s="180">
        <v>0</v>
      </c>
      <c r="BC140" s="180"/>
      <c r="BD140" s="180">
        <v>0</v>
      </c>
      <c r="BE140" s="180">
        <v>0</v>
      </c>
      <c r="BF140" s="180"/>
      <c r="BG140" s="180"/>
      <c r="BH140" s="180">
        <v>0</v>
      </c>
      <c r="BI140" s="180">
        <v>0</v>
      </c>
      <c r="BJ140" s="180">
        <v>0</v>
      </c>
      <c r="BK140" s="180">
        <v>0</v>
      </c>
      <c r="BL140" s="180">
        <v>0</v>
      </c>
      <c r="BM140" s="180">
        <v>0</v>
      </c>
      <c r="BN140" s="180">
        <v>480254</v>
      </c>
      <c r="BO140" s="180">
        <v>40000</v>
      </c>
      <c r="BP140" s="180">
        <v>0</v>
      </c>
      <c r="BQ140" s="180">
        <v>0</v>
      </c>
      <c r="BR140" s="180">
        <v>0</v>
      </c>
      <c r="BS140" s="180">
        <v>0</v>
      </c>
      <c r="BT140" s="180">
        <v>0</v>
      </c>
      <c r="BU140" s="180">
        <v>0</v>
      </c>
      <c r="BV140" s="180">
        <v>0</v>
      </c>
      <c r="BW140" s="180">
        <v>0</v>
      </c>
      <c r="BX140" s="180"/>
      <c r="BY140" s="180">
        <v>0</v>
      </c>
      <c r="BZ140" s="180">
        <v>1180742</v>
      </c>
      <c r="CA140" s="180">
        <v>0</v>
      </c>
      <c r="CB140" s="180"/>
      <c r="CC140" s="180"/>
      <c r="CD140" s="180"/>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544</v>
      </c>
      <c r="B141" s="180" t="s">
        <v>52</v>
      </c>
      <c r="C141" s="180"/>
      <c r="D141" s="180">
        <v>0</v>
      </c>
      <c r="E141" s="180">
        <v>0</v>
      </c>
      <c r="F141" s="180"/>
      <c r="G141" s="180">
        <v>0</v>
      </c>
      <c r="H141" s="180">
        <v>0</v>
      </c>
      <c r="I141" s="180">
        <v>0</v>
      </c>
      <c r="J141" s="180">
        <v>0</v>
      </c>
      <c r="K141" s="180">
        <v>0</v>
      </c>
      <c r="L141" s="180">
        <v>0</v>
      </c>
      <c r="M141" s="180"/>
      <c r="N141" s="180">
        <v>0</v>
      </c>
      <c r="O141" s="180"/>
      <c r="P141" s="180">
        <v>0</v>
      </c>
      <c r="Q141" s="180">
        <v>0</v>
      </c>
      <c r="R141" s="180">
        <v>0</v>
      </c>
      <c r="S141" s="180">
        <v>0</v>
      </c>
      <c r="T141" s="180">
        <v>0</v>
      </c>
      <c r="U141" s="180">
        <v>0.04</v>
      </c>
      <c r="V141" s="180">
        <v>0</v>
      </c>
      <c r="W141" s="180">
        <v>0</v>
      </c>
      <c r="X141" s="180">
        <v>0</v>
      </c>
      <c r="Y141" s="180">
        <v>0</v>
      </c>
      <c r="Z141" s="180">
        <v>0</v>
      </c>
      <c r="AA141" s="180">
        <v>0.11</v>
      </c>
      <c r="AB141" s="180">
        <v>0</v>
      </c>
      <c r="AC141" s="180">
        <v>0</v>
      </c>
      <c r="AD141" s="180">
        <v>0</v>
      </c>
      <c r="AE141" s="180">
        <v>0</v>
      </c>
      <c r="AF141" s="180">
        <v>0.05</v>
      </c>
      <c r="AG141" s="180">
        <v>0</v>
      </c>
      <c r="AH141" s="180">
        <v>0</v>
      </c>
      <c r="AI141" s="180">
        <v>0</v>
      </c>
      <c r="AJ141" s="180">
        <v>0</v>
      </c>
      <c r="AK141" s="180">
        <v>0</v>
      </c>
      <c r="AL141" s="180">
        <v>0</v>
      </c>
      <c r="AM141" s="180">
        <v>0</v>
      </c>
      <c r="AN141" s="180">
        <v>0</v>
      </c>
      <c r="AO141" s="180"/>
      <c r="AP141" s="180">
        <v>0</v>
      </c>
      <c r="AQ141" s="180">
        <v>0</v>
      </c>
      <c r="AR141" s="180"/>
      <c r="AS141" s="180"/>
      <c r="AT141" s="180"/>
      <c r="AU141" s="180">
        <v>0</v>
      </c>
      <c r="AV141" s="180">
        <v>0</v>
      </c>
      <c r="AW141" s="180"/>
      <c r="AX141" s="180">
        <v>0</v>
      </c>
      <c r="AY141" s="180">
        <v>0</v>
      </c>
      <c r="AZ141" s="180"/>
      <c r="BA141" s="180">
        <v>0</v>
      </c>
      <c r="BB141" s="180">
        <v>0</v>
      </c>
      <c r="BC141" s="180"/>
      <c r="BD141" s="180">
        <v>0</v>
      </c>
      <c r="BE141" s="180">
        <v>0</v>
      </c>
      <c r="BF141" s="180"/>
      <c r="BG141" s="180"/>
      <c r="BH141" s="180">
        <v>0</v>
      </c>
      <c r="BI141" s="180">
        <v>0</v>
      </c>
      <c r="BJ141" s="180">
        <v>0</v>
      </c>
      <c r="BK141" s="180">
        <v>0</v>
      </c>
      <c r="BL141" s="180">
        <v>0</v>
      </c>
      <c r="BM141" s="180">
        <v>0</v>
      </c>
      <c r="BN141" s="180">
        <v>0</v>
      </c>
      <c r="BO141" s="180">
        <v>0</v>
      </c>
      <c r="BP141" s="180">
        <v>0</v>
      </c>
      <c r="BQ141" s="180">
        <v>0</v>
      </c>
      <c r="BR141" s="180">
        <v>0</v>
      </c>
      <c r="BS141" s="180">
        <v>1.4999999999999999E-2</v>
      </c>
      <c r="BT141" s="180">
        <v>0</v>
      </c>
      <c r="BU141" s="180">
        <v>0</v>
      </c>
      <c r="BV141" s="180">
        <v>0</v>
      </c>
      <c r="BW141" s="180">
        <v>0</v>
      </c>
      <c r="BX141" s="180"/>
      <c r="BY141" s="180">
        <v>0</v>
      </c>
      <c r="BZ141" s="180">
        <v>0</v>
      </c>
      <c r="CA141" s="180">
        <v>0</v>
      </c>
      <c r="CB141" s="180"/>
      <c r="CC141" s="180"/>
      <c r="CD141" s="180"/>
      <c r="CE141" s="180"/>
      <c r="CF141" s="180"/>
      <c r="CG141" s="180"/>
      <c r="CH141" s="180"/>
      <c r="CI141" s="180"/>
      <c r="CJ141" s="180"/>
      <c r="CK141" s="180"/>
      <c r="CL141" s="180"/>
      <c r="CM141" s="180"/>
      <c r="CN141" s="180"/>
      <c r="CO141" s="180"/>
      <c r="CP141" s="180"/>
      <c r="CQ141" s="180"/>
      <c r="CR141" s="180"/>
      <c r="CS141" s="180"/>
      <c r="CT141" s="180"/>
      <c r="CU141" s="180"/>
    </row>
    <row r="142" spans="1:99" s="568" customFormat="1" x14ac:dyDescent="0.3">
      <c r="A142" s="567">
        <v>545</v>
      </c>
      <c r="B142" s="568" t="s">
        <v>53</v>
      </c>
      <c r="D142" s="568">
        <v>0</v>
      </c>
      <c r="E142" s="568">
        <v>0</v>
      </c>
      <c r="G142" s="568">
        <v>0</v>
      </c>
      <c r="H142" s="568">
        <v>0</v>
      </c>
      <c r="I142" s="568">
        <v>0</v>
      </c>
      <c r="J142" s="568">
        <v>0.01</v>
      </c>
      <c r="K142" s="568">
        <v>0</v>
      </c>
      <c r="L142" s="568">
        <v>0</v>
      </c>
      <c r="N142" s="568">
        <v>0</v>
      </c>
      <c r="P142" s="568">
        <v>0</v>
      </c>
      <c r="Q142" s="568">
        <v>0</v>
      </c>
      <c r="R142" s="568">
        <v>4.8000000000000001E-2</v>
      </c>
      <c r="S142" s="568">
        <v>0</v>
      </c>
      <c r="T142" s="568">
        <v>0</v>
      </c>
      <c r="U142" s="568">
        <v>0</v>
      </c>
      <c r="V142" s="568">
        <v>0</v>
      </c>
      <c r="W142" s="568">
        <v>0</v>
      </c>
      <c r="X142" s="568">
        <v>0.03</v>
      </c>
      <c r="Y142" s="568">
        <v>0</v>
      </c>
      <c r="Z142" s="568">
        <v>0</v>
      </c>
      <c r="AA142" s="568">
        <v>0</v>
      </c>
      <c r="AB142" s="568">
        <v>0</v>
      </c>
      <c r="AC142" s="568">
        <v>0</v>
      </c>
      <c r="AD142" s="568">
        <v>0</v>
      </c>
      <c r="AE142" s="568">
        <v>0</v>
      </c>
      <c r="AF142" s="568">
        <v>0.05</v>
      </c>
      <c r="AG142" s="568">
        <v>0</v>
      </c>
      <c r="AH142" s="568">
        <v>0</v>
      </c>
      <c r="AI142" s="568">
        <v>0</v>
      </c>
      <c r="AJ142" s="568">
        <v>0</v>
      </c>
      <c r="AK142" s="568">
        <v>0</v>
      </c>
      <c r="AL142" s="568">
        <v>0</v>
      </c>
      <c r="AM142" s="568">
        <v>0</v>
      </c>
      <c r="AN142" s="568">
        <v>0</v>
      </c>
      <c r="AP142" s="568">
        <v>0</v>
      </c>
      <c r="AQ142" s="568">
        <v>0</v>
      </c>
      <c r="AU142" s="568">
        <v>0</v>
      </c>
      <c r="AV142" s="568">
        <v>0</v>
      </c>
      <c r="AX142" s="568">
        <v>0</v>
      </c>
      <c r="AY142" s="568">
        <v>0</v>
      </c>
      <c r="BA142" s="568">
        <v>0</v>
      </c>
      <c r="BB142" s="568">
        <v>0</v>
      </c>
      <c r="BD142" s="568">
        <v>0</v>
      </c>
      <c r="BE142" s="568">
        <v>0</v>
      </c>
      <c r="BH142" s="568">
        <v>0</v>
      </c>
      <c r="BI142" s="568">
        <v>0</v>
      </c>
      <c r="BJ142" s="568">
        <v>0</v>
      </c>
      <c r="BK142" s="568">
        <v>0</v>
      </c>
      <c r="BL142" s="568">
        <v>0</v>
      </c>
      <c r="BM142" s="568">
        <v>0</v>
      </c>
      <c r="BN142" s="568">
        <v>0.04</v>
      </c>
      <c r="BO142" s="568">
        <v>0</v>
      </c>
      <c r="BP142" s="568">
        <v>0</v>
      </c>
      <c r="BQ142" s="568">
        <v>0</v>
      </c>
      <c r="BR142" s="568">
        <v>0</v>
      </c>
      <c r="BS142" s="568">
        <v>0</v>
      </c>
      <c r="BT142" s="568">
        <v>0</v>
      </c>
      <c r="BU142" s="568">
        <v>0</v>
      </c>
      <c r="BV142" s="568">
        <v>0</v>
      </c>
      <c r="BW142" s="568">
        <v>0</v>
      </c>
      <c r="BY142" s="568">
        <v>0</v>
      </c>
      <c r="BZ142" s="568">
        <v>0</v>
      </c>
      <c r="CA142" s="568">
        <v>0</v>
      </c>
    </row>
    <row r="143" spans="1:99" x14ac:dyDescent="0.3">
      <c r="A143" s="155">
        <v>547</v>
      </c>
      <c r="B143" s="180" t="s">
        <v>932</v>
      </c>
      <c r="C143" s="180"/>
      <c r="D143" s="180">
        <v>2</v>
      </c>
      <c r="E143" s="180">
        <v>2</v>
      </c>
      <c r="F143" s="180"/>
      <c r="G143" s="180">
        <v>1</v>
      </c>
      <c r="H143" s="180">
        <v>3</v>
      </c>
      <c r="I143" s="180">
        <v>3</v>
      </c>
      <c r="J143" s="180">
        <v>2</v>
      </c>
      <c r="K143" s="180">
        <v>3</v>
      </c>
      <c r="L143" s="180">
        <v>3</v>
      </c>
      <c r="M143" s="180"/>
      <c r="N143" s="180">
        <v>3</v>
      </c>
      <c r="O143" s="180"/>
      <c r="P143" s="180">
        <v>3</v>
      </c>
      <c r="Q143" s="180">
        <v>3</v>
      </c>
      <c r="R143" s="180">
        <v>3</v>
      </c>
      <c r="S143" s="180">
        <v>3</v>
      </c>
      <c r="T143" s="180">
        <v>2</v>
      </c>
      <c r="U143" s="180">
        <v>3</v>
      </c>
      <c r="V143" s="180">
        <v>2</v>
      </c>
      <c r="W143" s="180">
        <v>3</v>
      </c>
      <c r="X143" s="180">
        <v>3</v>
      </c>
      <c r="Y143" s="180">
        <v>3</v>
      </c>
      <c r="Z143" s="180">
        <v>2</v>
      </c>
      <c r="AA143" s="180">
        <v>4</v>
      </c>
      <c r="AB143" s="180">
        <v>2</v>
      </c>
      <c r="AC143" s="180">
        <v>2</v>
      </c>
      <c r="AD143" s="180">
        <v>2</v>
      </c>
      <c r="AE143" s="180">
        <v>2</v>
      </c>
      <c r="AF143" s="180">
        <v>0</v>
      </c>
      <c r="AG143" s="180">
        <v>2</v>
      </c>
      <c r="AH143" s="180">
        <v>2</v>
      </c>
      <c r="AI143" s="180">
        <v>2</v>
      </c>
      <c r="AJ143" s="180">
        <v>3</v>
      </c>
      <c r="AK143" s="180">
        <v>2</v>
      </c>
      <c r="AL143" s="180">
        <v>2</v>
      </c>
      <c r="AM143" s="180">
        <v>2</v>
      </c>
      <c r="AN143" s="180">
        <v>3</v>
      </c>
      <c r="AO143" s="180"/>
      <c r="AP143" s="180">
        <v>2</v>
      </c>
      <c r="AQ143" s="180">
        <v>3</v>
      </c>
      <c r="AR143" s="180"/>
      <c r="AS143" s="180"/>
      <c r="AT143" s="180"/>
      <c r="AU143" s="180">
        <v>3</v>
      </c>
      <c r="AV143" s="180">
        <v>2</v>
      </c>
      <c r="AW143" s="180"/>
      <c r="AX143" s="180">
        <v>2</v>
      </c>
      <c r="AY143" s="180">
        <v>1</v>
      </c>
      <c r="AZ143" s="180"/>
      <c r="BA143" s="180">
        <v>2</v>
      </c>
      <c r="BB143" s="180">
        <v>4</v>
      </c>
      <c r="BC143" s="180"/>
      <c r="BD143" s="180">
        <v>2</v>
      </c>
      <c r="BE143" s="180">
        <v>3</v>
      </c>
      <c r="BF143" s="180"/>
      <c r="BG143" s="180"/>
      <c r="BH143" s="180">
        <v>3</v>
      </c>
      <c r="BI143" s="180">
        <v>3</v>
      </c>
      <c r="BJ143" s="180">
        <v>2</v>
      </c>
      <c r="BK143" s="180">
        <v>3</v>
      </c>
      <c r="BL143" s="180">
        <v>3</v>
      </c>
      <c r="BM143" s="180">
        <v>2</v>
      </c>
      <c r="BN143" s="180">
        <v>3</v>
      </c>
      <c r="BO143" s="180">
        <v>2</v>
      </c>
      <c r="BP143" s="180">
        <v>2</v>
      </c>
      <c r="BQ143" s="180">
        <v>2</v>
      </c>
      <c r="BR143" s="180">
        <v>2</v>
      </c>
      <c r="BS143" s="180">
        <v>2</v>
      </c>
      <c r="BT143" s="180">
        <v>2</v>
      </c>
      <c r="BU143" s="180">
        <v>3</v>
      </c>
      <c r="BV143" s="180">
        <v>2</v>
      </c>
      <c r="BW143" s="180">
        <v>2</v>
      </c>
      <c r="BX143" s="180"/>
      <c r="BY143" s="180">
        <v>2</v>
      </c>
      <c r="BZ143" s="180">
        <v>3</v>
      </c>
      <c r="CA143" s="180">
        <v>2</v>
      </c>
      <c r="CB143" s="180"/>
      <c r="CC143" s="180"/>
      <c r="CD143" s="180"/>
      <c r="CE143" s="180"/>
      <c r="CF143" s="180"/>
      <c r="CG143" s="180"/>
      <c r="CH143" s="180"/>
      <c r="CI143" s="180"/>
      <c r="CJ143" s="180"/>
      <c r="CK143" s="180"/>
      <c r="CL143" s="180"/>
      <c r="CM143" s="180"/>
      <c r="CN143" s="180"/>
      <c r="CO143" s="180"/>
      <c r="CP143" s="180"/>
      <c r="CQ143" s="180"/>
      <c r="CR143" s="180"/>
      <c r="CS143" s="180"/>
      <c r="CT143" s="180"/>
      <c r="CU143" s="180"/>
    </row>
    <row r="144" spans="1:99" s="555" customFormat="1" x14ac:dyDescent="0.3">
      <c r="A144" s="558">
        <v>554</v>
      </c>
      <c r="B144" s="555" t="s">
        <v>320</v>
      </c>
      <c r="E144" s="555">
        <v>9769</v>
      </c>
      <c r="G144" s="555">
        <v>8101121</v>
      </c>
      <c r="K144" s="555">
        <v>1627302</v>
      </c>
      <c r="L144" s="555">
        <v>10064372</v>
      </c>
      <c r="P144" s="555">
        <v>4095702</v>
      </c>
      <c r="Q144" s="555">
        <v>2172809</v>
      </c>
      <c r="U144" s="555">
        <v>4456491</v>
      </c>
      <c r="X144" s="555">
        <v>968677</v>
      </c>
      <c r="Y144" s="555">
        <v>0</v>
      </c>
      <c r="AA144" s="555">
        <v>1762949</v>
      </c>
      <c r="AJ144" s="555">
        <v>810977</v>
      </c>
      <c r="AM144" s="555">
        <v>1157205</v>
      </c>
      <c r="AN144" s="555">
        <v>2189510</v>
      </c>
      <c r="AQ144" s="555">
        <v>372955</v>
      </c>
      <c r="AU144" s="555">
        <v>898298</v>
      </c>
      <c r="BE144" s="555">
        <v>6368876</v>
      </c>
      <c r="BH144" s="555">
        <v>445432</v>
      </c>
      <c r="BJ144" s="555">
        <v>1102854</v>
      </c>
      <c r="BN144" s="555">
        <v>2038321</v>
      </c>
      <c r="BS144" s="555">
        <v>5748065</v>
      </c>
      <c r="BZ144" s="555">
        <v>2145637</v>
      </c>
    </row>
    <row r="145" spans="1:99" s="555" customFormat="1" x14ac:dyDescent="0.3">
      <c r="A145" s="558">
        <v>555</v>
      </c>
      <c r="B145" s="555" t="s">
        <v>321</v>
      </c>
      <c r="E145" s="555">
        <v>0</v>
      </c>
      <c r="G145" s="555">
        <v>5177487</v>
      </c>
      <c r="K145" s="555">
        <v>1414789</v>
      </c>
      <c r="L145" s="555">
        <v>9352894</v>
      </c>
      <c r="P145" s="555">
        <v>0</v>
      </c>
      <c r="Q145" s="555">
        <v>2172809</v>
      </c>
      <c r="S145" s="555">
        <v>2030249</v>
      </c>
      <c r="U145" s="555">
        <v>3301689</v>
      </c>
      <c r="X145" s="555">
        <v>445364</v>
      </c>
      <c r="Y145" s="555">
        <v>0</v>
      </c>
      <c r="AA145" s="555">
        <v>1067061</v>
      </c>
      <c r="AJ145" s="555">
        <v>419783</v>
      </c>
      <c r="AM145" s="555">
        <v>1145605</v>
      </c>
      <c r="AN145" s="555">
        <v>677591</v>
      </c>
      <c r="AQ145" s="555">
        <v>0</v>
      </c>
      <c r="AU145" s="555">
        <v>784706</v>
      </c>
      <c r="BE145" s="555">
        <v>4040709</v>
      </c>
      <c r="BH145" s="555">
        <v>0</v>
      </c>
      <c r="BJ145" s="555">
        <v>1018771</v>
      </c>
      <c r="BN145" s="555">
        <v>1749991</v>
      </c>
      <c r="BS145" s="555">
        <v>5280498</v>
      </c>
      <c r="BZ145" s="555">
        <v>2045130</v>
      </c>
    </row>
    <row r="146" spans="1:99" s="555" customFormat="1" x14ac:dyDescent="0.3">
      <c r="A146" s="558">
        <v>556</v>
      </c>
      <c r="B146" s="555" t="s">
        <v>322</v>
      </c>
      <c r="E146" s="555">
        <v>1413267</v>
      </c>
      <c r="G146" s="555">
        <v>2555222</v>
      </c>
      <c r="K146" s="555">
        <v>68475</v>
      </c>
      <c r="L146" s="555">
        <v>1498929</v>
      </c>
      <c r="P146" s="555">
        <v>1155576</v>
      </c>
      <c r="Q146" s="555">
        <v>1288687</v>
      </c>
      <c r="S146" s="555">
        <v>1906215</v>
      </c>
      <c r="U146" s="555">
        <v>652466</v>
      </c>
      <c r="X146" s="555">
        <v>375698</v>
      </c>
      <c r="Y146" s="555">
        <v>0</v>
      </c>
      <c r="AA146" s="555">
        <v>745469</v>
      </c>
      <c r="AJ146" s="555">
        <v>398553</v>
      </c>
      <c r="AM146" s="555">
        <v>1068483</v>
      </c>
      <c r="AN146" s="555">
        <v>668564</v>
      </c>
      <c r="AQ146" s="555">
        <v>1180221</v>
      </c>
      <c r="AU146" s="555">
        <v>389504</v>
      </c>
      <c r="BE146" s="555">
        <v>2245011</v>
      </c>
      <c r="BH146" s="555">
        <v>666238</v>
      </c>
      <c r="BJ146" s="555">
        <v>71973</v>
      </c>
      <c r="BN146" s="555">
        <v>1056174</v>
      </c>
      <c r="BS146" s="555">
        <v>791286</v>
      </c>
      <c r="BZ146" s="555">
        <v>1043242</v>
      </c>
    </row>
    <row r="147" spans="1:99" s="555" customFormat="1" x14ac:dyDescent="0.3">
      <c r="A147" s="558">
        <v>557</v>
      </c>
      <c r="B147" s="555" t="s">
        <v>323</v>
      </c>
      <c r="E147" s="555">
        <v>1407142</v>
      </c>
      <c r="G147" s="555">
        <v>1624930</v>
      </c>
      <c r="K147" s="555">
        <v>0</v>
      </c>
      <c r="L147" s="555">
        <v>1463648</v>
      </c>
      <c r="P147" s="555">
        <v>748199</v>
      </c>
      <c r="Q147" s="555">
        <v>724269</v>
      </c>
      <c r="S147" s="555">
        <v>327884</v>
      </c>
      <c r="U147" s="555">
        <v>650216</v>
      </c>
      <c r="X147" s="555">
        <v>0</v>
      </c>
      <c r="Y147" s="555">
        <v>0</v>
      </c>
      <c r="AA147" s="555">
        <v>632969</v>
      </c>
      <c r="AJ147" s="555">
        <v>0</v>
      </c>
      <c r="AM147" s="555">
        <v>680139</v>
      </c>
      <c r="AN147" s="555">
        <v>618203</v>
      </c>
      <c r="AQ147" s="555">
        <v>952928</v>
      </c>
      <c r="AU147" s="555">
        <v>0</v>
      </c>
      <c r="BE147" s="555">
        <v>1679567</v>
      </c>
      <c r="BH147" s="555">
        <v>481792</v>
      </c>
      <c r="BJ147" s="555">
        <v>0</v>
      </c>
      <c r="BN147" s="555">
        <v>581552</v>
      </c>
      <c r="BS147" s="555">
        <v>788486</v>
      </c>
      <c r="BZ147" s="555">
        <v>977992</v>
      </c>
    </row>
    <row r="148" spans="1:99" x14ac:dyDescent="0.3">
      <c r="A148" s="155">
        <v>575</v>
      </c>
      <c r="B148" s="180" t="s">
        <v>302</v>
      </c>
      <c r="C148" s="180"/>
      <c r="D148" s="180">
        <v>0</v>
      </c>
      <c r="E148" s="180">
        <v>0</v>
      </c>
      <c r="F148" s="180"/>
      <c r="G148" s="180">
        <v>44569</v>
      </c>
      <c r="H148" s="180">
        <v>0</v>
      </c>
      <c r="I148" s="180">
        <v>30523</v>
      </c>
      <c r="J148" s="180">
        <v>0</v>
      </c>
      <c r="K148" s="180">
        <v>62751</v>
      </c>
      <c r="L148" s="180">
        <v>0</v>
      </c>
      <c r="M148" s="180"/>
      <c r="N148" s="180">
        <v>0</v>
      </c>
      <c r="O148" s="180"/>
      <c r="P148" s="180">
        <v>0</v>
      </c>
      <c r="Q148" s="180">
        <v>0</v>
      </c>
      <c r="R148" s="180">
        <v>0</v>
      </c>
      <c r="S148" s="180">
        <v>0</v>
      </c>
      <c r="T148" s="180">
        <v>117299</v>
      </c>
      <c r="U148" s="180">
        <v>0</v>
      </c>
      <c r="V148" s="180">
        <v>0</v>
      </c>
      <c r="W148" s="180">
        <v>0</v>
      </c>
      <c r="X148" s="180">
        <v>0</v>
      </c>
      <c r="Y148" s="180">
        <v>0</v>
      </c>
      <c r="Z148" s="180">
        <v>0</v>
      </c>
      <c r="AA148" s="180">
        <v>542079</v>
      </c>
      <c r="AB148" s="180">
        <v>0</v>
      </c>
      <c r="AC148" s="180">
        <v>11209</v>
      </c>
      <c r="AD148" s="180">
        <v>14430</v>
      </c>
      <c r="AE148" s="180">
        <v>0</v>
      </c>
      <c r="AF148" s="180">
        <v>0</v>
      </c>
      <c r="AG148" s="180">
        <v>0</v>
      </c>
      <c r="AH148" s="180">
        <v>0</v>
      </c>
      <c r="AI148" s="180">
        <v>0</v>
      </c>
      <c r="AJ148" s="180">
        <v>0</v>
      </c>
      <c r="AK148" s="180">
        <v>0</v>
      </c>
      <c r="AL148" s="180">
        <v>0</v>
      </c>
      <c r="AM148" s="180">
        <v>0</v>
      </c>
      <c r="AN148" s="180">
        <v>0</v>
      </c>
      <c r="AO148" s="180"/>
      <c r="AP148" s="180">
        <v>0</v>
      </c>
      <c r="AQ148" s="180">
        <v>0</v>
      </c>
      <c r="AR148" s="180"/>
      <c r="AS148" s="180"/>
      <c r="AT148" s="180"/>
      <c r="AU148" s="180">
        <v>0</v>
      </c>
      <c r="AV148" s="180">
        <v>0</v>
      </c>
      <c r="AW148" s="180"/>
      <c r="AX148" s="180">
        <v>0</v>
      </c>
      <c r="AY148" s="180">
        <v>8</v>
      </c>
      <c r="AZ148" s="180"/>
      <c r="BA148" s="180">
        <v>37846</v>
      </c>
      <c r="BB148" s="180">
        <v>0</v>
      </c>
      <c r="BC148" s="180"/>
      <c r="BD148" s="180">
        <v>0</v>
      </c>
      <c r="BE148" s="180">
        <v>0</v>
      </c>
      <c r="BF148" s="180"/>
      <c r="BG148" s="180"/>
      <c r="BH148" s="180">
        <v>0</v>
      </c>
      <c r="BI148" s="180">
        <v>0</v>
      </c>
      <c r="BJ148" s="180">
        <v>0</v>
      </c>
      <c r="BK148" s="180">
        <v>0</v>
      </c>
      <c r="BL148" s="180">
        <v>0</v>
      </c>
      <c r="BM148" s="180">
        <v>0</v>
      </c>
      <c r="BN148" s="180">
        <v>19915</v>
      </c>
      <c r="BO148" s="180">
        <v>0</v>
      </c>
      <c r="BP148" s="180">
        <v>0</v>
      </c>
      <c r="BQ148" s="180">
        <v>0</v>
      </c>
      <c r="BR148" s="180">
        <v>0</v>
      </c>
      <c r="BS148" s="180">
        <v>0</v>
      </c>
      <c r="BT148" s="180">
        <v>0</v>
      </c>
      <c r="BU148" s="180">
        <v>9631</v>
      </c>
      <c r="BV148" s="180">
        <v>6033</v>
      </c>
      <c r="BW148" s="180">
        <v>73889</v>
      </c>
      <c r="BX148" s="180"/>
      <c r="BY148" s="180">
        <v>0</v>
      </c>
      <c r="BZ148" s="180">
        <v>0</v>
      </c>
      <c r="CA148" s="180">
        <v>0</v>
      </c>
      <c r="CB148" s="180"/>
      <c r="CC148" s="180"/>
      <c r="CD148" s="180"/>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576</v>
      </c>
      <c r="B149" s="180" t="s">
        <v>303</v>
      </c>
      <c r="C149" s="180"/>
      <c r="D149" s="180">
        <v>0</v>
      </c>
      <c r="E149" s="180">
        <v>0</v>
      </c>
      <c r="F149" s="180"/>
      <c r="G149" s="180">
        <v>0</v>
      </c>
      <c r="H149" s="180">
        <v>0</v>
      </c>
      <c r="I149" s="180">
        <v>0</v>
      </c>
      <c r="J149" s="180">
        <v>0</v>
      </c>
      <c r="K149" s="180">
        <v>0</v>
      </c>
      <c r="L149" s="180">
        <v>0</v>
      </c>
      <c r="M149" s="180"/>
      <c r="N149" s="180">
        <v>0</v>
      </c>
      <c r="O149" s="180"/>
      <c r="P149" s="180">
        <v>0</v>
      </c>
      <c r="Q149" s="180">
        <v>0</v>
      </c>
      <c r="R149" s="180">
        <v>0</v>
      </c>
      <c r="S149" s="180">
        <v>0</v>
      </c>
      <c r="T149" s="180">
        <v>0</v>
      </c>
      <c r="U149" s="180">
        <v>0</v>
      </c>
      <c r="V149" s="180">
        <v>0</v>
      </c>
      <c r="W149" s="180">
        <v>0</v>
      </c>
      <c r="X149" s="180">
        <v>0</v>
      </c>
      <c r="Y149" s="180">
        <v>0</v>
      </c>
      <c r="Z149" s="180">
        <v>369585</v>
      </c>
      <c r="AA149" s="180">
        <v>0</v>
      </c>
      <c r="AB149" s="180">
        <v>0</v>
      </c>
      <c r="AC149" s="180">
        <v>0</v>
      </c>
      <c r="AD149" s="180">
        <v>0</v>
      </c>
      <c r="AE149" s="180">
        <v>0</v>
      </c>
      <c r="AF149" s="180">
        <v>0</v>
      </c>
      <c r="AG149" s="180">
        <v>0</v>
      </c>
      <c r="AH149" s="180">
        <v>0</v>
      </c>
      <c r="AI149" s="180">
        <v>0</v>
      </c>
      <c r="AJ149" s="180">
        <v>0</v>
      </c>
      <c r="AK149" s="180">
        <v>1997</v>
      </c>
      <c r="AL149" s="180">
        <v>0</v>
      </c>
      <c r="AM149" s="180">
        <v>0</v>
      </c>
      <c r="AN149" s="180">
        <v>0</v>
      </c>
      <c r="AO149" s="180"/>
      <c r="AP149" s="180">
        <v>0</v>
      </c>
      <c r="AQ149" s="180">
        <v>3750899</v>
      </c>
      <c r="AR149" s="180"/>
      <c r="AS149" s="180"/>
      <c r="AT149" s="180"/>
      <c r="AU149" s="180">
        <v>2167141</v>
      </c>
      <c r="AV149" s="180">
        <v>55729</v>
      </c>
      <c r="AW149" s="180"/>
      <c r="AX149" s="180">
        <v>1899099</v>
      </c>
      <c r="AY149" s="180">
        <v>0</v>
      </c>
      <c r="AZ149" s="180"/>
      <c r="BA149" s="180">
        <v>0</v>
      </c>
      <c r="BB149" s="180">
        <v>0</v>
      </c>
      <c r="BC149" s="180"/>
      <c r="BD149" s="180">
        <v>0</v>
      </c>
      <c r="BE149" s="180">
        <v>2760500</v>
      </c>
      <c r="BF149" s="180"/>
      <c r="BG149" s="180"/>
      <c r="BH149" s="180">
        <v>0</v>
      </c>
      <c r="BI149" s="180">
        <v>0</v>
      </c>
      <c r="BJ149" s="180">
        <v>0</v>
      </c>
      <c r="BK149" s="180">
        <v>0</v>
      </c>
      <c r="BL149" s="180">
        <v>0</v>
      </c>
      <c r="BM149" s="180">
        <v>0</v>
      </c>
      <c r="BN149" s="180">
        <v>0</v>
      </c>
      <c r="BO149" s="180">
        <v>0</v>
      </c>
      <c r="BP149" s="180">
        <v>0</v>
      </c>
      <c r="BQ149" s="180">
        <v>0</v>
      </c>
      <c r="BR149" s="180">
        <v>0</v>
      </c>
      <c r="BS149" s="180">
        <v>0</v>
      </c>
      <c r="BT149" s="180">
        <v>0</v>
      </c>
      <c r="BU149" s="180">
        <v>0</v>
      </c>
      <c r="BV149" s="180">
        <v>0</v>
      </c>
      <c r="BW149" s="180">
        <v>0</v>
      </c>
      <c r="BX149" s="180"/>
      <c r="BY149" s="180">
        <v>0</v>
      </c>
      <c r="BZ149" s="180">
        <v>0</v>
      </c>
      <c r="CA149" s="180">
        <v>0</v>
      </c>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row>
    <row r="150" spans="1:99" s="568" customFormat="1" x14ac:dyDescent="0.3">
      <c r="A150" s="567">
        <v>577</v>
      </c>
      <c r="B150" s="568" t="s">
        <v>945</v>
      </c>
      <c r="D150" s="568">
        <v>2</v>
      </c>
      <c r="E150" s="568">
        <v>2</v>
      </c>
      <c r="G150" s="568">
        <v>2</v>
      </c>
      <c r="H150" s="568">
        <v>2</v>
      </c>
      <c r="I150" s="568">
        <v>2</v>
      </c>
      <c r="J150" s="568">
        <v>2</v>
      </c>
      <c r="K150" s="568">
        <v>2</v>
      </c>
      <c r="L150" s="568">
        <v>2</v>
      </c>
      <c r="N150" s="568">
        <v>2</v>
      </c>
      <c r="P150" s="568">
        <v>2</v>
      </c>
      <c r="Q150" s="568">
        <v>2</v>
      </c>
      <c r="R150" s="568">
        <v>2</v>
      </c>
      <c r="S150" s="568">
        <v>2</v>
      </c>
      <c r="T150" s="568">
        <v>0</v>
      </c>
      <c r="U150" s="568">
        <v>2</v>
      </c>
      <c r="V150" s="568">
        <v>2</v>
      </c>
      <c r="W150" s="568">
        <v>0</v>
      </c>
      <c r="X150" s="568">
        <v>2</v>
      </c>
      <c r="Y150" s="568">
        <v>2</v>
      </c>
      <c r="Z150" s="568">
        <v>2</v>
      </c>
      <c r="AA150" s="568">
        <v>2</v>
      </c>
      <c r="AB150" s="568">
        <v>0</v>
      </c>
      <c r="AC150" s="568">
        <v>0</v>
      </c>
      <c r="AD150" s="568">
        <v>2</v>
      </c>
      <c r="AE150" s="568">
        <v>2</v>
      </c>
      <c r="AF150" s="568">
        <v>2</v>
      </c>
      <c r="AG150" s="568">
        <v>0</v>
      </c>
      <c r="AH150" s="568">
        <v>2</v>
      </c>
      <c r="AI150" s="568">
        <v>2</v>
      </c>
      <c r="AJ150" s="568">
        <v>2</v>
      </c>
      <c r="AK150" s="568">
        <v>2</v>
      </c>
      <c r="AL150" s="568">
        <v>0</v>
      </c>
      <c r="AM150" s="568">
        <v>2</v>
      </c>
      <c r="AN150" s="568">
        <v>2</v>
      </c>
      <c r="AP150" s="568">
        <v>2</v>
      </c>
      <c r="AQ150" s="568">
        <v>2</v>
      </c>
      <c r="AU150" s="568">
        <v>2</v>
      </c>
      <c r="AV150" s="568">
        <v>2</v>
      </c>
      <c r="AX150" s="568">
        <v>2</v>
      </c>
      <c r="AY150" s="568">
        <v>2</v>
      </c>
      <c r="BA150" s="568">
        <v>0</v>
      </c>
      <c r="BB150" s="568">
        <v>2</v>
      </c>
      <c r="BD150" s="568">
        <v>2</v>
      </c>
      <c r="BE150" s="568">
        <v>2</v>
      </c>
      <c r="BH150" s="568">
        <v>2</v>
      </c>
      <c r="BI150" s="568">
        <v>2</v>
      </c>
      <c r="BJ150" s="568">
        <v>2</v>
      </c>
      <c r="BK150" s="568">
        <v>2</v>
      </c>
      <c r="BL150" s="568">
        <v>0</v>
      </c>
      <c r="BM150" s="568">
        <v>2</v>
      </c>
      <c r="BN150" s="568">
        <v>2</v>
      </c>
      <c r="BO150" s="568">
        <v>2</v>
      </c>
      <c r="BP150" s="568">
        <v>2</v>
      </c>
      <c r="BQ150" s="568">
        <v>2</v>
      </c>
      <c r="BR150" s="568">
        <v>2</v>
      </c>
      <c r="BS150" s="568">
        <v>2</v>
      </c>
      <c r="BT150" s="568">
        <v>2</v>
      </c>
      <c r="BU150" s="568">
        <v>0</v>
      </c>
      <c r="BV150" s="568">
        <v>2</v>
      </c>
      <c r="BW150" s="568">
        <v>0</v>
      </c>
      <c r="BY150" s="568">
        <v>2</v>
      </c>
      <c r="BZ150" s="568">
        <v>2</v>
      </c>
      <c r="CA150" s="568">
        <v>2</v>
      </c>
    </row>
    <row r="151" spans="1:99" x14ac:dyDescent="0.3">
      <c r="A151" s="155">
        <v>578</v>
      </c>
      <c r="B151" s="180" t="s">
        <v>946</v>
      </c>
      <c r="C151" s="180"/>
      <c r="D151" s="180">
        <v>0</v>
      </c>
      <c r="E151" s="180">
        <v>0</v>
      </c>
      <c r="F151" s="180"/>
      <c r="G151" s="180">
        <v>0</v>
      </c>
      <c r="H151" s="180">
        <v>0</v>
      </c>
      <c r="I151" s="180">
        <v>0</v>
      </c>
      <c r="J151" s="180">
        <v>0</v>
      </c>
      <c r="K151" s="180">
        <v>62751</v>
      </c>
      <c r="L151" s="180">
        <v>0</v>
      </c>
      <c r="M151" s="180"/>
      <c r="N151" s="180">
        <v>0</v>
      </c>
      <c r="O151" s="180"/>
      <c r="P151" s="180">
        <v>0</v>
      </c>
      <c r="Q151" s="180">
        <v>0</v>
      </c>
      <c r="R151" s="180">
        <v>0</v>
      </c>
      <c r="S151" s="180">
        <v>0</v>
      </c>
      <c r="T151" s="180">
        <v>0</v>
      </c>
      <c r="U151" s="180">
        <v>0</v>
      </c>
      <c r="V151" s="180">
        <v>0</v>
      </c>
      <c r="W151" s="180">
        <v>0</v>
      </c>
      <c r="X151" s="180">
        <v>0</v>
      </c>
      <c r="Y151" s="180">
        <v>0</v>
      </c>
      <c r="Z151" s="180">
        <v>0</v>
      </c>
      <c r="AA151" s="180">
        <v>0</v>
      </c>
      <c r="AB151" s="180">
        <v>0</v>
      </c>
      <c r="AC151" s="180">
        <v>0</v>
      </c>
      <c r="AD151" s="180">
        <v>0</v>
      </c>
      <c r="AE151" s="180">
        <v>0</v>
      </c>
      <c r="AF151" s="180">
        <v>0</v>
      </c>
      <c r="AG151" s="180">
        <v>0</v>
      </c>
      <c r="AH151" s="180">
        <v>0</v>
      </c>
      <c r="AI151" s="180">
        <v>0</v>
      </c>
      <c r="AJ151" s="180">
        <v>0</v>
      </c>
      <c r="AK151" s="180">
        <v>0</v>
      </c>
      <c r="AL151" s="180">
        <v>0</v>
      </c>
      <c r="AM151" s="180">
        <v>0</v>
      </c>
      <c r="AN151" s="180">
        <v>0</v>
      </c>
      <c r="AO151" s="180"/>
      <c r="AP151" s="180">
        <v>0</v>
      </c>
      <c r="AQ151" s="180">
        <v>0</v>
      </c>
      <c r="AR151" s="180"/>
      <c r="AS151" s="180"/>
      <c r="AT151" s="180"/>
      <c r="AU151" s="180">
        <v>0</v>
      </c>
      <c r="AV151" s="180">
        <v>0</v>
      </c>
      <c r="AW151" s="180"/>
      <c r="AX151" s="180">
        <v>0</v>
      </c>
      <c r="AY151" s="180">
        <v>0</v>
      </c>
      <c r="AZ151" s="180"/>
      <c r="BA151" s="180">
        <v>0</v>
      </c>
      <c r="BB151" s="180">
        <v>0</v>
      </c>
      <c r="BC151" s="180"/>
      <c r="BD151" s="180">
        <v>0</v>
      </c>
      <c r="BE151" s="180">
        <v>0</v>
      </c>
      <c r="BF151" s="180"/>
      <c r="BG151" s="180"/>
      <c r="BH151" s="180">
        <v>0</v>
      </c>
      <c r="BI151" s="180">
        <v>0</v>
      </c>
      <c r="BJ151" s="180">
        <v>0</v>
      </c>
      <c r="BK151" s="180">
        <v>0</v>
      </c>
      <c r="BL151" s="180">
        <v>0</v>
      </c>
      <c r="BM151" s="180">
        <v>0</v>
      </c>
      <c r="BN151" s="180">
        <v>0</v>
      </c>
      <c r="BO151" s="180">
        <v>0</v>
      </c>
      <c r="BP151" s="180">
        <v>0</v>
      </c>
      <c r="BQ151" s="180">
        <v>0</v>
      </c>
      <c r="BR151" s="180">
        <v>0</v>
      </c>
      <c r="BS151" s="180">
        <v>0</v>
      </c>
      <c r="BT151" s="180">
        <v>0</v>
      </c>
      <c r="BU151" s="180">
        <v>0</v>
      </c>
      <c r="BV151" s="180">
        <v>0</v>
      </c>
      <c r="BW151" s="180">
        <v>0</v>
      </c>
      <c r="BX151" s="180"/>
      <c r="BY151" s="180">
        <v>0</v>
      </c>
      <c r="BZ151" s="180">
        <v>0</v>
      </c>
      <c r="CA151" s="180">
        <v>0</v>
      </c>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579</v>
      </c>
      <c r="B152" s="180" t="s">
        <v>947</v>
      </c>
      <c r="C152" s="180"/>
      <c r="D152" s="180">
        <v>0</v>
      </c>
      <c r="E152" s="180">
        <v>0</v>
      </c>
      <c r="F152" s="180"/>
      <c r="G152" s="180">
        <v>0</v>
      </c>
      <c r="H152" s="180">
        <v>0</v>
      </c>
      <c r="I152" s="180">
        <v>0</v>
      </c>
      <c r="J152" s="180">
        <v>0</v>
      </c>
      <c r="K152" s="180">
        <v>0</v>
      </c>
      <c r="L152" s="180">
        <v>0</v>
      </c>
      <c r="M152" s="180"/>
      <c r="N152" s="180">
        <v>0</v>
      </c>
      <c r="O152" s="180"/>
      <c r="P152" s="180">
        <v>0</v>
      </c>
      <c r="Q152" s="180">
        <v>0</v>
      </c>
      <c r="R152" s="180">
        <v>0</v>
      </c>
      <c r="S152" s="180">
        <v>0</v>
      </c>
      <c r="T152" s="180">
        <v>0</v>
      </c>
      <c r="U152" s="180">
        <v>0</v>
      </c>
      <c r="V152" s="180">
        <v>0</v>
      </c>
      <c r="W152" s="180">
        <v>0</v>
      </c>
      <c r="X152" s="180">
        <v>0</v>
      </c>
      <c r="Y152" s="180">
        <v>0</v>
      </c>
      <c r="Z152" s="180">
        <v>0</v>
      </c>
      <c r="AA152" s="180">
        <v>0</v>
      </c>
      <c r="AB152" s="180">
        <v>0</v>
      </c>
      <c r="AC152" s="180">
        <v>0</v>
      </c>
      <c r="AD152" s="180">
        <v>0</v>
      </c>
      <c r="AE152" s="180">
        <v>0</v>
      </c>
      <c r="AF152" s="180">
        <v>0</v>
      </c>
      <c r="AG152" s="180">
        <v>0</v>
      </c>
      <c r="AH152" s="180">
        <v>0</v>
      </c>
      <c r="AI152" s="180">
        <v>0</v>
      </c>
      <c r="AJ152" s="180">
        <v>0</v>
      </c>
      <c r="AK152" s="180">
        <v>0</v>
      </c>
      <c r="AL152" s="180">
        <v>0</v>
      </c>
      <c r="AM152" s="180">
        <v>0</v>
      </c>
      <c r="AN152" s="180">
        <v>0</v>
      </c>
      <c r="AO152" s="180"/>
      <c r="AP152" s="180">
        <v>0</v>
      </c>
      <c r="AQ152" s="180">
        <v>0</v>
      </c>
      <c r="AR152" s="180"/>
      <c r="AS152" s="180"/>
      <c r="AT152" s="180"/>
      <c r="AU152" s="180">
        <v>0</v>
      </c>
      <c r="AV152" s="180">
        <v>0</v>
      </c>
      <c r="AW152" s="180"/>
      <c r="AX152" s="180">
        <v>0</v>
      </c>
      <c r="AY152" s="180">
        <v>0</v>
      </c>
      <c r="AZ152" s="180"/>
      <c r="BA152" s="180">
        <v>0</v>
      </c>
      <c r="BB152" s="180">
        <v>0</v>
      </c>
      <c r="BC152" s="180"/>
      <c r="BD152" s="180">
        <v>0</v>
      </c>
      <c r="BE152" s="180">
        <v>0</v>
      </c>
      <c r="BF152" s="180"/>
      <c r="BG152" s="180"/>
      <c r="BH152" s="180">
        <v>0</v>
      </c>
      <c r="BI152" s="180">
        <v>0</v>
      </c>
      <c r="BJ152" s="180">
        <v>0</v>
      </c>
      <c r="BK152" s="180">
        <v>0</v>
      </c>
      <c r="BL152" s="180">
        <v>0</v>
      </c>
      <c r="BM152" s="180">
        <v>0</v>
      </c>
      <c r="BN152" s="180">
        <v>0</v>
      </c>
      <c r="BO152" s="180">
        <v>0</v>
      </c>
      <c r="BP152" s="180">
        <v>0</v>
      </c>
      <c r="BQ152" s="180">
        <v>0</v>
      </c>
      <c r="BR152" s="180">
        <v>0</v>
      </c>
      <c r="BS152" s="180">
        <v>0</v>
      </c>
      <c r="BT152" s="180">
        <v>0</v>
      </c>
      <c r="BU152" s="180">
        <v>0</v>
      </c>
      <c r="BV152" s="180">
        <v>0</v>
      </c>
      <c r="BW152" s="180">
        <v>0</v>
      </c>
      <c r="BX152" s="180"/>
      <c r="BY152" s="180">
        <v>0</v>
      </c>
      <c r="BZ152" s="180">
        <v>0</v>
      </c>
      <c r="CA152" s="180">
        <v>0</v>
      </c>
      <c r="CB152" s="180"/>
      <c r="CC152" s="180"/>
      <c r="CD152" s="180"/>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580</v>
      </c>
      <c r="B153" s="180" t="s">
        <v>948</v>
      </c>
      <c r="C153" s="180"/>
      <c r="D153" s="180">
        <v>0</v>
      </c>
      <c r="E153" s="180">
        <v>0</v>
      </c>
      <c r="F153" s="180"/>
      <c r="G153" s="180">
        <v>0</v>
      </c>
      <c r="H153" s="180">
        <v>0</v>
      </c>
      <c r="I153" s="180">
        <v>0</v>
      </c>
      <c r="J153" s="180">
        <v>0</v>
      </c>
      <c r="K153" s="180">
        <v>0</v>
      </c>
      <c r="L153" s="180">
        <v>0</v>
      </c>
      <c r="M153" s="180"/>
      <c r="N153" s="180">
        <v>0</v>
      </c>
      <c r="O153" s="180"/>
      <c r="P153" s="180">
        <v>0</v>
      </c>
      <c r="Q153" s="180">
        <v>0</v>
      </c>
      <c r="R153" s="180">
        <v>0</v>
      </c>
      <c r="S153" s="180">
        <v>0</v>
      </c>
      <c r="T153" s="180">
        <v>0</v>
      </c>
      <c r="U153" s="180">
        <v>0</v>
      </c>
      <c r="V153" s="180">
        <v>0</v>
      </c>
      <c r="W153" s="180">
        <v>0</v>
      </c>
      <c r="X153" s="180">
        <v>0</v>
      </c>
      <c r="Y153" s="180">
        <v>0</v>
      </c>
      <c r="Z153" s="180">
        <v>0</v>
      </c>
      <c r="AA153" s="180">
        <v>0</v>
      </c>
      <c r="AB153" s="180">
        <v>0</v>
      </c>
      <c r="AC153" s="180">
        <v>0</v>
      </c>
      <c r="AD153" s="180">
        <v>0</v>
      </c>
      <c r="AE153" s="180">
        <v>0</v>
      </c>
      <c r="AF153" s="180">
        <v>0</v>
      </c>
      <c r="AG153" s="180">
        <v>0</v>
      </c>
      <c r="AH153" s="180">
        <v>0</v>
      </c>
      <c r="AI153" s="180">
        <v>0</v>
      </c>
      <c r="AJ153" s="180">
        <v>0</v>
      </c>
      <c r="AK153" s="180">
        <v>0</v>
      </c>
      <c r="AL153" s="180">
        <v>0</v>
      </c>
      <c r="AM153" s="180">
        <v>0</v>
      </c>
      <c r="AN153" s="180">
        <v>0</v>
      </c>
      <c r="AO153" s="180"/>
      <c r="AP153" s="180">
        <v>0</v>
      </c>
      <c r="AQ153" s="180">
        <v>0</v>
      </c>
      <c r="AR153" s="180"/>
      <c r="AS153" s="180"/>
      <c r="AT153" s="180"/>
      <c r="AU153" s="180">
        <v>0</v>
      </c>
      <c r="AV153" s="180">
        <v>0</v>
      </c>
      <c r="AW153" s="180"/>
      <c r="AX153" s="180">
        <v>0</v>
      </c>
      <c r="AY153" s="180">
        <v>0</v>
      </c>
      <c r="AZ153" s="180"/>
      <c r="BA153" s="180">
        <v>0</v>
      </c>
      <c r="BB153" s="180">
        <v>0</v>
      </c>
      <c r="BC153" s="180"/>
      <c r="BD153" s="180">
        <v>0</v>
      </c>
      <c r="BE153" s="180">
        <v>0</v>
      </c>
      <c r="BF153" s="180"/>
      <c r="BG153" s="180"/>
      <c r="BH153" s="180">
        <v>0</v>
      </c>
      <c r="BI153" s="180">
        <v>0</v>
      </c>
      <c r="BJ153" s="180">
        <v>0</v>
      </c>
      <c r="BK153" s="180">
        <v>0</v>
      </c>
      <c r="BL153" s="180">
        <v>0</v>
      </c>
      <c r="BM153" s="180">
        <v>0</v>
      </c>
      <c r="BN153" s="180">
        <v>0</v>
      </c>
      <c r="BO153" s="180">
        <v>0</v>
      </c>
      <c r="BP153" s="180">
        <v>0</v>
      </c>
      <c r="BQ153" s="180">
        <v>0</v>
      </c>
      <c r="BR153" s="180">
        <v>0</v>
      </c>
      <c r="BS153" s="180">
        <v>0</v>
      </c>
      <c r="BT153" s="180">
        <v>0</v>
      </c>
      <c r="BU153" s="180">
        <v>0</v>
      </c>
      <c r="BV153" s="180">
        <v>0</v>
      </c>
      <c r="BW153" s="180">
        <v>0</v>
      </c>
      <c r="BX153" s="180"/>
      <c r="BY153" s="180">
        <v>0</v>
      </c>
      <c r="BZ153" s="180">
        <v>0</v>
      </c>
      <c r="CA153" s="180">
        <v>0</v>
      </c>
      <c r="CB153" s="180"/>
      <c r="CC153" s="180"/>
      <c r="CD153" s="180"/>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581</v>
      </c>
      <c r="B154" s="180" t="s">
        <v>949</v>
      </c>
      <c r="C154" s="180"/>
      <c r="D154" s="180">
        <v>0</v>
      </c>
      <c r="E154" s="180">
        <v>0</v>
      </c>
      <c r="F154" s="180"/>
      <c r="G154" s="180">
        <v>0</v>
      </c>
      <c r="H154" s="180">
        <v>0</v>
      </c>
      <c r="I154" s="180">
        <v>0</v>
      </c>
      <c r="J154" s="180">
        <v>0</v>
      </c>
      <c r="K154" s="180">
        <v>0</v>
      </c>
      <c r="L154" s="180">
        <v>0</v>
      </c>
      <c r="M154" s="180"/>
      <c r="N154" s="180">
        <v>0</v>
      </c>
      <c r="O154" s="180"/>
      <c r="P154" s="180">
        <v>0</v>
      </c>
      <c r="Q154" s="180">
        <v>0</v>
      </c>
      <c r="R154" s="180">
        <v>0</v>
      </c>
      <c r="S154" s="180">
        <v>0</v>
      </c>
      <c r="T154" s="180">
        <v>0</v>
      </c>
      <c r="U154" s="180">
        <v>0</v>
      </c>
      <c r="V154" s="180">
        <v>0</v>
      </c>
      <c r="W154" s="180">
        <v>0</v>
      </c>
      <c r="X154" s="180">
        <v>0</v>
      </c>
      <c r="Y154" s="180">
        <v>0</v>
      </c>
      <c r="Z154" s="180">
        <v>0</v>
      </c>
      <c r="AA154" s="180">
        <v>0</v>
      </c>
      <c r="AB154" s="180">
        <v>0</v>
      </c>
      <c r="AC154" s="180">
        <v>0</v>
      </c>
      <c r="AD154" s="180">
        <v>0</v>
      </c>
      <c r="AE154" s="180">
        <v>0</v>
      </c>
      <c r="AF154" s="180">
        <v>0</v>
      </c>
      <c r="AG154" s="180">
        <v>0</v>
      </c>
      <c r="AH154" s="180">
        <v>0</v>
      </c>
      <c r="AI154" s="180">
        <v>0</v>
      </c>
      <c r="AJ154" s="180">
        <v>0</v>
      </c>
      <c r="AK154" s="180">
        <v>0</v>
      </c>
      <c r="AL154" s="180">
        <v>0</v>
      </c>
      <c r="AM154" s="180">
        <v>0</v>
      </c>
      <c r="AN154" s="180">
        <v>0</v>
      </c>
      <c r="AO154" s="180"/>
      <c r="AP154" s="180">
        <v>0</v>
      </c>
      <c r="AQ154" s="180">
        <v>375689</v>
      </c>
      <c r="AR154" s="180"/>
      <c r="AS154" s="180"/>
      <c r="AT154" s="180"/>
      <c r="AU154" s="180">
        <v>2012085</v>
      </c>
      <c r="AV154" s="180">
        <v>0</v>
      </c>
      <c r="AW154" s="180"/>
      <c r="AX154" s="180">
        <v>0</v>
      </c>
      <c r="AY154" s="180">
        <v>0</v>
      </c>
      <c r="AZ154" s="180"/>
      <c r="BA154" s="180">
        <v>0</v>
      </c>
      <c r="BB154" s="180">
        <v>0</v>
      </c>
      <c r="BC154" s="180"/>
      <c r="BD154" s="180">
        <v>0</v>
      </c>
      <c r="BE154" s="180">
        <v>0</v>
      </c>
      <c r="BF154" s="180"/>
      <c r="BG154" s="180"/>
      <c r="BH154" s="180">
        <v>0</v>
      </c>
      <c r="BI154" s="180">
        <v>0</v>
      </c>
      <c r="BJ154" s="180">
        <v>0</v>
      </c>
      <c r="BK154" s="180">
        <v>0</v>
      </c>
      <c r="BL154" s="180">
        <v>0</v>
      </c>
      <c r="BM154" s="180">
        <v>0</v>
      </c>
      <c r="BN154" s="180">
        <v>0</v>
      </c>
      <c r="BO154" s="180">
        <v>0</v>
      </c>
      <c r="BP154" s="180">
        <v>0</v>
      </c>
      <c r="BQ154" s="180">
        <v>0</v>
      </c>
      <c r="BR154" s="180">
        <v>0</v>
      </c>
      <c r="BS154" s="180">
        <v>0</v>
      </c>
      <c r="BT154" s="180">
        <v>0</v>
      </c>
      <c r="BU154" s="180">
        <v>0</v>
      </c>
      <c r="BV154" s="180">
        <v>0</v>
      </c>
      <c r="BW154" s="180">
        <v>0</v>
      </c>
      <c r="BX154" s="180"/>
      <c r="BY154" s="180">
        <v>0</v>
      </c>
      <c r="BZ154" s="180">
        <v>0</v>
      </c>
      <c r="CA154" s="180">
        <v>0</v>
      </c>
      <c r="CB154" s="180"/>
      <c r="CC154" s="180"/>
      <c r="CD154" s="180"/>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586</v>
      </c>
      <c r="B155" s="180" t="s">
        <v>951</v>
      </c>
      <c r="C155" s="180"/>
      <c r="D155" s="180">
        <v>0</v>
      </c>
      <c r="E155" s="180">
        <v>0</v>
      </c>
      <c r="F155" s="180"/>
      <c r="G155" s="180">
        <v>0</v>
      </c>
      <c r="H155" s="180">
        <v>0</v>
      </c>
      <c r="I155" s="180">
        <v>0</v>
      </c>
      <c r="J155" s="180">
        <v>0</v>
      </c>
      <c r="K155" s="180">
        <v>298153</v>
      </c>
      <c r="L155" s="180">
        <v>0</v>
      </c>
      <c r="M155" s="180"/>
      <c r="N155" s="180">
        <v>0</v>
      </c>
      <c r="O155" s="180"/>
      <c r="P155" s="180">
        <v>0</v>
      </c>
      <c r="Q155" s="180">
        <v>0</v>
      </c>
      <c r="R155" s="180">
        <v>0</v>
      </c>
      <c r="S155" s="180">
        <v>0</v>
      </c>
      <c r="T155" s="180">
        <v>0</v>
      </c>
      <c r="U155" s="180">
        <v>0</v>
      </c>
      <c r="V155" s="180">
        <v>0</v>
      </c>
      <c r="W155" s="180">
        <v>0</v>
      </c>
      <c r="X155" s="180">
        <v>0</v>
      </c>
      <c r="Y155" s="180">
        <v>0</v>
      </c>
      <c r="Z155" s="180">
        <v>0</v>
      </c>
      <c r="AA155" s="180">
        <v>0</v>
      </c>
      <c r="AB155" s="180">
        <v>0</v>
      </c>
      <c r="AC155" s="180">
        <v>0</v>
      </c>
      <c r="AD155" s="180">
        <v>0</v>
      </c>
      <c r="AE155" s="180">
        <v>0</v>
      </c>
      <c r="AF155" s="180">
        <v>0</v>
      </c>
      <c r="AG155" s="180">
        <v>0</v>
      </c>
      <c r="AH155" s="180">
        <v>0</v>
      </c>
      <c r="AI155" s="180">
        <v>0</v>
      </c>
      <c r="AJ155" s="180">
        <v>0</v>
      </c>
      <c r="AK155" s="180">
        <v>0</v>
      </c>
      <c r="AL155" s="180">
        <v>0</v>
      </c>
      <c r="AM155" s="180">
        <v>0</v>
      </c>
      <c r="AN155" s="180">
        <v>0</v>
      </c>
      <c r="AO155" s="180"/>
      <c r="AP155" s="180">
        <v>0</v>
      </c>
      <c r="AQ155" s="180">
        <v>0</v>
      </c>
      <c r="AR155" s="180"/>
      <c r="AS155" s="180"/>
      <c r="AT155" s="180"/>
      <c r="AU155" s="180">
        <v>0</v>
      </c>
      <c r="AV155" s="180">
        <v>0</v>
      </c>
      <c r="AW155" s="180"/>
      <c r="AX155" s="180">
        <v>0</v>
      </c>
      <c r="AY155" s="180">
        <v>0</v>
      </c>
      <c r="AZ155" s="180"/>
      <c r="BA155" s="180">
        <v>0</v>
      </c>
      <c r="BB155" s="180">
        <v>0</v>
      </c>
      <c r="BC155" s="180"/>
      <c r="BD155" s="180">
        <v>0</v>
      </c>
      <c r="BE155" s="180">
        <v>0</v>
      </c>
      <c r="BF155" s="180"/>
      <c r="BG155" s="180"/>
      <c r="BH155" s="180">
        <v>0</v>
      </c>
      <c r="BI155" s="180">
        <v>0</v>
      </c>
      <c r="BJ155" s="180">
        <v>0</v>
      </c>
      <c r="BK155" s="180">
        <v>0</v>
      </c>
      <c r="BL155" s="180">
        <v>0</v>
      </c>
      <c r="BM155" s="180">
        <v>0</v>
      </c>
      <c r="BN155" s="180">
        <v>0</v>
      </c>
      <c r="BO155" s="180">
        <v>0</v>
      </c>
      <c r="BP155" s="180">
        <v>0</v>
      </c>
      <c r="BQ155" s="180">
        <v>0</v>
      </c>
      <c r="BR155" s="180">
        <v>0</v>
      </c>
      <c r="BS155" s="180">
        <v>0</v>
      </c>
      <c r="BT155" s="180">
        <v>0</v>
      </c>
      <c r="BU155" s="180">
        <v>0</v>
      </c>
      <c r="BV155" s="180">
        <v>0</v>
      </c>
      <c r="BW155" s="180">
        <v>0</v>
      </c>
      <c r="BX155" s="180"/>
      <c r="BY155" s="180">
        <v>0</v>
      </c>
      <c r="BZ155" s="180">
        <v>0</v>
      </c>
      <c r="CA155" s="180">
        <v>0</v>
      </c>
      <c r="CB155" s="180"/>
      <c r="CC155" s="180"/>
      <c r="CD155" s="180"/>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590</v>
      </c>
      <c r="B156" s="180" t="s">
        <v>1668</v>
      </c>
      <c r="C156" s="180"/>
      <c r="D156" s="180"/>
      <c r="E156" s="180"/>
      <c r="F156" s="180"/>
      <c r="G156" s="180"/>
      <c r="H156" s="180" t="s">
        <v>1669</v>
      </c>
      <c r="I156" s="180"/>
      <c r="J156" s="180"/>
      <c r="K156" s="180"/>
      <c r="L156" s="180"/>
      <c r="M156" s="180"/>
      <c r="N156" s="180"/>
      <c r="O156" s="180"/>
      <c r="P156" s="180"/>
      <c r="Q156" s="180"/>
      <c r="R156" s="180"/>
      <c r="S156" s="180"/>
      <c r="T156" s="180"/>
      <c r="U156" s="180"/>
      <c r="V156" s="180" t="s">
        <v>2495</v>
      </c>
      <c r="W156" s="180"/>
      <c r="X156" s="180"/>
      <c r="Y156" s="180"/>
      <c r="Z156" s="180"/>
      <c r="AA156" s="180"/>
      <c r="AB156" s="180"/>
      <c r="AC156" s="180"/>
      <c r="AD156" s="180"/>
      <c r="AE156" s="180"/>
      <c r="AF156" s="180"/>
      <c r="AG156" s="180"/>
      <c r="AH156" s="180"/>
      <c r="AI156" s="180" t="s">
        <v>2496</v>
      </c>
      <c r="AJ156" s="180"/>
      <c r="AK156" s="180"/>
      <c r="AL156" s="180"/>
      <c r="AM156" s="180"/>
      <c r="AN156" s="180"/>
      <c r="AO156" s="180"/>
      <c r="AP156" s="180"/>
      <c r="AQ156" s="180"/>
      <c r="AR156" s="180"/>
      <c r="AS156" s="180"/>
      <c r="AT156" s="180"/>
      <c r="AU156" s="180"/>
      <c r="AV156" s="180"/>
      <c r="AW156" s="180"/>
      <c r="AX156" s="180"/>
      <c r="AY156" s="180"/>
      <c r="AZ156" s="180"/>
      <c r="BA156" s="180"/>
      <c r="BB156" s="180"/>
      <c r="BC156" s="180"/>
      <c r="BD156" s="180"/>
      <c r="BE156" s="180"/>
      <c r="BF156" s="180"/>
      <c r="BG156" s="180"/>
      <c r="BH156" s="180" t="s">
        <v>1669</v>
      </c>
      <c r="BI156" s="180"/>
      <c r="BJ156" s="180"/>
      <c r="BK156" s="180"/>
      <c r="BL156" s="180"/>
      <c r="BM156" s="180"/>
      <c r="BN156" s="180"/>
      <c r="BO156" s="180"/>
      <c r="BP156" s="180"/>
      <c r="BQ156" s="180"/>
      <c r="BR156" s="180"/>
      <c r="BS156" s="180"/>
      <c r="BT156" s="180" t="s">
        <v>1670</v>
      </c>
      <c r="BU156" s="180"/>
      <c r="BV156" s="180"/>
      <c r="BW156" s="180"/>
      <c r="BX156" s="180"/>
      <c r="BY156" s="180"/>
      <c r="BZ156" s="180"/>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s="571" customFormat="1" x14ac:dyDescent="0.3">
      <c r="A157" s="570">
        <v>591</v>
      </c>
      <c r="B157" s="571" t="s">
        <v>329</v>
      </c>
      <c r="D157" s="571">
        <v>0</v>
      </c>
      <c r="E157" s="571">
        <v>664043</v>
      </c>
      <c r="G157" s="571">
        <v>33066443</v>
      </c>
      <c r="H157" s="571">
        <v>3255141</v>
      </c>
      <c r="I157" s="571">
        <v>218815</v>
      </c>
      <c r="J157" s="571">
        <v>970489</v>
      </c>
      <c r="K157" s="571">
        <v>964298</v>
      </c>
      <c r="L157" s="571">
        <v>26462540</v>
      </c>
      <c r="N157" s="571">
        <v>767026</v>
      </c>
      <c r="P157" s="571">
        <v>1197898</v>
      </c>
      <c r="Q157" s="571">
        <v>4122059</v>
      </c>
      <c r="R157" s="571">
        <v>6099872</v>
      </c>
      <c r="S157" s="571">
        <v>28939363</v>
      </c>
      <c r="T157" s="571">
        <v>319632</v>
      </c>
      <c r="U157" s="571">
        <v>61324722</v>
      </c>
      <c r="V157" s="571">
        <v>0</v>
      </c>
      <c r="W157" s="571">
        <v>0</v>
      </c>
      <c r="X157" s="571">
        <v>3008</v>
      </c>
      <c r="Y157" s="571">
        <v>2061164</v>
      </c>
      <c r="Z157" s="571">
        <v>4806968</v>
      </c>
      <c r="AA157" s="571">
        <v>2130603</v>
      </c>
      <c r="AB157" s="571">
        <v>0</v>
      </c>
      <c r="AC157" s="571">
        <v>94373</v>
      </c>
      <c r="AD157" s="571">
        <v>1030120</v>
      </c>
      <c r="AE157" s="571">
        <v>7737227</v>
      </c>
      <c r="AF157" s="571">
        <v>79684</v>
      </c>
      <c r="AG157" s="571">
        <v>0</v>
      </c>
      <c r="AH157" s="571">
        <v>0</v>
      </c>
      <c r="AI157" s="571">
        <v>23996</v>
      </c>
      <c r="AJ157" s="571">
        <v>23623612</v>
      </c>
      <c r="AK157" s="571">
        <v>313627</v>
      </c>
      <c r="AL157" s="571">
        <v>0</v>
      </c>
      <c r="AM157" s="571">
        <v>0</v>
      </c>
      <c r="AN157" s="571">
        <v>8162102</v>
      </c>
      <c r="AP157" s="571">
        <v>0</v>
      </c>
      <c r="AQ157" s="571">
        <v>71054148</v>
      </c>
      <c r="AU157" s="571">
        <v>14559896</v>
      </c>
      <c r="AV157" s="571">
        <v>433447</v>
      </c>
      <c r="AX157" s="571">
        <v>1437399</v>
      </c>
      <c r="AY157" s="571">
        <v>2083766</v>
      </c>
      <c r="BA157" s="571">
        <v>21913</v>
      </c>
      <c r="BB157" s="571">
        <v>1952255</v>
      </c>
      <c r="BD157" s="571">
        <v>0</v>
      </c>
      <c r="BE157" s="571">
        <v>43546578</v>
      </c>
      <c r="BH157" s="571">
        <v>1974222</v>
      </c>
      <c r="BI157" s="571">
        <v>872526</v>
      </c>
      <c r="BJ157" s="571">
        <v>635017</v>
      </c>
      <c r="BK157" s="571">
        <v>10282747</v>
      </c>
      <c r="BL157" s="571">
        <v>1904100</v>
      </c>
      <c r="BM157" s="571">
        <v>0</v>
      </c>
      <c r="BN157" s="571">
        <v>4616549</v>
      </c>
      <c r="BO157" s="571">
        <v>1102009</v>
      </c>
      <c r="BP157" s="571">
        <v>847295</v>
      </c>
      <c r="BQ157" s="571">
        <v>0</v>
      </c>
      <c r="BR157" s="571">
        <v>0</v>
      </c>
      <c r="BS157" s="571">
        <v>0</v>
      </c>
      <c r="BT157" s="571">
        <v>999221</v>
      </c>
      <c r="BU157" s="571">
        <v>2144411</v>
      </c>
      <c r="BV157" s="571">
        <v>650845</v>
      </c>
      <c r="BW157" s="571">
        <v>1585196</v>
      </c>
      <c r="BY157" s="571">
        <v>0</v>
      </c>
      <c r="BZ157" s="571">
        <v>7656972</v>
      </c>
      <c r="CA157" s="571">
        <v>0</v>
      </c>
    </row>
    <row r="158" spans="1:99" s="571" customFormat="1" x14ac:dyDescent="0.3">
      <c r="A158" s="570">
        <v>592</v>
      </c>
      <c r="B158" s="571" t="s">
        <v>330</v>
      </c>
      <c r="D158" s="571">
        <v>0</v>
      </c>
      <c r="E158" s="571">
        <v>1035240</v>
      </c>
      <c r="G158" s="571">
        <v>5466685</v>
      </c>
      <c r="H158" s="571">
        <v>930317</v>
      </c>
      <c r="I158" s="571">
        <v>123542</v>
      </c>
      <c r="J158" s="571">
        <v>-107723</v>
      </c>
      <c r="K158" s="571">
        <v>1442567</v>
      </c>
      <c r="L158" s="571">
        <v>-588583</v>
      </c>
      <c r="N158" s="571">
        <v>-166483</v>
      </c>
      <c r="P158" s="571">
        <v>224758</v>
      </c>
      <c r="Q158" s="571">
        <v>1593947</v>
      </c>
      <c r="R158" s="571">
        <v>611103</v>
      </c>
      <c r="S158" s="571">
        <v>-1453910</v>
      </c>
      <c r="T158" s="571">
        <v>94077</v>
      </c>
      <c r="U158" s="571">
        <v>11307738</v>
      </c>
      <c r="V158" s="571">
        <v>0</v>
      </c>
      <c r="W158" s="571">
        <v>0</v>
      </c>
      <c r="X158" s="571">
        <v>-38450</v>
      </c>
      <c r="Y158" s="571">
        <v>384182</v>
      </c>
      <c r="Z158" s="571">
        <v>638594</v>
      </c>
      <c r="AA158" s="571">
        <v>1013296</v>
      </c>
      <c r="AB158" s="571">
        <v>0</v>
      </c>
      <c r="AC158" s="571">
        <v>37880</v>
      </c>
      <c r="AD158" s="571">
        <v>393505</v>
      </c>
      <c r="AE158" s="571">
        <v>811139</v>
      </c>
      <c r="AF158" s="571">
        <v>-31663</v>
      </c>
      <c r="AG158" s="571">
        <v>0</v>
      </c>
      <c r="AH158" s="571">
        <v>0</v>
      </c>
      <c r="AI158" s="571">
        <v>-871845</v>
      </c>
      <c r="AJ158" s="571">
        <v>159143</v>
      </c>
      <c r="AK158" s="571">
        <v>-68032</v>
      </c>
      <c r="AL158" s="571">
        <v>0</v>
      </c>
      <c r="AM158" s="571">
        <v>0</v>
      </c>
      <c r="AN158" s="571">
        <v>1568225</v>
      </c>
      <c r="AP158" s="571">
        <v>0</v>
      </c>
      <c r="AQ158" s="571">
        <v>3777572</v>
      </c>
      <c r="AU158" s="571">
        <v>916632</v>
      </c>
      <c r="AV158" s="571">
        <v>67536</v>
      </c>
      <c r="AX158" s="571">
        <v>1220552</v>
      </c>
      <c r="AY158" s="571">
        <v>-142976</v>
      </c>
      <c r="BA158" s="571">
        <v>-4335</v>
      </c>
      <c r="BB158" s="571">
        <v>241053</v>
      </c>
      <c r="BD158" s="571">
        <v>0</v>
      </c>
      <c r="BE158" s="571">
        <v>7656443</v>
      </c>
      <c r="BH158" s="571">
        <v>70345</v>
      </c>
      <c r="BI158" s="571">
        <v>298494</v>
      </c>
      <c r="BJ158" s="571">
        <v>816087</v>
      </c>
      <c r="BK158" s="571">
        <v>-948223</v>
      </c>
      <c r="BL158" s="571">
        <v>9496</v>
      </c>
      <c r="BM158" s="571">
        <v>0</v>
      </c>
      <c r="BN158" s="571">
        <v>500784</v>
      </c>
      <c r="BO158" s="571">
        <v>159485</v>
      </c>
      <c r="BP158" s="571">
        <v>87531</v>
      </c>
      <c r="BQ158" s="571">
        <v>0</v>
      </c>
      <c r="BR158" s="571">
        <v>0</v>
      </c>
      <c r="BS158" s="571">
        <v>0</v>
      </c>
      <c r="BT158" s="571">
        <v>-15393</v>
      </c>
      <c r="BU158" s="571">
        <v>1096183</v>
      </c>
      <c r="BV158" s="571">
        <v>253216</v>
      </c>
      <c r="BW158" s="571">
        <v>216565</v>
      </c>
      <c r="BY158" s="571">
        <v>0</v>
      </c>
      <c r="BZ158" s="571">
        <v>8002436</v>
      </c>
      <c r="CA158" s="571">
        <v>0</v>
      </c>
    </row>
    <row r="159" spans="1:99" x14ac:dyDescent="0.3">
      <c r="A159" s="155">
        <v>596</v>
      </c>
      <c r="B159" s="180" t="s">
        <v>335</v>
      </c>
      <c r="C159" s="180"/>
      <c r="D159" s="180">
        <v>52</v>
      </c>
      <c r="E159" s="180">
        <v>0</v>
      </c>
      <c r="F159" s="180"/>
      <c r="G159" s="180">
        <v>52</v>
      </c>
      <c r="H159" s="180">
        <v>52</v>
      </c>
      <c r="I159" s="180">
        <v>52</v>
      </c>
      <c r="J159" s="180">
        <v>52</v>
      </c>
      <c r="K159" s="180">
        <v>52</v>
      </c>
      <c r="L159" s="180">
        <v>52</v>
      </c>
      <c r="M159" s="180"/>
      <c r="N159" s="180">
        <v>52</v>
      </c>
      <c r="O159" s="180"/>
      <c r="P159" s="180">
        <v>52</v>
      </c>
      <c r="Q159" s="180">
        <v>52</v>
      </c>
      <c r="R159" s="180">
        <v>52</v>
      </c>
      <c r="S159" s="180">
        <v>52</v>
      </c>
      <c r="T159" s="180">
        <v>52</v>
      </c>
      <c r="U159" s="180">
        <v>52</v>
      </c>
      <c r="V159" s="180">
        <v>0</v>
      </c>
      <c r="W159" s="180">
        <v>0</v>
      </c>
      <c r="X159" s="180">
        <v>51</v>
      </c>
      <c r="Y159" s="180">
        <v>52</v>
      </c>
      <c r="Z159" s="180">
        <v>52</v>
      </c>
      <c r="AA159" s="180">
        <v>52</v>
      </c>
      <c r="AB159" s="180">
        <v>0</v>
      </c>
      <c r="AC159" s="180">
        <v>52</v>
      </c>
      <c r="AD159" s="180">
        <v>52</v>
      </c>
      <c r="AE159" s="180">
        <v>52</v>
      </c>
      <c r="AF159" s="180">
        <v>52</v>
      </c>
      <c r="AG159" s="180">
        <v>0</v>
      </c>
      <c r="AH159" s="180">
        <v>0</v>
      </c>
      <c r="AI159" s="180">
        <v>51</v>
      </c>
      <c r="AJ159" s="180">
        <v>52</v>
      </c>
      <c r="AK159" s="180">
        <v>52</v>
      </c>
      <c r="AL159" s="180">
        <v>0</v>
      </c>
      <c r="AM159" s="180">
        <v>52</v>
      </c>
      <c r="AN159" s="180">
        <v>52</v>
      </c>
      <c r="AO159" s="180"/>
      <c r="AP159" s="180">
        <v>52</v>
      </c>
      <c r="AQ159" s="180">
        <v>52</v>
      </c>
      <c r="AR159" s="180"/>
      <c r="AS159" s="180"/>
      <c r="AT159" s="180"/>
      <c r="AU159" s="180">
        <v>52</v>
      </c>
      <c r="AV159" s="180">
        <v>52</v>
      </c>
      <c r="AW159" s="180"/>
      <c r="AX159" s="180">
        <v>52</v>
      </c>
      <c r="AY159" s="180">
        <v>52</v>
      </c>
      <c r="AZ159" s="180"/>
      <c r="BA159" s="180">
        <v>52</v>
      </c>
      <c r="BB159" s="180">
        <v>52</v>
      </c>
      <c r="BC159" s="180"/>
      <c r="BD159" s="180">
        <v>52</v>
      </c>
      <c r="BE159" s="180">
        <v>52</v>
      </c>
      <c r="BF159" s="180"/>
      <c r="BG159" s="180"/>
      <c r="BH159" s="180">
        <v>52</v>
      </c>
      <c r="BI159" s="180">
        <v>52</v>
      </c>
      <c r="BJ159" s="180">
        <v>52</v>
      </c>
      <c r="BK159" s="180">
        <v>52</v>
      </c>
      <c r="BL159" s="180">
        <v>52</v>
      </c>
      <c r="BM159" s="180">
        <v>0</v>
      </c>
      <c r="BN159" s="180">
        <v>52</v>
      </c>
      <c r="BO159" s="180">
        <v>52</v>
      </c>
      <c r="BP159" s="180">
        <v>52</v>
      </c>
      <c r="BQ159" s="180">
        <v>52</v>
      </c>
      <c r="BR159" s="180">
        <v>52</v>
      </c>
      <c r="BS159" s="180">
        <v>52</v>
      </c>
      <c r="BT159" s="180">
        <v>52</v>
      </c>
      <c r="BU159" s="180">
        <v>0</v>
      </c>
      <c r="BV159" s="180">
        <v>52</v>
      </c>
      <c r="BW159" s="180">
        <v>52</v>
      </c>
      <c r="BX159" s="180"/>
      <c r="BY159" s="180">
        <v>0</v>
      </c>
      <c r="BZ159" s="180">
        <v>52</v>
      </c>
      <c r="CA159" s="180">
        <v>52</v>
      </c>
      <c r="CB159" s="180"/>
      <c r="CC159" s="180"/>
      <c r="CD159" s="180"/>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597</v>
      </c>
      <c r="B160" s="180" t="s">
        <v>338</v>
      </c>
      <c r="C160" s="180"/>
      <c r="D160" s="180">
        <v>3595</v>
      </c>
      <c r="E160" s="180">
        <v>0</v>
      </c>
      <c r="F160" s="180"/>
      <c r="G160" s="180">
        <v>30584</v>
      </c>
      <c r="H160" s="180">
        <v>50030</v>
      </c>
      <c r="I160" s="180">
        <v>1576</v>
      </c>
      <c r="J160" s="180">
        <v>21599</v>
      </c>
      <c r="K160" s="180">
        <v>1991</v>
      </c>
      <c r="L160" s="180">
        <v>203099</v>
      </c>
      <c r="M160" s="180"/>
      <c r="N160" s="180">
        <v>1810</v>
      </c>
      <c r="O160" s="180"/>
      <c r="P160" s="180">
        <v>106663</v>
      </c>
      <c r="Q160" s="180">
        <v>-1193244</v>
      </c>
      <c r="R160" s="180">
        <v>10628</v>
      </c>
      <c r="S160" s="180">
        <v>74046</v>
      </c>
      <c r="T160" s="180">
        <v>26</v>
      </c>
      <c r="U160" s="180">
        <v>102864</v>
      </c>
      <c r="V160" s="180">
        <v>90</v>
      </c>
      <c r="W160" s="180">
        <v>0</v>
      </c>
      <c r="X160" s="180">
        <v>37486</v>
      </c>
      <c r="Y160" s="180">
        <v>5220</v>
      </c>
      <c r="Z160" s="180">
        <v>12786</v>
      </c>
      <c r="AA160" s="180">
        <v>7707</v>
      </c>
      <c r="AB160" s="180">
        <v>1132</v>
      </c>
      <c r="AC160" s="180">
        <v>146</v>
      </c>
      <c r="AD160" s="180">
        <v>1279</v>
      </c>
      <c r="AE160" s="180">
        <v>11010</v>
      </c>
      <c r="AF160" s="180">
        <v>1196</v>
      </c>
      <c r="AG160" s="180">
        <v>24</v>
      </c>
      <c r="AH160" s="180">
        <v>646</v>
      </c>
      <c r="AI160" s="180">
        <v>3104</v>
      </c>
      <c r="AJ160" s="180">
        <v>28515</v>
      </c>
      <c r="AK160" s="180">
        <v>478</v>
      </c>
      <c r="AL160" s="180">
        <v>677</v>
      </c>
      <c r="AM160" s="180">
        <v>37127</v>
      </c>
      <c r="AN160" s="180">
        <v>40042</v>
      </c>
      <c r="AO160" s="180"/>
      <c r="AP160" s="180">
        <v>0</v>
      </c>
      <c r="AQ160" s="180">
        <v>163483</v>
      </c>
      <c r="AR160" s="180"/>
      <c r="AS160" s="180"/>
      <c r="AT160" s="180"/>
      <c r="AU160" s="180">
        <v>115014</v>
      </c>
      <c r="AV160" s="180">
        <v>3536</v>
      </c>
      <c r="AW160" s="180"/>
      <c r="AX160" s="180">
        <v>7420</v>
      </c>
      <c r="AY160" s="180">
        <v>7355</v>
      </c>
      <c r="AZ160" s="180"/>
      <c r="BA160" s="180">
        <v>45</v>
      </c>
      <c r="BB160" s="180">
        <v>3446</v>
      </c>
      <c r="BC160" s="180"/>
      <c r="BD160" s="180">
        <v>629</v>
      </c>
      <c r="BE160" s="180">
        <v>17348</v>
      </c>
      <c r="BF160" s="180"/>
      <c r="BG160" s="180"/>
      <c r="BH160" s="180">
        <v>7534</v>
      </c>
      <c r="BI160" s="180">
        <v>7805</v>
      </c>
      <c r="BJ160" s="180">
        <v>512</v>
      </c>
      <c r="BK160" s="180">
        <v>16609</v>
      </c>
      <c r="BL160" s="180">
        <v>18744</v>
      </c>
      <c r="BM160" s="180">
        <v>124</v>
      </c>
      <c r="BN160" s="180">
        <v>10799</v>
      </c>
      <c r="BO160" s="180">
        <v>0</v>
      </c>
      <c r="BP160" s="180">
        <v>1829</v>
      </c>
      <c r="BQ160" s="180">
        <v>3796</v>
      </c>
      <c r="BR160" s="180">
        <v>3033</v>
      </c>
      <c r="BS160" s="180">
        <v>39664</v>
      </c>
      <c r="BT160" s="180">
        <v>4706</v>
      </c>
      <c r="BU160" s="180">
        <v>19378</v>
      </c>
      <c r="BV160" s="180">
        <v>0</v>
      </c>
      <c r="BW160" s="180">
        <v>4418</v>
      </c>
      <c r="BX160" s="180"/>
      <c r="BY160" s="180">
        <v>215</v>
      </c>
      <c r="BZ160" s="180">
        <v>26692</v>
      </c>
      <c r="CA160" s="180">
        <v>43</v>
      </c>
      <c r="CB160" s="180"/>
      <c r="CC160" s="180"/>
      <c r="CD160" s="180"/>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598</v>
      </c>
      <c r="B161" s="180" t="s">
        <v>343</v>
      </c>
      <c r="C161" s="180"/>
      <c r="D161" s="180">
        <v>0</v>
      </c>
      <c r="E161" s="180">
        <v>0</v>
      </c>
      <c r="F161" s="180"/>
      <c r="G161" s="180">
        <v>327763</v>
      </c>
      <c r="H161" s="180">
        <v>0</v>
      </c>
      <c r="I161" s="180">
        <v>0</v>
      </c>
      <c r="J161" s="180">
        <v>15070</v>
      </c>
      <c r="K161" s="180">
        <v>14408</v>
      </c>
      <c r="L161" s="180">
        <v>460059</v>
      </c>
      <c r="M161" s="180"/>
      <c r="N161" s="180">
        <v>0</v>
      </c>
      <c r="O161" s="180"/>
      <c r="P161" s="180">
        <v>210310</v>
      </c>
      <c r="Q161" s="180">
        <v>48631</v>
      </c>
      <c r="R161" s="180">
        <v>21694</v>
      </c>
      <c r="S161" s="180">
        <v>44622</v>
      </c>
      <c r="T161" s="180">
        <v>0</v>
      </c>
      <c r="U161" s="180">
        <v>245417</v>
      </c>
      <c r="V161" s="180">
        <v>0</v>
      </c>
      <c r="W161" s="180">
        <v>88987</v>
      </c>
      <c r="X161" s="180">
        <v>61543</v>
      </c>
      <c r="Y161" s="180">
        <v>20758</v>
      </c>
      <c r="Z161" s="180">
        <v>0</v>
      </c>
      <c r="AA161" s="180">
        <v>19712</v>
      </c>
      <c r="AB161" s="180">
        <v>0</v>
      </c>
      <c r="AC161" s="180">
        <v>0</v>
      </c>
      <c r="AD161" s="180">
        <v>0</v>
      </c>
      <c r="AE161" s="180">
        <v>6994</v>
      </c>
      <c r="AF161" s="180">
        <v>0</v>
      </c>
      <c r="AG161" s="180">
        <v>0</v>
      </c>
      <c r="AH161" s="180">
        <v>0</v>
      </c>
      <c r="AI161" s="180">
        <v>0</v>
      </c>
      <c r="AJ161" s="180">
        <v>70394</v>
      </c>
      <c r="AK161" s="180">
        <v>0</v>
      </c>
      <c r="AL161" s="180">
        <v>0</v>
      </c>
      <c r="AM161" s="180">
        <v>0</v>
      </c>
      <c r="AN161" s="180">
        <v>87522</v>
      </c>
      <c r="AO161" s="180"/>
      <c r="AP161" s="180">
        <v>0</v>
      </c>
      <c r="AQ161" s="180">
        <v>208265</v>
      </c>
      <c r="AR161" s="180"/>
      <c r="AS161" s="180"/>
      <c r="AT161" s="180"/>
      <c r="AU161" s="180">
        <v>81749</v>
      </c>
      <c r="AV161" s="180">
        <v>0</v>
      </c>
      <c r="AW161" s="180"/>
      <c r="AX161" s="180">
        <v>18594</v>
      </c>
      <c r="AY161" s="180">
        <v>13793</v>
      </c>
      <c r="AZ161" s="180"/>
      <c r="BA161" s="180">
        <v>0</v>
      </c>
      <c r="BB161" s="180">
        <v>19127</v>
      </c>
      <c r="BC161" s="180"/>
      <c r="BD161" s="180">
        <v>0</v>
      </c>
      <c r="BE161" s="180">
        <v>474285</v>
      </c>
      <c r="BF161" s="180"/>
      <c r="BG161" s="180"/>
      <c r="BH161" s="180">
        <v>18502</v>
      </c>
      <c r="BI161" s="180">
        <v>42444</v>
      </c>
      <c r="BJ161" s="180">
        <v>0</v>
      </c>
      <c r="BK161" s="180">
        <v>5002</v>
      </c>
      <c r="BL161" s="180">
        <v>15779</v>
      </c>
      <c r="BM161" s="180">
        <v>0</v>
      </c>
      <c r="BN161" s="180">
        <v>35810</v>
      </c>
      <c r="BO161" s="180">
        <v>10318</v>
      </c>
      <c r="BP161" s="180">
        <v>26285</v>
      </c>
      <c r="BQ161" s="180">
        <v>0</v>
      </c>
      <c r="BR161" s="180">
        <v>0</v>
      </c>
      <c r="BS161" s="180">
        <v>105279</v>
      </c>
      <c r="BT161" s="180">
        <v>12379</v>
      </c>
      <c r="BU161" s="180">
        <v>24120</v>
      </c>
      <c r="BV161" s="180">
        <v>0</v>
      </c>
      <c r="BW161" s="180">
        <v>0</v>
      </c>
      <c r="BX161" s="180"/>
      <c r="BY161" s="180">
        <v>0</v>
      </c>
      <c r="BZ161" s="180">
        <v>0</v>
      </c>
      <c r="CA161" s="180">
        <v>0</v>
      </c>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599</v>
      </c>
      <c r="B162" s="180" t="s">
        <v>342</v>
      </c>
      <c r="C162" s="180"/>
      <c r="D162" s="180">
        <v>128474</v>
      </c>
      <c r="E162" s="180">
        <v>0</v>
      </c>
      <c r="F162" s="180"/>
      <c r="G162" s="180">
        <v>5018606</v>
      </c>
      <c r="H162" s="180">
        <v>0</v>
      </c>
      <c r="I162" s="180">
        <v>0</v>
      </c>
      <c r="J162" s="180">
        <v>229869</v>
      </c>
      <c r="K162" s="180">
        <v>255931</v>
      </c>
      <c r="L162" s="180">
        <v>10190363</v>
      </c>
      <c r="M162" s="180"/>
      <c r="N162" s="180">
        <v>155442</v>
      </c>
      <c r="O162" s="180"/>
      <c r="P162" s="180">
        <v>3931493</v>
      </c>
      <c r="Q162" s="180">
        <v>1536899</v>
      </c>
      <c r="R162" s="180">
        <v>722350</v>
      </c>
      <c r="S162" s="180">
        <v>1685091</v>
      </c>
      <c r="T162" s="180">
        <v>0</v>
      </c>
      <c r="U162" s="180">
        <v>4247038</v>
      </c>
      <c r="V162" s="180">
        <v>0</v>
      </c>
      <c r="W162" s="180">
        <v>1080400</v>
      </c>
      <c r="X162" s="180">
        <v>1607804</v>
      </c>
      <c r="Y162" s="180">
        <v>555820</v>
      </c>
      <c r="Z162" s="180">
        <v>0</v>
      </c>
      <c r="AA162" s="180">
        <v>364542</v>
      </c>
      <c r="AB162" s="180">
        <v>0</v>
      </c>
      <c r="AC162" s="180">
        <v>0</v>
      </c>
      <c r="AD162" s="180">
        <v>98723</v>
      </c>
      <c r="AE162" s="180">
        <v>316084</v>
      </c>
      <c r="AF162" s="180">
        <v>0</v>
      </c>
      <c r="AG162" s="180">
        <v>0</v>
      </c>
      <c r="AH162" s="180">
        <v>0</v>
      </c>
      <c r="AI162" s="180">
        <v>160080</v>
      </c>
      <c r="AJ162" s="180">
        <v>1939078</v>
      </c>
      <c r="AK162" s="180">
        <v>0</v>
      </c>
      <c r="AL162" s="180">
        <v>0</v>
      </c>
      <c r="AM162" s="180">
        <v>1238639</v>
      </c>
      <c r="AN162" s="180">
        <v>2548160</v>
      </c>
      <c r="AO162" s="180"/>
      <c r="AP162" s="180">
        <v>0</v>
      </c>
      <c r="AQ162" s="180">
        <v>3149295</v>
      </c>
      <c r="AR162" s="180"/>
      <c r="AS162" s="180"/>
      <c r="AT162" s="180"/>
      <c r="AU162" s="180">
        <v>1531315</v>
      </c>
      <c r="AV162" s="180">
        <v>0</v>
      </c>
      <c r="AW162" s="180"/>
      <c r="AX162" s="180">
        <v>453822</v>
      </c>
      <c r="AY162" s="180">
        <v>797921</v>
      </c>
      <c r="AZ162" s="180"/>
      <c r="BA162" s="180">
        <v>0</v>
      </c>
      <c r="BB162" s="180">
        <v>330700</v>
      </c>
      <c r="BC162" s="180"/>
      <c r="BD162" s="180">
        <v>0</v>
      </c>
      <c r="BE162" s="180">
        <v>4365524</v>
      </c>
      <c r="BF162" s="180"/>
      <c r="BG162" s="180"/>
      <c r="BH162" s="180">
        <v>624202</v>
      </c>
      <c r="BI162" s="180">
        <v>476050</v>
      </c>
      <c r="BJ162" s="180">
        <v>17382</v>
      </c>
      <c r="BK162" s="180">
        <v>739288</v>
      </c>
      <c r="BL162" s="180">
        <v>458110</v>
      </c>
      <c r="BM162" s="180">
        <v>0</v>
      </c>
      <c r="BN162" s="180">
        <v>959581</v>
      </c>
      <c r="BO162" s="180">
        <v>142332</v>
      </c>
      <c r="BP162" s="180">
        <v>67148</v>
      </c>
      <c r="BQ162" s="180">
        <v>322364</v>
      </c>
      <c r="BR162" s="180">
        <v>0</v>
      </c>
      <c r="BS162" s="180">
        <v>3635011</v>
      </c>
      <c r="BT162" s="180">
        <v>87266</v>
      </c>
      <c r="BU162" s="180">
        <v>755338</v>
      </c>
      <c r="BV162" s="180">
        <v>49665</v>
      </c>
      <c r="BW162" s="180">
        <v>0</v>
      </c>
      <c r="BX162" s="180"/>
      <c r="BY162" s="180">
        <v>0</v>
      </c>
      <c r="BZ162" s="180">
        <v>1503388</v>
      </c>
      <c r="CA162" s="180">
        <v>0</v>
      </c>
      <c r="CB162" s="180"/>
      <c r="CC162" s="180"/>
      <c r="CD162" s="180"/>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602</v>
      </c>
      <c r="B163" s="180" t="s">
        <v>344</v>
      </c>
      <c r="C163" s="180"/>
      <c r="D163" s="180">
        <v>0</v>
      </c>
      <c r="E163" s="180">
        <v>0</v>
      </c>
      <c r="F163" s="180"/>
      <c r="G163" s="180">
        <v>0</v>
      </c>
      <c r="H163" s="180">
        <v>0</v>
      </c>
      <c r="I163" s="180">
        <v>0</v>
      </c>
      <c r="J163" s="180">
        <v>0</v>
      </c>
      <c r="K163" s="180">
        <v>0</v>
      </c>
      <c r="L163" s="180">
        <v>0</v>
      </c>
      <c r="M163" s="180"/>
      <c r="N163" s="180">
        <v>0</v>
      </c>
      <c r="O163" s="180"/>
      <c r="P163" s="180">
        <v>0</v>
      </c>
      <c r="Q163" s="180">
        <v>0</v>
      </c>
      <c r="R163" s="180">
        <v>0</v>
      </c>
      <c r="S163" s="180">
        <v>0</v>
      </c>
      <c r="T163" s="180">
        <v>0</v>
      </c>
      <c r="U163" s="180">
        <v>0</v>
      </c>
      <c r="V163" s="180">
        <v>0</v>
      </c>
      <c r="W163" s="180">
        <v>0</v>
      </c>
      <c r="X163" s="180">
        <v>0</v>
      </c>
      <c r="Y163" s="180">
        <v>0</v>
      </c>
      <c r="Z163" s="180">
        <v>0</v>
      </c>
      <c r="AA163" s="180">
        <v>0</v>
      </c>
      <c r="AB163" s="180">
        <v>0</v>
      </c>
      <c r="AC163" s="180">
        <v>0</v>
      </c>
      <c r="AD163" s="180">
        <v>0</v>
      </c>
      <c r="AE163" s="180">
        <v>0</v>
      </c>
      <c r="AF163" s="180">
        <v>0</v>
      </c>
      <c r="AG163" s="180">
        <v>0</v>
      </c>
      <c r="AH163" s="180">
        <v>0</v>
      </c>
      <c r="AI163" s="180">
        <v>0</v>
      </c>
      <c r="AJ163" s="180">
        <v>0</v>
      </c>
      <c r="AK163" s="180">
        <v>0</v>
      </c>
      <c r="AL163" s="180">
        <v>0</v>
      </c>
      <c r="AM163" s="180">
        <v>0</v>
      </c>
      <c r="AN163" s="180">
        <v>0</v>
      </c>
      <c r="AO163" s="180"/>
      <c r="AP163" s="180">
        <v>0</v>
      </c>
      <c r="AQ163" s="180">
        <v>0</v>
      </c>
      <c r="AR163" s="180"/>
      <c r="AS163" s="180"/>
      <c r="AT163" s="180"/>
      <c r="AU163" s="180">
        <v>0</v>
      </c>
      <c r="AV163" s="180">
        <v>0</v>
      </c>
      <c r="AW163" s="180"/>
      <c r="AX163" s="180">
        <v>0</v>
      </c>
      <c r="AY163" s="180">
        <v>0</v>
      </c>
      <c r="AZ163" s="180"/>
      <c r="BA163" s="180">
        <v>0</v>
      </c>
      <c r="BB163" s="180">
        <v>0</v>
      </c>
      <c r="BC163" s="180"/>
      <c r="BD163" s="180">
        <v>0</v>
      </c>
      <c r="BE163" s="180">
        <v>0</v>
      </c>
      <c r="BF163" s="180"/>
      <c r="BG163" s="180"/>
      <c r="BH163" s="180">
        <v>0</v>
      </c>
      <c r="BI163" s="180">
        <v>0</v>
      </c>
      <c r="BJ163" s="180">
        <v>0</v>
      </c>
      <c r="BK163" s="180">
        <v>0</v>
      </c>
      <c r="BL163" s="180">
        <v>0</v>
      </c>
      <c r="BM163" s="180">
        <v>0</v>
      </c>
      <c r="BN163" s="180">
        <v>0</v>
      </c>
      <c r="BO163" s="180">
        <v>0</v>
      </c>
      <c r="BP163" s="180">
        <v>0</v>
      </c>
      <c r="BQ163" s="180">
        <v>0</v>
      </c>
      <c r="BR163" s="180">
        <v>0</v>
      </c>
      <c r="BS163" s="180">
        <v>0</v>
      </c>
      <c r="BT163" s="180">
        <v>0</v>
      </c>
      <c r="BU163" s="180">
        <v>0</v>
      </c>
      <c r="BV163" s="180">
        <v>0</v>
      </c>
      <c r="BW163" s="180">
        <v>0</v>
      </c>
      <c r="BX163" s="180"/>
      <c r="BY163" s="180">
        <v>0</v>
      </c>
      <c r="BZ163" s="180">
        <v>0</v>
      </c>
      <c r="CA163" s="180">
        <v>0</v>
      </c>
      <c r="CB163" s="180"/>
      <c r="CC163" s="180"/>
      <c r="CD163" s="180"/>
      <c r="CE163" s="180"/>
      <c r="CF163" s="180"/>
      <c r="CG163" s="180"/>
      <c r="CH163" s="180"/>
      <c r="CI163" s="180"/>
      <c r="CJ163" s="180"/>
      <c r="CK163" s="180"/>
      <c r="CL163" s="180"/>
      <c r="CM163" s="180"/>
      <c r="CN163" s="180"/>
      <c r="CO163" s="180"/>
      <c r="CP163" s="180"/>
      <c r="CQ163" s="180"/>
      <c r="CR163" s="180"/>
      <c r="CS163" s="180"/>
      <c r="CT163" s="180"/>
      <c r="CU163" s="180"/>
    </row>
    <row r="164" spans="1:99" s="555" customFormat="1" x14ac:dyDescent="0.3">
      <c r="A164" s="558">
        <v>606</v>
      </c>
      <c r="B164" s="555" t="s">
        <v>957</v>
      </c>
      <c r="E164" s="555">
        <v>1</v>
      </c>
      <c r="G164" s="555">
        <v>1</v>
      </c>
      <c r="K164" s="555">
        <v>1</v>
      </c>
      <c r="L164" s="555">
        <v>1</v>
      </c>
      <c r="P164" s="555">
        <v>1</v>
      </c>
      <c r="Q164" s="555">
        <v>1</v>
      </c>
      <c r="S164" s="555">
        <v>0</v>
      </c>
      <c r="U164" s="555">
        <v>1</v>
      </c>
      <c r="X164" s="555">
        <v>1</v>
      </c>
      <c r="Y164" s="555">
        <v>1</v>
      </c>
      <c r="AA164" s="555">
        <v>1</v>
      </c>
      <c r="AJ164" s="555">
        <v>1</v>
      </c>
      <c r="AM164" s="555">
        <v>1</v>
      </c>
      <c r="AN164" s="555">
        <v>1</v>
      </c>
      <c r="AQ164" s="555">
        <v>1</v>
      </c>
      <c r="AU164" s="555">
        <v>1</v>
      </c>
      <c r="BE164" s="555">
        <v>1</v>
      </c>
      <c r="BH164" s="555">
        <v>1</v>
      </c>
      <c r="BJ164" s="555">
        <v>1</v>
      </c>
      <c r="BN164" s="555">
        <v>1</v>
      </c>
      <c r="BS164" s="555">
        <v>1</v>
      </c>
      <c r="BZ164" s="555">
        <v>1</v>
      </c>
    </row>
    <row r="165" spans="1:99" x14ac:dyDescent="0.3">
      <c r="A165" s="155">
        <v>619</v>
      </c>
      <c r="B165" s="180" t="s">
        <v>958</v>
      </c>
      <c r="C165" s="180"/>
      <c r="D165" s="180">
        <v>0</v>
      </c>
      <c r="E165" s="180">
        <v>0</v>
      </c>
      <c r="F165" s="180"/>
      <c r="G165" s="180">
        <v>0</v>
      </c>
      <c r="H165" s="180">
        <v>0</v>
      </c>
      <c r="I165" s="180">
        <v>0</v>
      </c>
      <c r="J165" s="180">
        <v>0</v>
      </c>
      <c r="K165" s="180">
        <v>0</v>
      </c>
      <c r="L165" s="180">
        <v>0</v>
      </c>
      <c r="M165" s="180"/>
      <c r="N165" s="180">
        <v>0</v>
      </c>
      <c r="O165" s="180"/>
      <c r="P165" s="180">
        <v>0</v>
      </c>
      <c r="Q165" s="180">
        <v>0</v>
      </c>
      <c r="R165" s="180">
        <v>0</v>
      </c>
      <c r="S165" s="180">
        <v>0</v>
      </c>
      <c r="T165" s="180">
        <v>0</v>
      </c>
      <c r="U165" s="180">
        <v>0</v>
      </c>
      <c r="V165" s="180">
        <v>0</v>
      </c>
      <c r="W165" s="180">
        <v>0</v>
      </c>
      <c r="X165" s="180">
        <v>0</v>
      </c>
      <c r="Y165" s="180">
        <v>0</v>
      </c>
      <c r="Z165" s="180">
        <v>0</v>
      </c>
      <c r="AA165" s="180">
        <v>0</v>
      </c>
      <c r="AB165" s="180">
        <v>0</v>
      </c>
      <c r="AC165" s="180">
        <v>0</v>
      </c>
      <c r="AD165" s="180">
        <v>0</v>
      </c>
      <c r="AE165" s="180">
        <v>0</v>
      </c>
      <c r="AF165" s="180">
        <v>0</v>
      </c>
      <c r="AG165" s="180">
        <v>0</v>
      </c>
      <c r="AH165" s="180">
        <v>0</v>
      </c>
      <c r="AI165" s="180">
        <v>0</v>
      </c>
      <c r="AJ165" s="180">
        <v>0</v>
      </c>
      <c r="AK165" s="180">
        <v>0</v>
      </c>
      <c r="AL165" s="180">
        <v>0</v>
      </c>
      <c r="AM165" s="180">
        <v>0</v>
      </c>
      <c r="AN165" s="180">
        <v>0</v>
      </c>
      <c r="AO165" s="180"/>
      <c r="AP165" s="180">
        <v>0</v>
      </c>
      <c r="AQ165" s="180">
        <v>0</v>
      </c>
      <c r="AR165" s="180"/>
      <c r="AS165" s="180"/>
      <c r="AT165" s="180"/>
      <c r="AU165" s="180">
        <v>0</v>
      </c>
      <c r="AV165" s="180">
        <v>0</v>
      </c>
      <c r="AW165" s="180"/>
      <c r="AX165" s="180">
        <v>0</v>
      </c>
      <c r="AY165" s="180">
        <v>0</v>
      </c>
      <c r="AZ165" s="180"/>
      <c r="BA165" s="180">
        <v>0</v>
      </c>
      <c r="BB165" s="180">
        <v>0</v>
      </c>
      <c r="BC165" s="180"/>
      <c r="BD165" s="180">
        <v>0</v>
      </c>
      <c r="BE165" s="180">
        <v>0</v>
      </c>
      <c r="BF165" s="180"/>
      <c r="BG165" s="180"/>
      <c r="BH165" s="180">
        <v>0</v>
      </c>
      <c r="BI165" s="180">
        <v>0</v>
      </c>
      <c r="BJ165" s="180">
        <v>0</v>
      </c>
      <c r="BK165" s="180">
        <v>0</v>
      </c>
      <c r="BL165" s="180">
        <v>0</v>
      </c>
      <c r="BM165" s="180">
        <v>0</v>
      </c>
      <c r="BN165" s="180">
        <v>0</v>
      </c>
      <c r="BO165" s="180">
        <v>0</v>
      </c>
      <c r="BP165" s="180">
        <v>0</v>
      </c>
      <c r="BQ165" s="180">
        <v>0</v>
      </c>
      <c r="BR165" s="180">
        <v>0</v>
      </c>
      <c r="BS165" s="180">
        <v>0</v>
      </c>
      <c r="BT165" s="180">
        <v>0</v>
      </c>
      <c r="BU165" s="180">
        <v>0</v>
      </c>
      <c r="BV165" s="180">
        <v>0</v>
      </c>
      <c r="BW165" s="180">
        <v>0</v>
      </c>
      <c r="BX165" s="180"/>
      <c r="BY165" s="180">
        <v>0</v>
      </c>
      <c r="BZ165" s="180">
        <v>0</v>
      </c>
      <c r="CA165" s="180">
        <v>0</v>
      </c>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row>
    <row r="166" spans="1:99" s="568" customFormat="1" x14ac:dyDescent="0.3">
      <c r="A166" s="567">
        <v>620</v>
      </c>
      <c r="B166" s="568" t="s">
        <v>959</v>
      </c>
      <c r="D166" s="568">
        <v>2</v>
      </c>
      <c r="E166" s="568">
        <v>2</v>
      </c>
      <c r="G166" s="568">
        <v>2</v>
      </c>
      <c r="H166" s="568">
        <v>2</v>
      </c>
      <c r="I166" s="568">
        <v>2</v>
      </c>
      <c r="J166" s="568">
        <v>0</v>
      </c>
      <c r="K166" s="568">
        <v>2</v>
      </c>
      <c r="L166" s="568">
        <v>2</v>
      </c>
      <c r="N166" s="568">
        <v>2</v>
      </c>
      <c r="P166" s="568">
        <v>2</v>
      </c>
      <c r="Q166" s="568">
        <v>2</v>
      </c>
      <c r="R166" s="568">
        <v>2</v>
      </c>
      <c r="S166" s="568">
        <v>2</v>
      </c>
      <c r="T166" s="568">
        <v>1</v>
      </c>
      <c r="U166" s="568">
        <v>1</v>
      </c>
      <c r="V166" s="568">
        <v>2</v>
      </c>
      <c r="W166" s="568">
        <v>2</v>
      </c>
      <c r="X166" s="568">
        <v>1</v>
      </c>
      <c r="Y166" s="568">
        <v>1</v>
      </c>
      <c r="Z166" s="568">
        <v>2</v>
      </c>
      <c r="AA166" s="568">
        <v>2</v>
      </c>
      <c r="AB166" s="568">
        <v>0</v>
      </c>
      <c r="AC166" s="568">
        <v>2</v>
      </c>
      <c r="AD166" s="568">
        <v>2</v>
      </c>
      <c r="AE166" s="568">
        <v>2</v>
      </c>
      <c r="AF166" s="568">
        <v>2</v>
      </c>
      <c r="AG166" s="568">
        <v>0</v>
      </c>
      <c r="AH166" s="568">
        <v>2</v>
      </c>
      <c r="AI166" s="568">
        <v>2</v>
      </c>
      <c r="AJ166" s="568">
        <v>2</v>
      </c>
      <c r="AK166" s="568">
        <v>1</v>
      </c>
      <c r="AL166" s="568">
        <v>2</v>
      </c>
      <c r="AM166" s="568">
        <v>2</v>
      </c>
      <c r="AN166" s="568">
        <v>2</v>
      </c>
      <c r="AP166" s="568">
        <v>2</v>
      </c>
      <c r="AQ166" s="568">
        <v>2</v>
      </c>
      <c r="AU166" s="568">
        <v>2</v>
      </c>
      <c r="AV166" s="568">
        <v>2</v>
      </c>
      <c r="AX166" s="568">
        <v>2</v>
      </c>
      <c r="AY166" s="568">
        <v>2</v>
      </c>
      <c r="BA166" s="568">
        <v>1</v>
      </c>
      <c r="BB166" s="568">
        <v>2</v>
      </c>
      <c r="BD166" s="568">
        <v>2</v>
      </c>
      <c r="BE166" s="568">
        <v>2</v>
      </c>
      <c r="BH166" s="568">
        <v>2</v>
      </c>
      <c r="BI166" s="568">
        <v>2</v>
      </c>
      <c r="BJ166" s="568">
        <v>2</v>
      </c>
      <c r="BK166" s="568">
        <v>1</v>
      </c>
      <c r="BL166" s="568">
        <v>2</v>
      </c>
      <c r="BM166" s="568">
        <v>2</v>
      </c>
      <c r="BN166" s="568">
        <v>1</v>
      </c>
      <c r="BO166" s="568">
        <v>2</v>
      </c>
      <c r="BP166" s="568">
        <v>1</v>
      </c>
      <c r="BQ166" s="568">
        <v>2</v>
      </c>
      <c r="BR166" s="568">
        <v>2</v>
      </c>
      <c r="BS166" s="568">
        <v>2</v>
      </c>
      <c r="BT166" s="568">
        <v>2</v>
      </c>
      <c r="BU166" s="568">
        <v>2</v>
      </c>
      <c r="BV166" s="568">
        <v>2</v>
      </c>
      <c r="BW166" s="568">
        <v>2</v>
      </c>
      <c r="BY166" s="568">
        <v>2</v>
      </c>
      <c r="BZ166" s="568">
        <v>1</v>
      </c>
      <c r="CA166" s="568">
        <v>2</v>
      </c>
    </row>
    <row r="167" spans="1:99" x14ac:dyDescent="0.3">
      <c r="A167" s="155">
        <v>621</v>
      </c>
      <c r="B167" s="180" t="s">
        <v>960</v>
      </c>
      <c r="C167" s="180"/>
      <c r="D167" s="180">
        <v>0</v>
      </c>
      <c r="E167" s="180">
        <v>0</v>
      </c>
      <c r="F167" s="180"/>
      <c r="G167" s="180">
        <v>0</v>
      </c>
      <c r="H167" s="180">
        <v>0</v>
      </c>
      <c r="I167" s="180">
        <v>0</v>
      </c>
      <c r="J167" s="180">
        <v>0</v>
      </c>
      <c r="K167" s="180">
        <v>0</v>
      </c>
      <c r="L167" s="180">
        <v>0</v>
      </c>
      <c r="M167" s="180"/>
      <c r="N167" s="180">
        <v>0</v>
      </c>
      <c r="O167" s="180"/>
      <c r="P167" s="180">
        <v>0</v>
      </c>
      <c r="Q167" s="180">
        <v>0</v>
      </c>
      <c r="R167" s="180">
        <v>0</v>
      </c>
      <c r="S167" s="180">
        <v>0</v>
      </c>
      <c r="T167" s="180">
        <v>0</v>
      </c>
      <c r="U167" s="180">
        <v>4127730</v>
      </c>
      <c r="V167" s="180">
        <v>0</v>
      </c>
      <c r="W167" s="180">
        <v>0</v>
      </c>
      <c r="X167" s="180">
        <v>0</v>
      </c>
      <c r="Y167" s="180">
        <v>0</v>
      </c>
      <c r="Z167" s="180">
        <v>0</v>
      </c>
      <c r="AA167" s="180">
        <v>3235014</v>
      </c>
      <c r="AB167" s="180">
        <v>0</v>
      </c>
      <c r="AC167" s="180">
        <v>0</v>
      </c>
      <c r="AD167" s="180">
        <v>0</v>
      </c>
      <c r="AE167" s="180">
        <v>0</v>
      </c>
      <c r="AF167" s="180">
        <v>0</v>
      </c>
      <c r="AG167" s="180">
        <v>0</v>
      </c>
      <c r="AH167" s="180">
        <v>0</v>
      </c>
      <c r="AI167" s="180">
        <v>0</v>
      </c>
      <c r="AJ167" s="180">
        <v>0</v>
      </c>
      <c r="AK167" s="180">
        <v>0</v>
      </c>
      <c r="AL167" s="180">
        <v>0</v>
      </c>
      <c r="AM167" s="180">
        <v>0</v>
      </c>
      <c r="AN167" s="180">
        <v>0</v>
      </c>
      <c r="AO167" s="180"/>
      <c r="AP167" s="180">
        <v>0</v>
      </c>
      <c r="AQ167" s="180">
        <v>0</v>
      </c>
      <c r="AR167" s="180"/>
      <c r="AS167" s="180"/>
      <c r="AT167" s="180"/>
      <c r="AU167" s="180">
        <v>0</v>
      </c>
      <c r="AV167" s="180">
        <v>0</v>
      </c>
      <c r="AW167" s="180"/>
      <c r="AX167" s="180">
        <v>0</v>
      </c>
      <c r="AY167" s="180">
        <v>0</v>
      </c>
      <c r="AZ167" s="180"/>
      <c r="BA167" s="180">
        <v>0</v>
      </c>
      <c r="BB167" s="180">
        <v>514820</v>
      </c>
      <c r="BC167" s="180"/>
      <c r="BD167" s="180">
        <v>0</v>
      </c>
      <c r="BE167" s="180">
        <v>0</v>
      </c>
      <c r="BF167" s="180"/>
      <c r="BG167" s="180"/>
      <c r="BH167" s="180">
        <v>0</v>
      </c>
      <c r="BI167" s="180">
        <v>0</v>
      </c>
      <c r="BJ167" s="180">
        <v>0</v>
      </c>
      <c r="BK167" s="180">
        <v>0</v>
      </c>
      <c r="BL167" s="180">
        <v>0</v>
      </c>
      <c r="BM167" s="180">
        <v>0</v>
      </c>
      <c r="BN167" s="180">
        <v>0</v>
      </c>
      <c r="BO167" s="180">
        <v>0</v>
      </c>
      <c r="BP167" s="180">
        <v>0</v>
      </c>
      <c r="BQ167" s="180">
        <v>0</v>
      </c>
      <c r="BR167" s="180">
        <v>0</v>
      </c>
      <c r="BS167" s="180">
        <v>0</v>
      </c>
      <c r="BT167" s="180">
        <v>0</v>
      </c>
      <c r="BU167" s="180">
        <v>0</v>
      </c>
      <c r="BV167" s="180">
        <v>0</v>
      </c>
      <c r="BW167" s="180">
        <v>0</v>
      </c>
      <c r="BX167" s="180"/>
      <c r="BY167" s="180">
        <v>0</v>
      </c>
      <c r="BZ167" s="180">
        <v>0</v>
      </c>
      <c r="CA167" s="180">
        <v>0</v>
      </c>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622</v>
      </c>
      <c r="B168" s="180" t="s">
        <v>961</v>
      </c>
      <c r="C168" s="180"/>
      <c r="D168" s="180">
        <v>295524</v>
      </c>
      <c r="E168" s="180">
        <v>519122</v>
      </c>
      <c r="F168" s="180"/>
      <c r="G168" s="180">
        <v>5781504</v>
      </c>
      <c r="H168" s="180">
        <v>315308</v>
      </c>
      <c r="I168" s="180">
        <v>94338</v>
      </c>
      <c r="J168" s="180">
        <v>153973</v>
      </c>
      <c r="K168" s="180">
        <v>215930</v>
      </c>
      <c r="L168" s="180">
        <v>4666580</v>
      </c>
      <c r="M168" s="180"/>
      <c r="N168" s="180">
        <v>73613</v>
      </c>
      <c r="O168" s="180"/>
      <c r="P168" s="180">
        <v>2876321</v>
      </c>
      <c r="Q168" s="180">
        <v>1477466</v>
      </c>
      <c r="R168" s="180">
        <v>992850</v>
      </c>
      <c r="S168" s="180">
        <v>1980637</v>
      </c>
      <c r="T168" s="180">
        <v>0</v>
      </c>
      <c r="U168" s="180">
        <v>3205369</v>
      </c>
      <c r="V168" s="180">
        <v>0</v>
      </c>
      <c r="W168" s="180">
        <v>532925</v>
      </c>
      <c r="X168" s="180">
        <v>1478847</v>
      </c>
      <c r="Y168" s="180">
        <v>616812</v>
      </c>
      <c r="Z168" s="180">
        <v>202895</v>
      </c>
      <c r="AA168" s="180">
        <v>412231</v>
      </c>
      <c r="AB168" s="180">
        <v>0</v>
      </c>
      <c r="AC168" s="180">
        <v>0</v>
      </c>
      <c r="AD168" s="180">
        <v>125295</v>
      </c>
      <c r="AE168" s="180">
        <v>383246</v>
      </c>
      <c r="AF168" s="180">
        <v>0</v>
      </c>
      <c r="AG168" s="180">
        <v>0</v>
      </c>
      <c r="AH168" s="180">
        <v>0</v>
      </c>
      <c r="AI168" s="180">
        <v>212863</v>
      </c>
      <c r="AJ168" s="180">
        <v>1518873</v>
      </c>
      <c r="AK168" s="180">
        <v>12269</v>
      </c>
      <c r="AL168" s="180">
        <v>0</v>
      </c>
      <c r="AM168" s="180">
        <v>0</v>
      </c>
      <c r="AN168" s="180">
        <v>2288125</v>
      </c>
      <c r="AO168" s="180"/>
      <c r="AP168" s="180">
        <v>96619</v>
      </c>
      <c r="AQ168" s="180">
        <v>3291250</v>
      </c>
      <c r="AR168" s="180"/>
      <c r="AS168" s="180"/>
      <c r="AT168" s="180"/>
      <c r="AU168" s="180">
        <v>1571629</v>
      </c>
      <c r="AV168" s="180">
        <v>7361</v>
      </c>
      <c r="AW168" s="180"/>
      <c r="AX168" s="180">
        <v>397048</v>
      </c>
      <c r="AY168" s="180">
        <v>441829</v>
      </c>
      <c r="AZ168" s="180"/>
      <c r="BA168" s="180">
        <v>0</v>
      </c>
      <c r="BB168" s="180">
        <v>214703</v>
      </c>
      <c r="BC168" s="180"/>
      <c r="BD168" s="180">
        <v>0</v>
      </c>
      <c r="BE168" s="180">
        <v>3466540</v>
      </c>
      <c r="BF168" s="180"/>
      <c r="BG168" s="180"/>
      <c r="BH168" s="180">
        <v>322975</v>
      </c>
      <c r="BI168" s="180">
        <v>239241</v>
      </c>
      <c r="BJ168" s="180">
        <v>38033</v>
      </c>
      <c r="BK168" s="180">
        <v>616506</v>
      </c>
      <c r="BL168" s="180">
        <v>395974</v>
      </c>
      <c r="BM168" s="180">
        <v>0</v>
      </c>
      <c r="BN168" s="180">
        <v>789036</v>
      </c>
      <c r="BO168" s="180">
        <v>249209</v>
      </c>
      <c r="BP168" s="180">
        <v>94776</v>
      </c>
      <c r="BQ168" s="180">
        <v>199674</v>
      </c>
      <c r="BR168" s="180">
        <v>0</v>
      </c>
      <c r="BS168" s="180">
        <v>2036309</v>
      </c>
      <c r="BT168" s="180">
        <v>209796</v>
      </c>
      <c r="BU168" s="180">
        <v>328191</v>
      </c>
      <c r="BV168" s="180">
        <v>77600</v>
      </c>
      <c r="BW168" s="180">
        <v>24691</v>
      </c>
      <c r="BX168" s="180"/>
      <c r="BY168" s="180">
        <v>0</v>
      </c>
      <c r="BZ168" s="180">
        <v>1807650</v>
      </c>
      <c r="CA168" s="180">
        <v>0</v>
      </c>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row>
    <row r="169" spans="1:99" s="568" customFormat="1" x14ac:dyDescent="0.3">
      <c r="A169" s="567">
        <v>624</v>
      </c>
      <c r="B169" s="568" t="s">
        <v>357</v>
      </c>
      <c r="D169" s="568">
        <v>2</v>
      </c>
      <c r="E169" s="568">
        <v>2</v>
      </c>
      <c r="G169" s="568">
        <v>1</v>
      </c>
      <c r="H169" s="568">
        <v>1</v>
      </c>
      <c r="I169" s="568">
        <v>1</v>
      </c>
      <c r="J169" s="568">
        <v>2</v>
      </c>
      <c r="K169" s="568">
        <v>2</v>
      </c>
      <c r="L169" s="568">
        <v>1</v>
      </c>
      <c r="N169" s="568">
        <v>1</v>
      </c>
      <c r="P169" s="568">
        <v>1</v>
      </c>
      <c r="Q169" s="568">
        <v>1</v>
      </c>
      <c r="R169" s="568">
        <v>1</v>
      </c>
      <c r="S169" s="568">
        <v>1</v>
      </c>
      <c r="T169" s="568">
        <v>1</v>
      </c>
      <c r="U169" s="568">
        <v>1</v>
      </c>
      <c r="V169" s="568">
        <v>1</v>
      </c>
      <c r="W169" s="568">
        <v>1</v>
      </c>
      <c r="X169" s="568">
        <v>1</v>
      </c>
      <c r="Y169" s="568">
        <v>1</v>
      </c>
      <c r="Z169" s="568">
        <v>1</v>
      </c>
      <c r="AA169" s="568">
        <v>2</v>
      </c>
      <c r="AB169" s="568">
        <v>1</v>
      </c>
      <c r="AC169" s="568">
        <v>1</v>
      </c>
      <c r="AD169" s="568">
        <v>1</v>
      </c>
      <c r="AE169" s="568">
        <v>1</v>
      </c>
      <c r="AF169" s="568">
        <v>1</v>
      </c>
      <c r="AG169" s="568">
        <v>0</v>
      </c>
      <c r="AH169" s="568">
        <v>1</v>
      </c>
      <c r="AI169" s="568">
        <v>1</v>
      </c>
      <c r="AJ169" s="568">
        <v>2</v>
      </c>
      <c r="AK169" s="568">
        <v>1</v>
      </c>
      <c r="AL169" s="568">
        <v>1</v>
      </c>
      <c r="AM169" s="568">
        <v>1</v>
      </c>
      <c r="AN169" s="568">
        <v>2</v>
      </c>
      <c r="AP169" s="568">
        <v>1</v>
      </c>
      <c r="AQ169" s="568">
        <v>1</v>
      </c>
      <c r="AU169" s="568">
        <v>1</v>
      </c>
      <c r="AV169" s="568">
        <v>1</v>
      </c>
      <c r="AX169" s="568">
        <v>1</v>
      </c>
      <c r="AY169" s="568">
        <v>1</v>
      </c>
      <c r="BA169" s="568">
        <v>2</v>
      </c>
      <c r="BB169" s="568">
        <v>1</v>
      </c>
      <c r="BD169" s="568">
        <v>1</v>
      </c>
      <c r="BE169" s="568">
        <v>1</v>
      </c>
      <c r="BH169" s="568">
        <v>2</v>
      </c>
      <c r="BI169" s="568">
        <v>2</v>
      </c>
      <c r="BJ169" s="568">
        <v>1</v>
      </c>
      <c r="BK169" s="568">
        <v>1</v>
      </c>
      <c r="BL169" s="568">
        <v>2</v>
      </c>
      <c r="BM169" s="568">
        <v>2</v>
      </c>
      <c r="BN169" s="568">
        <v>2</v>
      </c>
      <c r="BO169" s="568">
        <v>2</v>
      </c>
      <c r="BP169" s="568">
        <v>2</v>
      </c>
      <c r="BQ169" s="568">
        <v>1</v>
      </c>
      <c r="BR169" s="568">
        <v>1</v>
      </c>
      <c r="BS169" s="568">
        <v>2</v>
      </c>
      <c r="BT169" s="568">
        <v>2</v>
      </c>
      <c r="BU169" s="568">
        <v>1</v>
      </c>
      <c r="BV169" s="568">
        <v>1</v>
      </c>
      <c r="BW169" s="568">
        <v>1</v>
      </c>
      <c r="BY169" s="568">
        <v>0</v>
      </c>
      <c r="BZ169" s="568">
        <v>1</v>
      </c>
      <c r="CA169" s="568">
        <v>1</v>
      </c>
    </row>
    <row r="170" spans="1:99" s="564" customFormat="1" x14ac:dyDescent="0.3">
      <c r="A170" s="563">
        <v>626</v>
      </c>
      <c r="B170" s="564" t="s">
        <v>962</v>
      </c>
      <c r="D170" s="564">
        <v>125753</v>
      </c>
      <c r="E170" s="564">
        <v>9636713</v>
      </c>
      <c r="G170" s="564">
        <v>8106811</v>
      </c>
      <c r="H170" s="564">
        <v>617572</v>
      </c>
      <c r="I170" s="564">
        <v>16822</v>
      </c>
      <c r="J170" s="564">
        <v>49695</v>
      </c>
      <c r="K170" s="564">
        <v>495399</v>
      </c>
      <c r="L170" s="564">
        <v>17536164</v>
      </c>
      <c r="N170" s="564">
        <v>185264</v>
      </c>
      <c r="P170" s="564">
        <v>8676254</v>
      </c>
      <c r="Q170" s="564">
        <v>10019177</v>
      </c>
      <c r="R170" s="564">
        <v>1516557</v>
      </c>
      <c r="S170" s="564">
        <v>2808783</v>
      </c>
      <c r="T170" s="564">
        <v>116694</v>
      </c>
      <c r="U170" s="564">
        <v>3584679</v>
      </c>
      <c r="V170" s="564">
        <v>2859</v>
      </c>
      <c r="W170" s="564">
        <v>2557460</v>
      </c>
      <c r="X170" s="564">
        <v>3538860</v>
      </c>
      <c r="Y170" s="564">
        <v>1198770</v>
      </c>
      <c r="Z170" s="564">
        <v>522970</v>
      </c>
      <c r="AA170" s="564">
        <v>17263989</v>
      </c>
      <c r="AB170" s="564">
        <v>540012</v>
      </c>
      <c r="AC170" s="564">
        <v>4905</v>
      </c>
      <c r="AD170" s="564">
        <v>46051</v>
      </c>
      <c r="AE170" s="564">
        <v>750033</v>
      </c>
      <c r="AF170" s="564">
        <v>253779</v>
      </c>
      <c r="AG170" s="564">
        <v>1204</v>
      </c>
      <c r="AH170" s="564">
        <v>11358</v>
      </c>
      <c r="AI170" s="564">
        <v>451332</v>
      </c>
      <c r="AJ170" s="564">
        <v>3901246</v>
      </c>
      <c r="AK170" s="564">
        <v>83025</v>
      </c>
      <c r="AL170" s="564">
        <v>13107</v>
      </c>
      <c r="AM170" s="564">
        <v>10671786</v>
      </c>
      <c r="AN170" s="564">
        <v>4629352</v>
      </c>
      <c r="AP170" s="564">
        <v>1609692</v>
      </c>
      <c r="AQ170" s="564">
        <v>10622777</v>
      </c>
      <c r="AU170" s="564">
        <v>4776205</v>
      </c>
      <c r="AV170" s="564">
        <v>60722</v>
      </c>
      <c r="AX170" s="564">
        <v>2466508</v>
      </c>
      <c r="AY170" s="564">
        <v>1071497</v>
      </c>
      <c r="BA170" s="564">
        <v>0</v>
      </c>
      <c r="BB170" s="564">
        <v>878514</v>
      </c>
      <c r="BD170" s="564">
        <v>1038</v>
      </c>
      <c r="BE170" s="564">
        <v>6964060</v>
      </c>
      <c r="BH170" s="564">
        <v>56836</v>
      </c>
      <c r="BI170" s="564">
        <v>452069</v>
      </c>
      <c r="BJ170" s="564">
        <v>48085</v>
      </c>
      <c r="BK170" s="564">
        <v>253703</v>
      </c>
      <c r="BL170" s="564">
        <v>440329</v>
      </c>
      <c r="BM170" s="564">
        <v>0</v>
      </c>
      <c r="BN170" s="564">
        <v>1147176</v>
      </c>
      <c r="BO170" s="564">
        <v>419698</v>
      </c>
      <c r="BP170" s="564">
        <v>34342</v>
      </c>
      <c r="BQ170" s="564">
        <v>102774</v>
      </c>
      <c r="BR170" s="564">
        <v>183128</v>
      </c>
      <c r="BS170" s="564">
        <v>3251311</v>
      </c>
      <c r="BT170" s="564">
        <v>117767</v>
      </c>
      <c r="BU170" s="564">
        <v>6173152</v>
      </c>
      <c r="BV170" s="564">
        <v>123767</v>
      </c>
      <c r="BW170" s="564">
        <v>111777</v>
      </c>
      <c r="BY170" s="564">
        <v>7738</v>
      </c>
      <c r="BZ170" s="564">
        <v>4707904</v>
      </c>
      <c r="CA170" s="564">
        <v>35549</v>
      </c>
    </row>
    <row r="171" spans="1:99" s="562" customFormat="1" x14ac:dyDescent="0.3">
      <c r="A171" s="561">
        <v>627</v>
      </c>
      <c r="B171" s="562" t="s">
        <v>963</v>
      </c>
      <c r="D171" s="562">
        <v>0</v>
      </c>
      <c r="E171" s="562">
        <v>0</v>
      </c>
      <c r="G171" s="562">
        <v>0</v>
      </c>
      <c r="H171" s="562">
        <v>0</v>
      </c>
      <c r="I171" s="562">
        <v>0</v>
      </c>
      <c r="J171" s="562">
        <v>0</v>
      </c>
      <c r="K171" s="562">
        <v>0</v>
      </c>
      <c r="L171" s="562">
        <v>0</v>
      </c>
      <c r="N171" s="562">
        <v>0</v>
      </c>
      <c r="P171" s="562">
        <v>405000</v>
      </c>
      <c r="Q171" s="562">
        <v>0</v>
      </c>
      <c r="R171" s="562">
        <v>0</v>
      </c>
      <c r="S171" s="562">
        <v>0</v>
      </c>
      <c r="T171" s="562">
        <v>0</v>
      </c>
      <c r="U171" s="562">
        <v>0</v>
      </c>
      <c r="V171" s="562">
        <v>0</v>
      </c>
      <c r="W171" s="562">
        <v>0</v>
      </c>
      <c r="X171" s="562">
        <v>0</v>
      </c>
      <c r="Y171" s="562">
        <v>0</v>
      </c>
      <c r="Z171" s="562">
        <v>0</v>
      </c>
      <c r="AA171" s="562">
        <v>0</v>
      </c>
      <c r="AB171" s="562">
        <v>0</v>
      </c>
      <c r="AC171" s="562">
        <v>0</v>
      </c>
      <c r="AD171" s="562">
        <v>0</v>
      </c>
      <c r="AE171" s="562">
        <v>0</v>
      </c>
      <c r="AF171" s="562">
        <v>0</v>
      </c>
      <c r="AG171" s="562">
        <v>0</v>
      </c>
      <c r="AH171" s="562">
        <v>0</v>
      </c>
      <c r="AI171" s="562">
        <v>0</v>
      </c>
      <c r="AJ171" s="562">
        <v>0</v>
      </c>
      <c r="AK171" s="562">
        <v>0</v>
      </c>
      <c r="AL171" s="562">
        <v>0</v>
      </c>
      <c r="AM171" s="562">
        <v>0</v>
      </c>
      <c r="AN171" s="562">
        <v>0</v>
      </c>
      <c r="AP171" s="562">
        <v>0</v>
      </c>
      <c r="AQ171" s="562">
        <v>0</v>
      </c>
      <c r="AU171" s="562">
        <v>0</v>
      </c>
      <c r="AV171" s="562">
        <v>0</v>
      </c>
      <c r="AX171" s="562">
        <v>0</v>
      </c>
      <c r="AY171" s="562">
        <v>0</v>
      </c>
      <c r="BA171" s="562">
        <v>0</v>
      </c>
      <c r="BB171" s="562">
        <v>0</v>
      </c>
      <c r="BD171" s="562">
        <v>0</v>
      </c>
      <c r="BE171" s="562">
        <v>0</v>
      </c>
      <c r="BH171" s="562">
        <v>0</v>
      </c>
      <c r="BI171" s="562">
        <v>0</v>
      </c>
      <c r="BJ171" s="562">
        <v>0</v>
      </c>
      <c r="BK171" s="562">
        <v>0</v>
      </c>
      <c r="BL171" s="562">
        <v>0</v>
      </c>
      <c r="BM171" s="562">
        <v>0</v>
      </c>
      <c r="BN171" s="562">
        <v>0</v>
      </c>
      <c r="BO171" s="562">
        <v>0</v>
      </c>
      <c r="BP171" s="562">
        <v>0</v>
      </c>
      <c r="BQ171" s="562">
        <v>0</v>
      </c>
      <c r="BR171" s="562">
        <v>0</v>
      </c>
      <c r="BS171" s="562">
        <v>0</v>
      </c>
      <c r="BT171" s="562">
        <v>0</v>
      </c>
      <c r="BU171" s="562">
        <v>0</v>
      </c>
      <c r="BV171" s="562">
        <v>0</v>
      </c>
      <c r="BW171" s="562">
        <v>0</v>
      </c>
      <c r="BY171" s="562">
        <v>0</v>
      </c>
      <c r="BZ171" s="562">
        <v>0</v>
      </c>
      <c r="CA171" s="562">
        <v>0</v>
      </c>
    </row>
    <row r="172" spans="1:99" s="562" customFormat="1" x14ac:dyDescent="0.3">
      <c r="A172" s="561">
        <v>628</v>
      </c>
      <c r="B172" s="562" t="s">
        <v>964</v>
      </c>
      <c r="D172" s="562">
        <v>12088</v>
      </c>
      <c r="E172" s="562">
        <v>239792</v>
      </c>
      <c r="G172" s="562">
        <v>849009</v>
      </c>
      <c r="H172" s="562">
        <v>19500</v>
      </c>
      <c r="I172" s="562">
        <v>932</v>
      </c>
      <c r="J172" s="562">
        <v>34110</v>
      </c>
      <c r="K172" s="562">
        <v>10052</v>
      </c>
      <c r="L172" s="562">
        <v>1201000</v>
      </c>
      <c r="N172" s="562">
        <v>0</v>
      </c>
      <c r="P172" s="562">
        <v>1613147</v>
      </c>
      <c r="Q172" s="562">
        <v>600000</v>
      </c>
      <c r="R172" s="562">
        <v>278824</v>
      </c>
      <c r="S172" s="562">
        <v>234248</v>
      </c>
      <c r="T172" s="562">
        <v>0</v>
      </c>
      <c r="U172" s="562">
        <v>222125</v>
      </c>
      <c r="V172" s="562">
        <v>0</v>
      </c>
      <c r="W172" s="562">
        <v>50000</v>
      </c>
      <c r="X172" s="562">
        <v>448234</v>
      </c>
      <c r="Y172" s="562">
        <v>136000</v>
      </c>
      <c r="Z172" s="562">
        <v>40400</v>
      </c>
      <c r="AA172" s="562">
        <v>47438</v>
      </c>
      <c r="AB172" s="562">
        <v>0</v>
      </c>
      <c r="AC172" s="562">
        <v>0</v>
      </c>
      <c r="AD172" s="562">
        <v>13747</v>
      </c>
      <c r="AE172" s="562">
        <v>75100</v>
      </c>
      <c r="AF172" s="562">
        <v>0</v>
      </c>
      <c r="AG172" s="562">
        <v>0</v>
      </c>
      <c r="AH172" s="562">
        <v>0</v>
      </c>
      <c r="AI172" s="562">
        <v>0</v>
      </c>
      <c r="AJ172" s="562">
        <v>232900</v>
      </c>
      <c r="AK172" s="562">
        <v>0</v>
      </c>
      <c r="AL172" s="562">
        <v>0</v>
      </c>
      <c r="AM172" s="562">
        <v>0</v>
      </c>
      <c r="AN172" s="562">
        <v>358943</v>
      </c>
      <c r="AP172" s="562">
        <v>28332</v>
      </c>
      <c r="AQ172" s="562">
        <v>682000</v>
      </c>
      <c r="AU172" s="562">
        <v>234303</v>
      </c>
      <c r="AV172" s="562">
        <v>451</v>
      </c>
      <c r="AX172" s="562">
        <v>122366</v>
      </c>
      <c r="AY172" s="562">
        <v>0</v>
      </c>
      <c r="BA172" s="562">
        <v>0</v>
      </c>
      <c r="BB172" s="562">
        <v>0</v>
      </c>
      <c r="BD172" s="562">
        <v>0</v>
      </c>
      <c r="BE172" s="562">
        <v>213982</v>
      </c>
      <c r="BH172" s="562">
        <v>0</v>
      </c>
      <c r="BI172" s="562">
        <v>64775</v>
      </c>
      <c r="BJ172" s="562">
        <v>5906</v>
      </c>
      <c r="BK172" s="562">
        <v>0</v>
      </c>
      <c r="BL172" s="562">
        <v>30000</v>
      </c>
      <c r="BM172" s="562">
        <v>0</v>
      </c>
      <c r="BN172" s="562">
        <v>190000</v>
      </c>
      <c r="BO172" s="562">
        <v>38501</v>
      </c>
      <c r="BP172" s="562">
        <v>19176</v>
      </c>
      <c r="BQ172" s="562">
        <v>0</v>
      </c>
      <c r="BR172" s="562">
        <v>19670</v>
      </c>
      <c r="BS172" s="562">
        <v>387382</v>
      </c>
      <c r="BT172" s="562">
        <v>0</v>
      </c>
      <c r="BU172" s="562">
        <v>114538</v>
      </c>
      <c r="BV172" s="562">
        <v>5000</v>
      </c>
      <c r="BW172" s="562">
        <v>0</v>
      </c>
      <c r="BY172" s="562">
        <v>0</v>
      </c>
      <c r="BZ172" s="562">
        <v>427210</v>
      </c>
      <c r="CA172" s="562">
        <v>0</v>
      </c>
    </row>
    <row r="173" spans="1:99" x14ac:dyDescent="0.3">
      <c r="A173" s="155">
        <v>629</v>
      </c>
      <c r="B173" s="180" t="s">
        <v>965</v>
      </c>
      <c r="C173" s="180"/>
      <c r="D173" s="180">
        <v>0</v>
      </c>
      <c r="E173" s="180">
        <v>0</v>
      </c>
      <c r="F173" s="180"/>
      <c r="G173" s="180">
        <v>0</v>
      </c>
      <c r="H173" s="180">
        <v>0</v>
      </c>
      <c r="I173" s="180">
        <v>0</v>
      </c>
      <c r="J173" s="180">
        <v>0</v>
      </c>
      <c r="K173" s="180">
        <v>0</v>
      </c>
      <c r="L173" s="180">
        <v>0</v>
      </c>
      <c r="M173" s="180"/>
      <c r="N173" s="180">
        <v>0</v>
      </c>
      <c r="O173" s="180"/>
      <c r="P173" s="180">
        <v>413527</v>
      </c>
      <c r="Q173" s="180">
        <v>0</v>
      </c>
      <c r="R173" s="180">
        <v>0</v>
      </c>
      <c r="S173" s="180">
        <v>0</v>
      </c>
      <c r="T173" s="180">
        <v>0</v>
      </c>
      <c r="U173" s="180">
        <v>0</v>
      </c>
      <c r="V173" s="180">
        <v>0</v>
      </c>
      <c r="W173" s="180">
        <v>0</v>
      </c>
      <c r="X173" s="180">
        <v>0</v>
      </c>
      <c r="Y173" s="180">
        <v>0</v>
      </c>
      <c r="Z173" s="180">
        <v>0</v>
      </c>
      <c r="AA173" s="180">
        <v>0</v>
      </c>
      <c r="AB173" s="180">
        <v>0</v>
      </c>
      <c r="AC173" s="180">
        <v>0</v>
      </c>
      <c r="AD173" s="180">
        <v>0</v>
      </c>
      <c r="AE173" s="180">
        <v>0</v>
      </c>
      <c r="AF173" s="180">
        <v>0</v>
      </c>
      <c r="AG173" s="180">
        <v>0</v>
      </c>
      <c r="AH173" s="180">
        <v>0</v>
      </c>
      <c r="AI173" s="180">
        <v>0</v>
      </c>
      <c r="AJ173" s="180">
        <v>0</v>
      </c>
      <c r="AK173" s="180">
        <v>0</v>
      </c>
      <c r="AL173" s="180">
        <v>0</v>
      </c>
      <c r="AM173" s="180">
        <v>0</v>
      </c>
      <c r="AN173" s="180">
        <v>0</v>
      </c>
      <c r="AO173" s="180"/>
      <c r="AP173" s="180">
        <v>0</v>
      </c>
      <c r="AQ173" s="180">
        <v>0</v>
      </c>
      <c r="AR173" s="180"/>
      <c r="AS173" s="180"/>
      <c r="AT173" s="180"/>
      <c r="AU173" s="180">
        <v>0</v>
      </c>
      <c r="AV173" s="180">
        <v>0</v>
      </c>
      <c r="AW173" s="180"/>
      <c r="AX173" s="180">
        <v>0</v>
      </c>
      <c r="AY173" s="180">
        <v>0</v>
      </c>
      <c r="AZ173" s="180"/>
      <c r="BA173" s="180">
        <v>0</v>
      </c>
      <c r="BB173" s="180">
        <v>0</v>
      </c>
      <c r="BC173" s="180"/>
      <c r="BD173" s="180">
        <v>0</v>
      </c>
      <c r="BE173" s="180">
        <v>0</v>
      </c>
      <c r="BF173" s="180"/>
      <c r="BG173" s="180"/>
      <c r="BH173" s="180">
        <v>0</v>
      </c>
      <c r="BI173" s="180">
        <v>0</v>
      </c>
      <c r="BJ173" s="180">
        <v>0</v>
      </c>
      <c r="BK173" s="180">
        <v>0</v>
      </c>
      <c r="BL173" s="180">
        <v>0</v>
      </c>
      <c r="BM173" s="180">
        <v>0</v>
      </c>
      <c r="BN173" s="180">
        <v>0</v>
      </c>
      <c r="BO173" s="180">
        <v>0</v>
      </c>
      <c r="BP173" s="180">
        <v>0</v>
      </c>
      <c r="BQ173" s="180">
        <v>0</v>
      </c>
      <c r="BR173" s="180">
        <v>0</v>
      </c>
      <c r="BS173" s="180">
        <v>0</v>
      </c>
      <c r="BT173" s="180">
        <v>0</v>
      </c>
      <c r="BU173" s="180">
        <v>968662</v>
      </c>
      <c r="BV173" s="180">
        <v>0</v>
      </c>
      <c r="BW173" s="180">
        <v>0</v>
      </c>
      <c r="BX173" s="180"/>
      <c r="BY173" s="180">
        <v>0</v>
      </c>
      <c r="BZ173" s="180">
        <v>0</v>
      </c>
      <c r="CA173" s="180">
        <v>0</v>
      </c>
      <c r="CB173" s="180"/>
      <c r="CC173" s="180"/>
      <c r="CD173" s="180"/>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630</v>
      </c>
      <c r="B174" s="180" t="s">
        <v>966</v>
      </c>
      <c r="C174" s="180"/>
      <c r="D174" s="180">
        <v>0</v>
      </c>
      <c r="E174" s="180">
        <v>6475114</v>
      </c>
      <c r="F174" s="180"/>
      <c r="G174" s="180">
        <v>0</v>
      </c>
      <c r="H174" s="180">
        <v>17025</v>
      </c>
      <c r="I174" s="180">
        <v>0</v>
      </c>
      <c r="J174" s="180">
        <v>0</v>
      </c>
      <c r="K174" s="180">
        <v>0</v>
      </c>
      <c r="L174" s="180">
        <v>0</v>
      </c>
      <c r="M174" s="180"/>
      <c r="N174" s="180">
        <v>134012</v>
      </c>
      <c r="O174" s="180"/>
      <c r="P174" s="180">
        <v>344055</v>
      </c>
      <c r="Q174" s="180">
        <v>3638169</v>
      </c>
      <c r="R174" s="180">
        <v>0</v>
      </c>
      <c r="S174" s="180">
        <v>0</v>
      </c>
      <c r="T174" s="180">
        <v>108344</v>
      </c>
      <c r="U174" s="180">
        <v>0</v>
      </c>
      <c r="V174" s="180">
        <v>0</v>
      </c>
      <c r="W174" s="180">
        <v>897958</v>
      </c>
      <c r="X174" s="180">
        <v>0</v>
      </c>
      <c r="Y174" s="180">
        <v>0</v>
      </c>
      <c r="Z174" s="180">
        <v>0</v>
      </c>
      <c r="AA174" s="180">
        <v>0</v>
      </c>
      <c r="AB174" s="180">
        <v>0</v>
      </c>
      <c r="AC174" s="180">
        <v>0</v>
      </c>
      <c r="AD174" s="180">
        <v>0</v>
      </c>
      <c r="AE174" s="180">
        <v>3471</v>
      </c>
      <c r="AF174" s="180">
        <v>250000</v>
      </c>
      <c r="AG174" s="180">
        <v>0</v>
      </c>
      <c r="AH174" s="180">
        <v>10918</v>
      </c>
      <c r="AI174" s="180">
        <v>0</v>
      </c>
      <c r="AJ174" s="180">
        <v>0</v>
      </c>
      <c r="AK174" s="180">
        <v>77260</v>
      </c>
      <c r="AL174" s="180">
        <v>8764</v>
      </c>
      <c r="AM174" s="180">
        <v>0</v>
      </c>
      <c r="AN174" s="180">
        <v>0</v>
      </c>
      <c r="AO174" s="180"/>
      <c r="AP174" s="180">
        <v>200346</v>
      </c>
      <c r="AQ174" s="180">
        <v>102075</v>
      </c>
      <c r="AR174" s="180"/>
      <c r="AS174" s="180"/>
      <c r="AT174" s="180"/>
      <c r="AU174" s="180">
        <v>0</v>
      </c>
      <c r="AV174" s="180">
        <v>0</v>
      </c>
      <c r="AW174" s="180"/>
      <c r="AX174" s="180">
        <v>0</v>
      </c>
      <c r="AY174" s="180">
        <v>1018266</v>
      </c>
      <c r="AZ174" s="180"/>
      <c r="BA174" s="180">
        <v>0</v>
      </c>
      <c r="BB174" s="180">
        <v>0</v>
      </c>
      <c r="BC174" s="180"/>
      <c r="BD174" s="180">
        <v>0</v>
      </c>
      <c r="BE174" s="180">
        <v>0</v>
      </c>
      <c r="BF174" s="180"/>
      <c r="BG174" s="180"/>
      <c r="BH174" s="180">
        <v>0</v>
      </c>
      <c r="BI174" s="180">
        <v>15000</v>
      </c>
      <c r="BJ174" s="180">
        <v>0</v>
      </c>
      <c r="BK174" s="180">
        <v>1515</v>
      </c>
      <c r="BL174" s="180">
        <v>0</v>
      </c>
      <c r="BM174" s="180">
        <v>15750</v>
      </c>
      <c r="BN174" s="180">
        <v>18367</v>
      </c>
      <c r="BO174" s="180">
        <v>0</v>
      </c>
      <c r="BP174" s="180">
        <v>0</v>
      </c>
      <c r="BQ174" s="180">
        <v>0</v>
      </c>
      <c r="BR174" s="180">
        <v>33023</v>
      </c>
      <c r="BS174" s="180">
        <v>23246</v>
      </c>
      <c r="BT174" s="180">
        <v>0</v>
      </c>
      <c r="BU174" s="180">
        <v>0</v>
      </c>
      <c r="BV174" s="180">
        <v>0</v>
      </c>
      <c r="BW174" s="180">
        <v>0</v>
      </c>
      <c r="BX174" s="180"/>
      <c r="BY174" s="180">
        <v>7738</v>
      </c>
      <c r="BZ174" s="180">
        <v>1119671</v>
      </c>
      <c r="CA174" s="180">
        <v>0</v>
      </c>
      <c r="CB174" s="180"/>
      <c r="CC174" s="180"/>
      <c r="CD174" s="180"/>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631</v>
      </c>
      <c r="B175" s="180" t="s">
        <v>967</v>
      </c>
      <c r="C175" s="180"/>
      <c r="D175" s="180">
        <v>0</v>
      </c>
      <c r="E175" s="180">
        <v>0</v>
      </c>
      <c r="F175" s="180"/>
      <c r="G175" s="180">
        <v>0</v>
      </c>
      <c r="H175" s="180">
        <v>0</v>
      </c>
      <c r="I175" s="180">
        <v>0</v>
      </c>
      <c r="J175" s="180">
        <v>0</v>
      </c>
      <c r="K175" s="180">
        <v>0</v>
      </c>
      <c r="L175" s="180">
        <v>0</v>
      </c>
      <c r="M175" s="180"/>
      <c r="N175" s="180">
        <v>0</v>
      </c>
      <c r="O175" s="180"/>
      <c r="P175" s="180">
        <v>0</v>
      </c>
      <c r="Q175" s="180">
        <v>0</v>
      </c>
      <c r="R175" s="180">
        <v>0</v>
      </c>
      <c r="S175" s="180">
        <v>0</v>
      </c>
      <c r="T175" s="180">
        <v>0</v>
      </c>
      <c r="U175" s="180">
        <v>0</v>
      </c>
      <c r="V175" s="180">
        <v>0</v>
      </c>
      <c r="W175" s="180">
        <v>0</v>
      </c>
      <c r="X175" s="180">
        <v>0</v>
      </c>
      <c r="Y175" s="180">
        <v>0</v>
      </c>
      <c r="Z175" s="180">
        <v>0</v>
      </c>
      <c r="AA175" s="180">
        <v>0</v>
      </c>
      <c r="AB175" s="180">
        <v>0</v>
      </c>
      <c r="AC175" s="180">
        <v>0</v>
      </c>
      <c r="AD175" s="180">
        <v>0</v>
      </c>
      <c r="AE175" s="180">
        <v>0</v>
      </c>
      <c r="AF175" s="180">
        <v>0</v>
      </c>
      <c r="AG175" s="180">
        <v>0</v>
      </c>
      <c r="AH175" s="180">
        <v>0</v>
      </c>
      <c r="AI175" s="180">
        <v>0</v>
      </c>
      <c r="AJ175" s="180">
        <v>0</v>
      </c>
      <c r="AK175" s="180">
        <v>0</v>
      </c>
      <c r="AL175" s="180">
        <v>0</v>
      </c>
      <c r="AM175" s="180">
        <v>0</v>
      </c>
      <c r="AN175" s="180">
        <v>0</v>
      </c>
      <c r="AO175" s="180"/>
      <c r="AP175" s="180">
        <v>0</v>
      </c>
      <c r="AQ175" s="180">
        <v>0</v>
      </c>
      <c r="AR175" s="180"/>
      <c r="AS175" s="180"/>
      <c r="AT175" s="180"/>
      <c r="AU175" s="180">
        <v>0</v>
      </c>
      <c r="AV175" s="180">
        <v>0</v>
      </c>
      <c r="AW175" s="180"/>
      <c r="AX175" s="180">
        <v>0</v>
      </c>
      <c r="AY175" s="180">
        <v>0</v>
      </c>
      <c r="AZ175" s="180"/>
      <c r="BA175" s="180">
        <v>0</v>
      </c>
      <c r="BB175" s="180">
        <v>0</v>
      </c>
      <c r="BC175" s="180"/>
      <c r="BD175" s="180">
        <v>0</v>
      </c>
      <c r="BE175" s="180">
        <v>0</v>
      </c>
      <c r="BF175" s="180"/>
      <c r="BG175" s="180"/>
      <c r="BH175" s="180">
        <v>0</v>
      </c>
      <c r="BI175" s="180">
        <v>0</v>
      </c>
      <c r="BJ175" s="180">
        <v>0</v>
      </c>
      <c r="BK175" s="180">
        <v>0</v>
      </c>
      <c r="BL175" s="180">
        <v>0</v>
      </c>
      <c r="BM175" s="180">
        <v>0</v>
      </c>
      <c r="BN175" s="180">
        <v>0</v>
      </c>
      <c r="BO175" s="180">
        <v>0</v>
      </c>
      <c r="BP175" s="180">
        <v>0</v>
      </c>
      <c r="BQ175" s="180">
        <v>0</v>
      </c>
      <c r="BR175" s="180">
        <v>0</v>
      </c>
      <c r="BS175" s="180">
        <v>0</v>
      </c>
      <c r="BT175" s="180">
        <v>0</v>
      </c>
      <c r="BU175" s="180">
        <v>3624831</v>
      </c>
      <c r="BV175" s="180">
        <v>0</v>
      </c>
      <c r="BW175" s="180">
        <v>0</v>
      </c>
      <c r="BX175" s="180"/>
      <c r="BY175" s="180">
        <v>0</v>
      </c>
      <c r="BZ175" s="180">
        <v>0</v>
      </c>
      <c r="CA175" s="180">
        <v>0</v>
      </c>
      <c r="CB175" s="180"/>
      <c r="CC175" s="180"/>
      <c r="CD175" s="180"/>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632</v>
      </c>
      <c r="B176" s="180" t="s">
        <v>968</v>
      </c>
      <c r="C176" s="180"/>
      <c r="D176" s="180">
        <v>0</v>
      </c>
      <c r="E176" s="180">
        <v>0</v>
      </c>
      <c r="F176" s="180"/>
      <c r="G176" s="180">
        <v>0</v>
      </c>
      <c r="H176" s="180">
        <v>0</v>
      </c>
      <c r="I176" s="180">
        <v>0</v>
      </c>
      <c r="J176" s="180">
        <v>0</v>
      </c>
      <c r="K176" s="180">
        <v>0</v>
      </c>
      <c r="L176" s="180">
        <v>0</v>
      </c>
      <c r="M176" s="180"/>
      <c r="N176" s="180">
        <v>0</v>
      </c>
      <c r="O176" s="180"/>
      <c r="P176" s="180">
        <v>0</v>
      </c>
      <c r="Q176" s="180">
        <v>0</v>
      </c>
      <c r="R176" s="180">
        <v>0</v>
      </c>
      <c r="S176" s="180">
        <v>0</v>
      </c>
      <c r="T176" s="180">
        <v>0</v>
      </c>
      <c r="U176" s="180">
        <v>0</v>
      </c>
      <c r="V176" s="180">
        <v>0</v>
      </c>
      <c r="W176" s="180">
        <v>0</v>
      </c>
      <c r="X176" s="180">
        <v>0</v>
      </c>
      <c r="Y176" s="180">
        <v>0</v>
      </c>
      <c r="Z176" s="180">
        <v>0</v>
      </c>
      <c r="AA176" s="180">
        <v>0</v>
      </c>
      <c r="AB176" s="180">
        <v>0</v>
      </c>
      <c r="AC176" s="180">
        <v>0</v>
      </c>
      <c r="AD176" s="180">
        <v>0</v>
      </c>
      <c r="AE176" s="180">
        <v>0</v>
      </c>
      <c r="AF176" s="180">
        <v>0</v>
      </c>
      <c r="AG176" s="180">
        <v>0</v>
      </c>
      <c r="AH176" s="180">
        <v>0</v>
      </c>
      <c r="AI176" s="180">
        <v>0</v>
      </c>
      <c r="AJ176" s="180">
        <v>0</v>
      </c>
      <c r="AK176" s="180">
        <v>0</v>
      </c>
      <c r="AL176" s="180">
        <v>0</v>
      </c>
      <c r="AM176" s="180">
        <v>0</v>
      </c>
      <c r="AN176" s="180">
        <v>0</v>
      </c>
      <c r="AO176" s="180"/>
      <c r="AP176" s="180">
        <v>0</v>
      </c>
      <c r="AQ176" s="180">
        <v>0</v>
      </c>
      <c r="AR176" s="180"/>
      <c r="AS176" s="180"/>
      <c r="AT176" s="180"/>
      <c r="AU176" s="180">
        <v>0</v>
      </c>
      <c r="AV176" s="180">
        <v>0</v>
      </c>
      <c r="AW176" s="180"/>
      <c r="AX176" s="180">
        <v>0</v>
      </c>
      <c r="AY176" s="180">
        <v>0</v>
      </c>
      <c r="AZ176" s="180"/>
      <c r="BA176" s="180">
        <v>0</v>
      </c>
      <c r="BB176" s="180">
        <v>0</v>
      </c>
      <c r="BC176" s="180"/>
      <c r="BD176" s="180">
        <v>0</v>
      </c>
      <c r="BE176" s="180">
        <v>0</v>
      </c>
      <c r="BF176" s="180"/>
      <c r="BG176" s="180"/>
      <c r="BH176" s="180">
        <v>0</v>
      </c>
      <c r="BI176" s="180">
        <v>0</v>
      </c>
      <c r="BJ176" s="180">
        <v>0</v>
      </c>
      <c r="BK176" s="180">
        <v>0</v>
      </c>
      <c r="BL176" s="180">
        <v>0</v>
      </c>
      <c r="BM176" s="180">
        <v>0</v>
      </c>
      <c r="BN176" s="180">
        <v>0</v>
      </c>
      <c r="BO176" s="180">
        <v>0</v>
      </c>
      <c r="BP176" s="180">
        <v>0</v>
      </c>
      <c r="BQ176" s="180">
        <v>0</v>
      </c>
      <c r="BR176" s="180">
        <v>0</v>
      </c>
      <c r="BS176" s="180">
        <v>0</v>
      </c>
      <c r="BT176" s="180">
        <v>0</v>
      </c>
      <c r="BU176" s="180">
        <v>0</v>
      </c>
      <c r="BV176" s="180">
        <v>0</v>
      </c>
      <c r="BW176" s="180">
        <v>0</v>
      </c>
      <c r="BX176" s="180"/>
      <c r="BY176" s="180">
        <v>0</v>
      </c>
      <c r="BZ176" s="180">
        <v>0</v>
      </c>
      <c r="CA176" s="180">
        <v>0</v>
      </c>
      <c r="CB176" s="180"/>
      <c r="CC176" s="180"/>
      <c r="CD176" s="180"/>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633</v>
      </c>
      <c r="B177" s="180" t="s">
        <v>373</v>
      </c>
      <c r="C177" s="180"/>
      <c r="D177" s="180">
        <v>0</v>
      </c>
      <c r="E177" s="180">
        <v>0</v>
      </c>
      <c r="F177" s="180"/>
      <c r="G177" s="180">
        <v>15712674</v>
      </c>
      <c r="H177" s="180">
        <v>378039</v>
      </c>
      <c r="I177" s="180">
        <v>66723</v>
      </c>
      <c r="J177" s="180">
        <v>107194</v>
      </c>
      <c r="K177" s="180">
        <v>417385</v>
      </c>
      <c r="L177" s="180">
        <v>6817153</v>
      </c>
      <c r="M177" s="180"/>
      <c r="N177" s="180">
        <v>20340</v>
      </c>
      <c r="O177" s="180"/>
      <c r="P177" s="180">
        <v>0</v>
      </c>
      <c r="Q177" s="180">
        <v>1119367</v>
      </c>
      <c r="R177" s="180">
        <v>1513333</v>
      </c>
      <c r="S177" s="180">
        <v>2107785</v>
      </c>
      <c r="T177" s="180">
        <v>134173</v>
      </c>
      <c r="U177" s="180">
        <v>2603634</v>
      </c>
      <c r="V177" s="180">
        <v>0</v>
      </c>
      <c r="W177" s="180">
        <v>0</v>
      </c>
      <c r="X177" s="180">
        <v>0</v>
      </c>
      <c r="Y177" s="180">
        <v>827620</v>
      </c>
      <c r="Z177" s="180">
        <v>139877</v>
      </c>
      <c r="AA177" s="180">
        <v>993475</v>
      </c>
      <c r="AB177" s="180">
        <v>0</v>
      </c>
      <c r="AC177" s="180">
        <v>32477</v>
      </c>
      <c r="AD177" s="180">
        <v>233101</v>
      </c>
      <c r="AE177" s="180">
        <v>334843</v>
      </c>
      <c r="AF177" s="180">
        <v>7475</v>
      </c>
      <c r="AG177" s="180">
        <v>0</v>
      </c>
      <c r="AH177" s="180">
        <v>0</v>
      </c>
      <c r="AI177" s="180">
        <v>0</v>
      </c>
      <c r="AJ177" s="180">
        <v>1543870</v>
      </c>
      <c r="AK177" s="180">
        <v>78369</v>
      </c>
      <c r="AL177" s="180">
        <v>0</v>
      </c>
      <c r="AM177" s="180">
        <v>0</v>
      </c>
      <c r="AN177" s="180">
        <v>2180346</v>
      </c>
      <c r="AO177" s="180"/>
      <c r="AP177" s="180">
        <v>0</v>
      </c>
      <c r="AQ177" s="180">
        <v>1295900</v>
      </c>
      <c r="AR177" s="180"/>
      <c r="AS177" s="180"/>
      <c r="AT177" s="180"/>
      <c r="AU177" s="180">
        <v>1446318</v>
      </c>
      <c r="AV177" s="180">
        <v>92027</v>
      </c>
      <c r="AW177" s="180"/>
      <c r="AX177" s="180">
        <v>70894</v>
      </c>
      <c r="AY177" s="180">
        <v>163493</v>
      </c>
      <c r="AZ177" s="180"/>
      <c r="BA177" s="180">
        <v>37846</v>
      </c>
      <c r="BB177" s="180">
        <v>160025</v>
      </c>
      <c r="BC177" s="180"/>
      <c r="BD177" s="180">
        <v>0</v>
      </c>
      <c r="BE177" s="180">
        <v>3894273</v>
      </c>
      <c r="BF177" s="180"/>
      <c r="BG177" s="180"/>
      <c r="BH177" s="180">
        <v>396433</v>
      </c>
      <c r="BI177" s="180">
        <v>213042</v>
      </c>
      <c r="BJ177" s="180">
        <v>178190</v>
      </c>
      <c r="BK177" s="180">
        <v>217000</v>
      </c>
      <c r="BL177" s="180">
        <v>546746</v>
      </c>
      <c r="BM177" s="180">
        <v>0</v>
      </c>
      <c r="BN177" s="180">
        <v>694044</v>
      </c>
      <c r="BO177" s="180">
        <v>152601</v>
      </c>
      <c r="BP177" s="180">
        <v>81075</v>
      </c>
      <c r="BQ177" s="180">
        <v>277558</v>
      </c>
      <c r="BR177" s="180">
        <v>0</v>
      </c>
      <c r="BS177" s="180">
        <v>0</v>
      </c>
      <c r="BT177" s="180">
        <v>130735</v>
      </c>
      <c r="BU177" s="180">
        <v>394503</v>
      </c>
      <c r="BV177" s="180">
        <v>145373</v>
      </c>
      <c r="BW177" s="180">
        <v>156344</v>
      </c>
      <c r="BX177" s="180"/>
      <c r="BY177" s="180">
        <v>0</v>
      </c>
      <c r="BZ177" s="180">
        <v>4565517</v>
      </c>
      <c r="CA177" s="180">
        <v>0</v>
      </c>
      <c r="CB177" s="180"/>
      <c r="CC177" s="180"/>
      <c r="CD177" s="180"/>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634</v>
      </c>
      <c r="B178" s="180" t="s">
        <v>374</v>
      </c>
      <c r="C178" s="180"/>
      <c r="D178" s="180">
        <v>0</v>
      </c>
      <c r="E178" s="180">
        <v>0</v>
      </c>
      <c r="F178" s="180"/>
      <c r="G178" s="180">
        <v>0</v>
      </c>
      <c r="H178" s="180">
        <v>0</v>
      </c>
      <c r="I178" s="180">
        <v>0</v>
      </c>
      <c r="J178" s="180">
        <v>0</v>
      </c>
      <c r="K178" s="180">
        <v>0</v>
      </c>
      <c r="L178" s="180">
        <v>0</v>
      </c>
      <c r="M178" s="180"/>
      <c r="N178" s="180">
        <v>0</v>
      </c>
      <c r="O178" s="180"/>
      <c r="P178" s="180">
        <v>0</v>
      </c>
      <c r="Q178" s="180">
        <v>0</v>
      </c>
      <c r="R178" s="180">
        <v>0</v>
      </c>
      <c r="S178" s="180">
        <v>0</v>
      </c>
      <c r="T178" s="180">
        <v>0</v>
      </c>
      <c r="U178" s="180">
        <v>193170</v>
      </c>
      <c r="V178" s="180">
        <v>0</v>
      </c>
      <c r="W178" s="180">
        <v>0</v>
      </c>
      <c r="X178" s="180">
        <v>0</v>
      </c>
      <c r="Y178" s="180">
        <v>0</v>
      </c>
      <c r="Z178" s="180">
        <v>0</v>
      </c>
      <c r="AA178" s="180">
        <v>0</v>
      </c>
      <c r="AB178" s="180">
        <v>0</v>
      </c>
      <c r="AC178" s="180">
        <v>0</v>
      </c>
      <c r="AD178" s="180">
        <v>0</v>
      </c>
      <c r="AE178" s="180">
        <v>0</v>
      </c>
      <c r="AF178" s="180">
        <v>0</v>
      </c>
      <c r="AG178" s="180">
        <v>0</v>
      </c>
      <c r="AH178" s="180">
        <v>0</v>
      </c>
      <c r="AI178" s="180">
        <v>0</v>
      </c>
      <c r="AJ178" s="180">
        <v>0</v>
      </c>
      <c r="AK178" s="180">
        <v>0</v>
      </c>
      <c r="AL178" s="180">
        <v>0</v>
      </c>
      <c r="AM178" s="180">
        <v>0</v>
      </c>
      <c r="AN178" s="180">
        <v>0</v>
      </c>
      <c r="AO178" s="180"/>
      <c r="AP178" s="180">
        <v>0</v>
      </c>
      <c r="AQ178" s="180">
        <v>0</v>
      </c>
      <c r="AR178" s="180"/>
      <c r="AS178" s="180"/>
      <c r="AT178" s="180"/>
      <c r="AU178" s="180">
        <v>0</v>
      </c>
      <c r="AV178" s="180">
        <v>0</v>
      </c>
      <c r="AW178" s="180"/>
      <c r="AX178" s="180">
        <v>0</v>
      </c>
      <c r="AY178" s="180">
        <v>0</v>
      </c>
      <c r="AZ178" s="180"/>
      <c r="BA178" s="180">
        <v>0</v>
      </c>
      <c r="BB178" s="180">
        <v>0</v>
      </c>
      <c r="BC178" s="180"/>
      <c r="BD178" s="180">
        <v>0</v>
      </c>
      <c r="BE178" s="180">
        <v>0</v>
      </c>
      <c r="BF178" s="180"/>
      <c r="BG178" s="180"/>
      <c r="BH178" s="180">
        <v>0</v>
      </c>
      <c r="BI178" s="180">
        <v>0</v>
      </c>
      <c r="BJ178" s="180">
        <v>0</v>
      </c>
      <c r="BK178" s="180">
        <v>0</v>
      </c>
      <c r="BL178" s="180">
        <v>0</v>
      </c>
      <c r="BM178" s="180">
        <v>0</v>
      </c>
      <c r="BN178" s="180">
        <v>0</v>
      </c>
      <c r="BO178" s="180">
        <v>0</v>
      </c>
      <c r="BP178" s="180">
        <v>0</v>
      </c>
      <c r="BQ178" s="180">
        <v>0</v>
      </c>
      <c r="BR178" s="180">
        <v>0</v>
      </c>
      <c r="BS178" s="180">
        <v>0</v>
      </c>
      <c r="BT178" s="180">
        <v>0</v>
      </c>
      <c r="BU178" s="180">
        <v>0</v>
      </c>
      <c r="BV178" s="180">
        <v>0</v>
      </c>
      <c r="BW178" s="180">
        <v>0</v>
      </c>
      <c r="BX178" s="180"/>
      <c r="BY178" s="180">
        <v>0</v>
      </c>
      <c r="BZ178" s="180">
        <v>0</v>
      </c>
      <c r="CA178" s="180">
        <v>0</v>
      </c>
      <c r="CB178" s="180"/>
      <c r="CC178" s="180"/>
      <c r="CD178" s="180"/>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635</v>
      </c>
      <c r="B179" s="180" t="s">
        <v>375</v>
      </c>
      <c r="C179" s="180"/>
      <c r="D179" s="180">
        <v>0</v>
      </c>
      <c r="E179" s="180">
        <v>0</v>
      </c>
      <c r="F179" s="180"/>
      <c r="G179" s="180">
        <v>120913</v>
      </c>
      <c r="H179" s="180">
        <v>16000</v>
      </c>
      <c r="I179" s="180">
        <v>754</v>
      </c>
      <c r="J179" s="180">
        <v>15965</v>
      </c>
      <c r="K179" s="180">
        <v>5319</v>
      </c>
      <c r="L179" s="180">
        <v>153500</v>
      </c>
      <c r="M179" s="180"/>
      <c r="N179" s="180">
        <v>0</v>
      </c>
      <c r="O179" s="180"/>
      <c r="P179" s="180">
        <v>0</v>
      </c>
      <c r="Q179" s="180">
        <v>70000</v>
      </c>
      <c r="R179" s="180">
        <v>68913</v>
      </c>
      <c r="S179" s="180">
        <v>33998</v>
      </c>
      <c r="T179" s="180">
        <v>0</v>
      </c>
      <c r="U179" s="180">
        <v>28785</v>
      </c>
      <c r="V179" s="180">
        <v>0</v>
      </c>
      <c r="W179" s="180">
        <v>0</v>
      </c>
      <c r="X179" s="180">
        <v>0</v>
      </c>
      <c r="Y179" s="180">
        <v>30000</v>
      </c>
      <c r="Z179" s="180">
        <v>38650</v>
      </c>
      <c r="AA179" s="180">
        <v>2192</v>
      </c>
      <c r="AB179" s="180">
        <v>0</v>
      </c>
      <c r="AC179" s="180">
        <v>0</v>
      </c>
      <c r="AD179" s="180">
        <v>6914</v>
      </c>
      <c r="AE179" s="180">
        <v>7800</v>
      </c>
      <c r="AF179" s="180">
        <v>0</v>
      </c>
      <c r="AG179" s="180">
        <v>0</v>
      </c>
      <c r="AH179" s="180">
        <v>0</v>
      </c>
      <c r="AI179" s="180">
        <v>0</v>
      </c>
      <c r="AJ179" s="180">
        <v>52862</v>
      </c>
      <c r="AK179" s="180">
        <v>252</v>
      </c>
      <c r="AL179" s="180">
        <v>0</v>
      </c>
      <c r="AM179" s="180">
        <v>0</v>
      </c>
      <c r="AN179" s="180">
        <v>63134</v>
      </c>
      <c r="AO179" s="180"/>
      <c r="AP179" s="180">
        <v>0</v>
      </c>
      <c r="AQ179" s="180">
        <v>171000</v>
      </c>
      <c r="AR179" s="180"/>
      <c r="AS179" s="180"/>
      <c r="AT179" s="180"/>
      <c r="AU179" s="180">
        <v>67076</v>
      </c>
      <c r="AV179" s="180">
        <v>4061</v>
      </c>
      <c r="AW179" s="180"/>
      <c r="AX179" s="180">
        <v>0</v>
      </c>
      <c r="AY179" s="180">
        <v>0</v>
      </c>
      <c r="AZ179" s="180"/>
      <c r="BA179" s="180">
        <v>0</v>
      </c>
      <c r="BB179" s="180">
        <v>0</v>
      </c>
      <c r="BC179" s="180"/>
      <c r="BD179" s="180">
        <v>0</v>
      </c>
      <c r="BE179" s="180">
        <v>64589</v>
      </c>
      <c r="BF179" s="180"/>
      <c r="BG179" s="180"/>
      <c r="BH179" s="180">
        <v>0</v>
      </c>
      <c r="BI179" s="180">
        <v>20547</v>
      </c>
      <c r="BJ179" s="180">
        <v>5318</v>
      </c>
      <c r="BK179" s="180">
        <v>0</v>
      </c>
      <c r="BL179" s="180">
        <v>21500</v>
      </c>
      <c r="BM179" s="180">
        <v>0</v>
      </c>
      <c r="BN179" s="180">
        <v>36000</v>
      </c>
      <c r="BO179" s="180">
        <v>12202</v>
      </c>
      <c r="BP179" s="180">
        <v>2796</v>
      </c>
      <c r="BQ179" s="180">
        <v>0</v>
      </c>
      <c r="BR179" s="180">
        <v>0</v>
      </c>
      <c r="BS179" s="180">
        <v>0</v>
      </c>
      <c r="BT179" s="180">
        <v>0</v>
      </c>
      <c r="BU179" s="180">
        <v>0</v>
      </c>
      <c r="BV179" s="180">
        <v>3000</v>
      </c>
      <c r="BW179" s="180">
        <v>0</v>
      </c>
      <c r="BX179" s="180"/>
      <c r="BY179" s="180">
        <v>0</v>
      </c>
      <c r="BZ179" s="180">
        <v>73570</v>
      </c>
      <c r="CA179" s="180">
        <v>0</v>
      </c>
      <c r="CB179" s="180"/>
      <c r="CC179" s="180"/>
      <c r="CD179" s="180"/>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636</v>
      </c>
      <c r="B180" s="180" t="s">
        <v>1671</v>
      </c>
      <c r="C180" s="180"/>
      <c r="D180" s="180">
        <v>0</v>
      </c>
      <c r="E180" s="180">
        <v>0</v>
      </c>
      <c r="F180" s="180"/>
      <c r="G180" s="180">
        <v>0</v>
      </c>
      <c r="H180" s="180">
        <v>0</v>
      </c>
      <c r="I180" s="180">
        <v>0</v>
      </c>
      <c r="J180" s="180">
        <v>0</v>
      </c>
      <c r="K180" s="180">
        <v>0</v>
      </c>
      <c r="L180" s="180">
        <v>0</v>
      </c>
      <c r="M180" s="180"/>
      <c r="N180" s="180">
        <v>0</v>
      </c>
      <c r="O180" s="180"/>
      <c r="P180" s="180">
        <v>0</v>
      </c>
      <c r="Q180" s="180">
        <v>0</v>
      </c>
      <c r="R180" s="180">
        <v>0</v>
      </c>
      <c r="S180" s="180">
        <v>0</v>
      </c>
      <c r="T180" s="180">
        <v>0</v>
      </c>
      <c r="U180" s="180">
        <v>0</v>
      </c>
      <c r="V180" s="180">
        <v>0</v>
      </c>
      <c r="W180" s="180">
        <v>0</v>
      </c>
      <c r="X180" s="180">
        <v>0</v>
      </c>
      <c r="Y180" s="180">
        <v>0</v>
      </c>
      <c r="Z180" s="180">
        <v>0</v>
      </c>
      <c r="AA180" s="180">
        <v>0</v>
      </c>
      <c r="AB180" s="180">
        <v>0</v>
      </c>
      <c r="AC180" s="180">
        <v>0</v>
      </c>
      <c r="AD180" s="180">
        <v>0</v>
      </c>
      <c r="AE180" s="180">
        <v>0</v>
      </c>
      <c r="AF180" s="180">
        <v>0</v>
      </c>
      <c r="AG180" s="180">
        <v>0</v>
      </c>
      <c r="AH180" s="180">
        <v>0</v>
      </c>
      <c r="AI180" s="180">
        <v>0</v>
      </c>
      <c r="AJ180" s="180">
        <v>0</v>
      </c>
      <c r="AK180" s="180">
        <v>0</v>
      </c>
      <c r="AL180" s="180">
        <v>0</v>
      </c>
      <c r="AM180" s="180">
        <v>0</v>
      </c>
      <c r="AN180" s="180">
        <v>0</v>
      </c>
      <c r="AO180" s="180"/>
      <c r="AP180" s="180">
        <v>0</v>
      </c>
      <c r="AQ180" s="180">
        <v>0</v>
      </c>
      <c r="AR180" s="180"/>
      <c r="AS180" s="180"/>
      <c r="AT180" s="180"/>
      <c r="AU180" s="180">
        <v>0</v>
      </c>
      <c r="AV180" s="180">
        <v>0</v>
      </c>
      <c r="AW180" s="180"/>
      <c r="AX180" s="180">
        <v>0</v>
      </c>
      <c r="AY180" s="180">
        <v>0</v>
      </c>
      <c r="AZ180" s="180"/>
      <c r="BA180" s="180">
        <v>0</v>
      </c>
      <c r="BB180" s="180">
        <v>0</v>
      </c>
      <c r="BC180" s="180"/>
      <c r="BD180" s="180">
        <v>0</v>
      </c>
      <c r="BE180" s="180">
        <v>0</v>
      </c>
      <c r="BF180" s="180"/>
      <c r="BG180" s="180"/>
      <c r="BH180" s="180">
        <v>0</v>
      </c>
      <c r="BI180" s="180">
        <v>0</v>
      </c>
      <c r="BJ180" s="180">
        <v>0</v>
      </c>
      <c r="BK180" s="180">
        <v>0</v>
      </c>
      <c r="BL180" s="180">
        <v>0</v>
      </c>
      <c r="BM180" s="180">
        <v>0</v>
      </c>
      <c r="BN180" s="180">
        <v>0</v>
      </c>
      <c r="BO180" s="180">
        <v>0</v>
      </c>
      <c r="BP180" s="180">
        <v>0</v>
      </c>
      <c r="BQ180" s="180">
        <v>0</v>
      </c>
      <c r="BR180" s="180">
        <v>0</v>
      </c>
      <c r="BS180" s="180">
        <v>0</v>
      </c>
      <c r="BT180" s="180">
        <v>0</v>
      </c>
      <c r="BU180" s="180">
        <v>0</v>
      </c>
      <c r="BV180" s="180">
        <v>0</v>
      </c>
      <c r="BW180" s="180">
        <v>0</v>
      </c>
      <c r="BX180" s="180"/>
      <c r="BY180" s="180">
        <v>0</v>
      </c>
      <c r="BZ180" s="180">
        <v>0</v>
      </c>
      <c r="CA180" s="180">
        <v>0</v>
      </c>
      <c r="CB180" s="180"/>
      <c r="CC180" s="180"/>
      <c r="CD180" s="180"/>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637</v>
      </c>
      <c r="B181" s="180" t="s">
        <v>1672</v>
      </c>
      <c r="C181" s="180"/>
      <c r="D181" s="180">
        <v>0</v>
      </c>
      <c r="E181" s="180">
        <v>0</v>
      </c>
      <c r="F181" s="180"/>
      <c r="G181" s="180">
        <v>0</v>
      </c>
      <c r="H181" s="180">
        <v>39911</v>
      </c>
      <c r="I181" s="180">
        <v>29726</v>
      </c>
      <c r="J181" s="180">
        <v>81450</v>
      </c>
      <c r="K181" s="180">
        <v>0</v>
      </c>
      <c r="L181" s="180">
        <v>422128</v>
      </c>
      <c r="M181" s="180"/>
      <c r="N181" s="180">
        <v>0</v>
      </c>
      <c r="O181" s="180"/>
      <c r="P181" s="180">
        <v>0</v>
      </c>
      <c r="Q181" s="180">
        <v>0</v>
      </c>
      <c r="R181" s="180">
        <v>492399</v>
      </c>
      <c r="S181" s="180">
        <v>77530</v>
      </c>
      <c r="T181" s="180">
        <v>0</v>
      </c>
      <c r="U181" s="180">
        <v>0</v>
      </c>
      <c r="V181" s="180">
        <v>0</v>
      </c>
      <c r="W181" s="180">
        <v>0</v>
      </c>
      <c r="X181" s="180">
        <v>0</v>
      </c>
      <c r="Y181" s="180">
        <v>0</v>
      </c>
      <c r="Z181" s="180">
        <v>45865</v>
      </c>
      <c r="AA181" s="180">
        <v>0</v>
      </c>
      <c r="AB181" s="180">
        <v>0</v>
      </c>
      <c r="AC181" s="180">
        <v>0</v>
      </c>
      <c r="AD181" s="180">
        <v>33977</v>
      </c>
      <c r="AE181" s="180">
        <v>22238</v>
      </c>
      <c r="AF181" s="180">
        <v>0</v>
      </c>
      <c r="AG181" s="180">
        <v>0</v>
      </c>
      <c r="AH181" s="180">
        <v>0</v>
      </c>
      <c r="AI181" s="180">
        <v>0</v>
      </c>
      <c r="AJ181" s="180">
        <v>0</v>
      </c>
      <c r="AK181" s="180">
        <v>15300</v>
      </c>
      <c r="AL181" s="180">
        <v>0</v>
      </c>
      <c r="AM181" s="180">
        <v>0</v>
      </c>
      <c r="AN181" s="180">
        <v>193081</v>
      </c>
      <c r="AO181" s="180"/>
      <c r="AP181" s="180">
        <v>0</v>
      </c>
      <c r="AQ181" s="180">
        <v>57665</v>
      </c>
      <c r="AR181" s="180"/>
      <c r="AS181" s="180"/>
      <c r="AT181" s="180"/>
      <c r="AU181" s="180">
        <v>127906</v>
      </c>
      <c r="AV181" s="180">
        <v>52189</v>
      </c>
      <c r="AW181" s="180"/>
      <c r="AX181" s="180">
        <v>0</v>
      </c>
      <c r="AY181" s="180">
        <v>75689</v>
      </c>
      <c r="AZ181" s="180"/>
      <c r="BA181" s="180">
        <v>0</v>
      </c>
      <c r="BB181" s="180">
        <v>0</v>
      </c>
      <c r="BC181" s="180"/>
      <c r="BD181" s="180">
        <v>0</v>
      </c>
      <c r="BE181" s="180">
        <v>53673</v>
      </c>
      <c r="BF181" s="180"/>
      <c r="BG181" s="180"/>
      <c r="BH181" s="180">
        <v>0</v>
      </c>
      <c r="BI181" s="180">
        <v>0</v>
      </c>
      <c r="BJ181" s="180">
        <v>0</v>
      </c>
      <c r="BK181" s="180">
        <v>46165</v>
      </c>
      <c r="BL181" s="180">
        <v>0</v>
      </c>
      <c r="BM181" s="180">
        <v>0</v>
      </c>
      <c r="BN181" s="180">
        <v>271243</v>
      </c>
      <c r="BO181" s="180">
        <v>90875</v>
      </c>
      <c r="BP181" s="180">
        <v>37740</v>
      </c>
      <c r="BQ181" s="180">
        <v>63994</v>
      </c>
      <c r="BR181" s="180">
        <v>0</v>
      </c>
      <c r="BS181" s="180">
        <v>0</v>
      </c>
      <c r="BT181" s="180">
        <v>0</v>
      </c>
      <c r="BU181" s="180">
        <v>45145</v>
      </c>
      <c r="BV181" s="180">
        <v>45932</v>
      </c>
      <c r="BW181" s="180">
        <v>27259</v>
      </c>
      <c r="BX181" s="180"/>
      <c r="BY181" s="180">
        <v>0</v>
      </c>
      <c r="BZ181" s="180">
        <v>738766</v>
      </c>
      <c r="CA181" s="180">
        <v>0</v>
      </c>
      <c r="CB181" s="180"/>
      <c r="CC181" s="180"/>
      <c r="CD181" s="180"/>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638</v>
      </c>
      <c r="B182" s="180" t="s">
        <v>1673</v>
      </c>
      <c r="C182" s="180"/>
      <c r="D182" s="180">
        <v>0</v>
      </c>
      <c r="E182" s="180">
        <v>0</v>
      </c>
      <c r="F182" s="180"/>
      <c r="G182" s="180">
        <v>0</v>
      </c>
      <c r="H182" s="180">
        <v>0</v>
      </c>
      <c r="I182" s="180">
        <v>0</v>
      </c>
      <c r="J182" s="180">
        <v>0</v>
      </c>
      <c r="K182" s="180">
        <v>0</v>
      </c>
      <c r="L182" s="180">
        <v>0</v>
      </c>
      <c r="M182" s="180"/>
      <c r="N182" s="180">
        <v>0</v>
      </c>
      <c r="O182" s="180"/>
      <c r="P182" s="180">
        <v>0</v>
      </c>
      <c r="Q182" s="180">
        <v>0</v>
      </c>
      <c r="R182" s="180">
        <v>0</v>
      </c>
      <c r="S182" s="180">
        <v>0</v>
      </c>
      <c r="T182" s="180">
        <v>0</v>
      </c>
      <c r="U182" s="180">
        <v>0</v>
      </c>
      <c r="V182" s="180">
        <v>0</v>
      </c>
      <c r="W182" s="180">
        <v>0</v>
      </c>
      <c r="X182" s="180">
        <v>0</v>
      </c>
      <c r="Y182" s="180">
        <v>0</v>
      </c>
      <c r="Z182" s="180">
        <v>0</v>
      </c>
      <c r="AA182" s="180">
        <v>0</v>
      </c>
      <c r="AB182" s="180">
        <v>0</v>
      </c>
      <c r="AC182" s="180">
        <v>0</v>
      </c>
      <c r="AD182" s="180">
        <v>0</v>
      </c>
      <c r="AE182" s="180">
        <v>0</v>
      </c>
      <c r="AF182" s="180">
        <v>0</v>
      </c>
      <c r="AG182" s="180">
        <v>0</v>
      </c>
      <c r="AH182" s="180">
        <v>0</v>
      </c>
      <c r="AI182" s="180">
        <v>0</v>
      </c>
      <c r="AJ182" s="180">
        <v>0</v>
      </c>
      <c r="AK182" s="180">
        <v>0</v>
      </c>
      <c r="AL182" s="180">
        <v>0</v>
      </c>
      <c r="AM182" s="180">
        <v>0</v>
      </c>
      <c r="AN182" s="180">
        <v>0</v>
      </c>
      <c r="AO182" s="180"/>
      <c r="AP182" s="180">
        <v>0</v>
      </c>
      <c r="AQ182" s="180">
        <v>0</v>
      </c>
      <c r="AR182" s="180"/>
      <c r="AS182" s="180"/>
      <c r="AT182" s="180"/>
      <c r="AU182" s="180">
        <v>0</v>
      </c>
      <c r="AV182" s="180">
        <v>0</v>
      </c>
      <c r="AW182" s="180"/>
      <c r="AX182" s="180">
        <v>0</v>
      </c>
      <c r="AY182" s="180">
        <v>0</v>
      </c>
      <c r="AZ182" s="180"/>
      <c r="BA182" s="180">
        <v>0</v>
      </c>
      <c r="BB182" s="180">
        <v>0</v>
      </c>
      <c r="BC182" s="180"/>
      <c r="BD182" s="180">
        <v>0</v>
      </c>
      <c r="BE182" s="180">
        <v>0</v>
      </c>
      <c r="BF182" s="180"/>
      <c r="BG182" s="180"/>
      <c r="BH182" s="180">
        <v>0</v>
      </c>
      <c r="BI182" s="180">
        <v>0</v>
      </c>
      <c r="BJ182" s="180">
        <v>0</v>
      </c>
      <c r="BK182" s="180">
        <v>0</v>
      </c>
      <c r="BL182" s="180">
        <v>0</v>
      </c>
      <c r="BM182" s="180">
        <v>0</v>
      </c>
      <c r="BN182" s="180">
        <v>0</v>
      </c>
      <c r="BO182" s="180">
        <v>0</v>
      </c>
      <c r="BP182" s="180">
        <v>0</v>
      </c>
      <c r="BQ182" s="180">
        <v>0</v>
      </c>
      <c r="BR182" s="180">
        <v>0</v>
      </c>
      <c r="BS182" s="180">
        <v>0</v>
      </c>
      <c r="BT182" s="180">
        <v>0</v>
      </c>
      <c r="BU182" s="180">
        <v>0</v>
      </c>
      <c r="BV182" s="180">
        <v>0</v>
      </c>
      <c r="BW182" s="180">
        <v>0</v>
      </c>
      <c r="BX182" s="180"/>
      <c r="BY182" s="180">
        <v>0</v>
      </c>
      <c r="BZ182" s="180">
        <v>0</v>
      </c>
      <c r="CA182" s="180">
        <v>0</v>
      </c>
      <c r="CB182" s="180"/>
      <c r="CC182" s="180"/>
      <c r="CD182" s="180"/>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639</v>
      </c>
      <c r="B183" s="180" t="s">
        <v>1674</v>
      </c>
      <c r="C183" s="180"/>
      <c r="D183" s="180">
        <v>0</v>
      </c>
      <c r="E183" s="180">
        <v>0</v>
      </c>
      <c r="F183" s="180"/>
      <c r="G183" s="180">
        <v>0</v>
      </c>
      <c r="H183" s="180">
        <v>0</v>
      </c>
      <c r="I183" s="180">
        <v>0</v>
      </c>
      <c r="J183" s="180">
        <v>0</v>
      </c>
      <c r="K183" s="180">
        <v>0</v>
      </c>
      <c r="L183" s="180">
        <v>0</v>
      </c>
      <c r="M183" s="180"/>
      <c r="N183" s="180">
        <v>0</v>
      </c>
      <c r="O183" s="180"/>
      <c r="P183" s="180">
        <v>0</v>
      </c>
      <c r="Q183" s="180">
        <v>0</v>
      </c>
      <c r="R183" s="180">
        <v>0</v>
      </c>
      <c r="S183" s="180">
        <v>1768650</v>
      </c>
      <c r="T183" s="180">
        <v>0</v>
      </c>
      <c r="U183" s="180">
        <v>2075586</v>
      </c>
      <c r="V183" s="180">
        <v>0</v>
      </c>
      <c r="W183" s="180">
        <v>0</v>
      </c>
      <c r="X183" s="180">
        <v>0</v>
      </c>
      <c r="Y183" s="180">
        <v>0</v>
      </c>
      <c r="Z183" s="180">
        <v>1826341</v>
      </c>
      <c r="AA183" s="180">
        <v>334210</v>
      </c>
      <c r="AB183" s="180">
        <v>0</v>
      </c>
      <c r="AC183" s="180">
        <v>0</v>
      </c>
      <c r="AD183" s="180">
        <v>0</v>
      </c>
      <c r="AE183" s="180">
        <v>636702</v>
      </c>
      <c r="AF183" s="180">
        <v>0</v>
      </c>
      <c r="AG183" s="180">
        <v>0</v>
      </c>
      <c r="AH183" s="180">
        <v>0</v>
      </c>
      <c r="AI183" s="180">
        <v>0</v>
      </c>
      <c r="AJ183" s="180">
        <v>2129543</v>
      </c>
      <c r="AK183" s="180">
        <v>0</v>
      </c>
      <c r="AL183" s="180">
        <v>0</v>
      </c>
      <c r="AM183" s="180">
        <v>0</v>
      </c>
      <c r="AN183" s="180">
        <v>0</v>
      </c>
      <c r="AO183" s="180"/>
      <c r="AP183" s="180">
        <v>0</v>
      </c>
      <c r="AQ183" s="180">
        <v>5453473</v>
      </c>
      <c r="AR183" s="180"/>
      <c r="AS183" s="180"/>
      <c r="AT183" s="180"/>
      <c r="AU183" s="180">
        <v>948686</v>
      </c>
      <c r="AV183" s="180">
        <v>0</v>
      </c>
      <c r="AW183" s="180"/>
      <c r="AX183" s="180">
        <v>0</v>
      </c>
      <c r="AY183" s="180">
        <v>0</v>
      </c>
      <c r="AZ183" s="180"/>
      <c r="BA183" s="180">
        <v>0</v>
      </c>
      <c r="BB183" s="180">
        <v>0</v>
      </c>
      <c r="BC183" s="180"/>
      <c r="BD183" s="180">
        <v>0</v>
      </c>
      <c r="BE183" s="180">
        <v>5867007</v>
      </c>
      <c r="BF183" s="180"/>
      <c r="BG183" s="180"/>
      <c r="BH183" s="180">
        <v>0</v>
      </c>
      <c r="BI183" s="180">
        <v>0</v>
      </c>
      <c r="BJ183" s="180">
        <v>0</v>
      </c>
      <c r="BK183" s="180">
        <v>160467</v>
      </c>
      <c r="BL183" s="180">
        <v>0</v>
      </c>
      <c r="BM183" s="180">
        <v>0</v>
      </c>
      <c r="BN183" s="180">
        <v>0</v>
      </c>
      <c r="BO183" s="180">
        <v>0</v>
      </c>
      <c r="BP183" s="180">
        <v>0</v>
      </c>
      <c r="BQ183" s="180">
        <v>0</v>
      </c>
      <c r="BR183" s="180">
        <v>0</v>
      </c>
      <c r="BS183" s="180">
        <v>0</v>
      </c>
      <c r="BT183" s="180">
        <v>0</v>
      </c>
      <c r="BU183" s="180">
        <v>0</v>
      </c>
      <c r="BV183" s="180">
        <v>0</v>
      </c>
      <c r="BW183" s="180">
        <v>0</v>
      </c>
      <c r="BX183" s="180"/>
      <c r="BY183" s="180">
        <v>0</v>
      </c>
      <c r="BZ183" s="180">
        <v>0</v>
      </c>
      <c r="CA183" s="180">
        <v>0</v>
      </c>
      <c r="CB183" s="180"/>
      <c r="CC183" s="180"/>
      <c r="CD183" s="180"/>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640</v>
      </c>
      <c r="B184" s="180" t="s">
        <v>1675</v>
      </c>
      <c r="C184" s="180"/>
      <c r="D184" s="180">
        <v>0</v>
      </c>
      <c r="E184" s="180">
        <v>0</v>
      </c>
      <c r="F184" s="180"/>
      <c r="G184" s="180">
        <v>0</v>
      </c>
      <c r="H184" s="180">
        <v>0</v>
      </c>
      <c r="I184" s="180">
        <v>0</v>
      </c>
      <c r="J184" s="180">
        <v>0</v>
      </c>
      <c r="K184" s="180">
        <v>0</v>
      </c>
      <c r="L184" s="180">
        <v>0</v>
      </c>
      <c r="M184" s="180"/>
      <c r="N184" s="180">
        <v>0</v>
      </c>
      <c r="O184" s="180"/>
      <c r="P184" s="180">
        <v>0</v>
      </c>
      <c r="Q184" s="180">
        <v>0</v>
      </c>
      <c r="R184" s="180">
        <v>0</v>
      </c>
      <c r="S184" s="180">
        <v>0</v>
      </c>
      <c r="T184" s="180">
        <v>0</v>
      </c>
      <c r="U184" s="180">
        <v>217830</v>
      </c>
      <c r="V184" s="180">
        <v>0</v>
      </c>
      <c r="W184" s="180">
        <v>0</v>
      </c>
      <c r="X184" s="180">
        <v>0</v>
      </c>
      <c r="Y184" s="180">
        <v>0</v>
      </c>
      <c r="Z184" s="180">
        <v>0</v>
      </c>
      <c r="AA184" s="180">
        <v>0</v>
      </c>
      <c r="AB184" s="180">
        <v>0</v>
      </c>
      <c r="AC184" s="180">
        <v>0</v>
      </c>
      <c r="AD184" s="180">
        <v>0</v>
      </c>
      <c r="AE184" s="180">
        <v>0</v>
      </c>
      <c r="AF184" s="180">
        <v>0</v>
      </c>
      <c r="AG184" s="180">
        <v>0</v>
      </c>
      <c r="AH184" s="180">
        <v>0</v>
      </c>
      <c r="AI184" s="180">
        <v>0</v>
      </c>
      <c r="AJ184" s="180">
        <v>0</v>
      </c>
      <c r="AK184" s="180">
        <v>0</v>
      </c>
      <c r="AL184" s="180">
        <v>0</v>
      </c>
      <c r="AM184" s="180">
        <v>0</v>
      </c>
      <c r="AN184" s="180">
        <v>0</v>
      </c>
      <c r="AO184" s="180"/>
      <c r="AP184" s="180">
        <v>0</v>
      </c>
      <c r="AQ184" s="180">
        <v>0</v>
      </c>
      <c r="AR184" s="180"/>
      <c r="AS184" s="180"/>
      <c r="AT184" s="180"/>
      <c r="AU184" s="180">
        <v>0</v>
      </c>
      <c r="AV184" s="180">
        <v>0</v>
      </c>
      <c r="AW184" s="180"/>
      <c r="AX184" s="180">
        <v>0</v>
      </c>
      <c r="AY184" s="180">
        <v>0</v>
      </c>
      <c r="AZ184" s="180"/>
      <c r="BA184" s="180">
        <v>0</v>
      </c>
      <c r="BB184" s="180">
        <v>0</v>
      </c>
      <c r="BC184" s="180"/>
      <c r="BD184" s="180">
        <v>0</v>
      </c>
      <c r="BE184" s="180">
        <v>0</v>
      </c>
      <c r="BF184" s="180"/>
      <c r="BG184" s="180"/>
      <c r="BH184" s="180">
        <v>0</v>
      </c>
      <c r="BI184" s="180">
        <v>0</v>
      </c>
      <c r="BJ184" s="180">
        <v>0</v>
      </c>
      <c r="BK184" s="180">
        <v>0</v>
      </c>
      <c r="BL184" s="180">
        <v>0</v>
      </c>
      <c r="BM184" s="180">
        <v>0</v>
      </c>
      <c r="BN184" s="180">
        <v>0</v>
      </c>
      <c r="BO184" s="180">
        <v>0</v>
      </c>
      <c r="BP184" s="180">
        <v>0</v>
      </c>
      <c r="BQ184" s="180">
        <v>0</v>
      </c>
      <c r="BR184" s="180">
        <v>0</v>
      </c>
      <c r="BS184" s="180">
        <v>0</v>
      </c>
      <c r="BT184" s="180">
        <v>0</v>
      </c>
      <c r="BU184" s="180">
        <v>0</v>
      </c>
      <c r="BV184" s="180">
        <v>0</v>
      </c>
      <c r="BW184" s="180">
        <v>0</v>
      </c>
      <c r="BX184" s="180"/>
      <c r="BY184" s="180">
        <v>0</v>
      </c>
      <c r="BZ184" s="180">
        <v>0</v>
      </c>
      <c r="CA184" s="180">
        <v>0</v>
      </c>
      <c r="CB184" s="180"/>
      <c r="CC184" s="180"/>
      <c r="CD184" s="180"/>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641</v>
      </c>
      <c r="B185" s="180" t="s">
        <v>1676</v>
      </c>
      <c r="C185" s="180"/>
      <c r="D185" s="180">
        <v>0</v>
      </c>
      <c r="E185" s="180">
        <v>0</v>
      </c>
      <c r="F185" s="180"/>
      <c r="G185" s="180">
        <v>0</v>
      </c>
      <c r="H185" s="180">
        <v>0</v>
      </c>
      <c r="I185" s="180">
        <v>0</v>
      </c>
      <c r="J185" s="180">
        <v>0</v>
      </c>
      <c r="K185" s="180">
        <v>0</v>
      </c>
      <c r="L185" s="180">
        <v>0</v>
      </c>
      <c r="M185" s="180"/>
      <c r="N185" s="180">
        <v>0</v>
      </c>
      <c r="O185" s="180"/>
      <c r="P185" s="180">
        <v>0</v>
      </c>
      <c r="Q185" s="180">
        <v>0</v>
      </c>
      <c r="R185" s="180">
        <v>0</v>
      </c>
      <c r="S185" s="180">
        <v>34355</v>
      </c>
      <c r="T185" s="180">
        <v>0</v>
      </c>
      <c r="U185" s="180">
        <v>19919</v>
      </c>
      <c r="V185" s="180">
        <v>0</v>
      </c>
      <c r="W185" s="180">
        <v>0</v>
      </c>
      <c r="X185" s="180">
        <v>0</v>
      </c>
      <c r="Y185" s="180">
        <v>0</v>
      </c>
      <c r="Z185" s="180">
        <v>26500</v>
      </c>
      <c r="AA185" s="180">
        <v>310</v>
      </c>
      <c r="AB185" s="180">
        <v>0</v>
      </c>
      <c r="AC185" s="180">
        <v>0</v>
      </c>
      <c r="AD185" s="180">
        <v>0</v>
      </c>
      <c r="AE185" s="180">
        <v>28900</v>
      </c>
      <c r="AF185" s="180">
        <v>0</v>
      </c>
      <c r="AG185" s="180">
        <v>0</v>
      </c>
      <c r="AH185" s="180">
        <v>0</v>
      </c>
      <c r="AI185" s="180">
        <v>0</v>
      </c>
      <c r="AJ185" s="180">
        <v>46954</v>
      </c>
      <c r="AK185" s="180">
        <v>0</v>
      </c>
      <c r="AL185" s="180">
        <v>0</v>
      </c>
      <c r="AM185" s="180">
        <v>0</v>
      </c>
      <c r="AN185" s="180">
        <v>0</v>
      </c>
      <c r="AO185" s="180"/>
      <c r="AP185" s="180">
        <v>0</v>
      </c>
      <c r="AQ185" s="180">
        <v>0</v>
      </c>
      <c r="AR185" s="180"/>
      <c r="AS185" s="180"/>
      <c r="AT185" s="180"/>
      <c r="AU185" s="180">
        <v>17081</v>
      </c>
      <c r="AV185" s="180">
        <v>0</v>
      </c>
      <c r="AW185" s="180"/>
      <c r="AX185" s="180">
        <v>0</v>
      </c>
      <c r="AY185" s="180">
        <v>0</v>
      </c>
      <c r="AZ185" s="180"/>
      <c r="BA185" s="180">
        <v>0</v>
      </c>
      <c r="BB185" s="180">
        <v>0</v>
      </c>
      <c r="BC185" s="180"/>
      <c r="BD185" s="180">
        <v>0</v>
      </c>
      <c r="BE185" s="180">
        <v>36882</v>
      </c>
      <c r="BF185" s="180"/>
      <c r="BG185" s="180"/>
      <c r="BH185" s="180">
        <v>0</v>
      </c>
      <c r="BI185" s="180">
        <v>0</v>
      </c>
      <c r="BJ185" s="180">
        <v>0</v>
      </c>
      <c r="BK185" s="180">
        <v>0</v>
      </c>
      <c r="BL185" s="180">
        <v>0</v>
      </c>
      <c r="BM185" s="180">
        <v>0</v>
      </c>
      <c r="BN185" s="180">
        <v>0</v>
      </c>
      <c r="BO185" s="180">
        <v>0</v>
      </c>
      <c r="BP185" s="180">
        <v>0</v>
      </c>
      <c r="BQ185" s="180">
        <v>0</v>
      </c>
      <c r="BR185" s="180">
        <v>0</v>
      </c>
      <c r="BS185" s="180">
        <v>0</v>
      </c>
      <c r="BT185" s="180">
        <v>0</v>
      </c>
      <c r="BU185" s="180">
        <v>0</v>
      </c>
      <c r="BV185" s="180">
        <v>0</v>
      </c>
      <c r="BW185" s="180">
        <v>0</v>
      </c>
      <c r="BX185" s="180"/>
      <c r="BY185" s="180">
        <v>0</v>
      </c>
      <c r="BZ185" s="180">
        <v>0</v>
      </c>
      <c r="CA185" s="180">
        <v>0</v>
      </c>
      <c r="CB185" s="180"/>
      <c r="CC185" s="180"/>
      <c r="CD185" s="180"/>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642</v>
      </c>
      <c r="B186" s="180" t="s">
        <v>1677</v>
      </c>
      <c r="C186" s="180"/>
      <c r="D186" s="180">
        <v>0</v>
      </c>
      <c r="E186" s="180">
        <v>0</v>
      </c>
      <c r="F186" s="180"/>
      <c r="G186" s="180">
        <v>0</v>
      </c>
      <c r="H186" s="180">
        <v>0</v>
      </c>
      <c r="I186" s="180">
        <v>0</v>
      </c>
      <c r="J186" s="180">
        <v>0</v>
      </c>
      <c r="K186" s="180">
        <v>0</v>
      </c>
      <c r="L186" s="180">
        <v>0</v>
      </c>
      <c r="M186" s="180"/>
      <c r="N186" s="180">
        <v>0</v>
      </c>
      <c r="O186" s="180"/>
      <c r="P186" s="180">
        <v>0</v>
      </c>
      <c r="Q186" s="180">
        <v>0</v>
      </c>
      <c r="R186" s="180">
        <v>0</v>
      </c>
      <c r="S186" s="180">
        <v>0</v>
      </c>
      <c r="T186" s="180">
        <v>0</v>
      </c>
      <c r="U186" s="180">
        <v>0</v>
      </c>
      <c r="V186" s="180">
        <v>0</v>
      </c>
      <c r="W186" s="180">
        <v>0</v>
      </c>
      <c r="X186" s="180">
        <v>0</v>
      </c>
      <c r="Y186" s="180">
        <v>0</v>
      </c>
      <c r="Z186" s="180">
        <v>0</v>
      </c>
      <c r="AA186" s="180">
        <v>0</v>
      </c>
      <c r="AB186" s="180">
        <v>0</v>
      </c>
      <c r="AC186" s="180">
        <v>0</v>
      </c>
      <c r="AD186" s="180">
        <v>0</v>
      </c>
      <c r="AE186" s="180">
        <v>0</v>
      </c>
      <c r="AF186" s="180">
        <v>0</v>
      </c>
      <c r="AG186" s="180">
        <v>0</v>
      </c>
      <c r="AH186" s="180">
        <v>0</v>
      </c>
      <c r="AI186" s="180">
        <v>0</v>
      </c>
      <c r="AJ186" s="180">
        <v>0</v>
      </c>
      <c r="AK186" s="180">
        <v>0</v>
      </c>
      <c r="AL186" s="180">
        <v>0</v>
      </c>
      <c r="AM186" s="180">
        <v>0</v>
      </c>
      <c r="AN186" s="180">
        <v>0</v>
      </c>
      <c r="AO186" s="180"/>
      <c r="AP186" s="180">
        <v>0</v>
      </c>
      <c r="AQ186" s="180">
        <v>0</v>
      </c>
      <c r="AR186" s="180"/>
      <c r="AS186" s="180"/>
      <c r="AT186" s="180"/>
      <c r="AU186" s="180">
        <v>0</v>
      </c>
      <c r="AV186" s="180">
        <v>0</v>
      </c>
      <c r="AW186" s="180"/>
      <c r="AX186" s="180">
        <v>0</v>
      </c>
      <c r="AY186" s="180">
        <v>0</v>
      </c>
      <c r="AZ186" s="180"/>
      <c r="BA186" s="180">
        <v>0</v>
      </c>
      <c r="BB186" s="180">
        <v>0</v>
      </c>
      <c r="BC186" s="180"/>
      <c r="BD186" s="180">
        <v>0</v>
      </c>
      <c r="BE186" s="180">
        <v>0</v>
      </c>
      <c r="BF186" s="180"/>
      <c r="BG186" s="180"/>
      <c r="BH186" s="180">
        <v>0</v>
      </c>
      <c r="BI186" s="180">
        <v>0</v>
      </c>
      <c r="BJ186" s="180">
        <v>0</v>
      </c>
      <c r="BK186" s="180">
        <v>0</v>
      </c>
      <c r="BL186" s="180">
        <v>0</v>
      </c>
      <c r="BM186" s="180">
        <v>0</v>
      </c>
      <c r="BN186" s="180">
        <v>0</v>
      </c>
      <c r="BO186" s="180">
        <v>0</v>
      </c>
      <c r="BP186" s="180">
        <v>0</v>
      </c>
      <c r="BQ186" s="180">
        <v>0</v>
      </c>
      <c r="BR186" s="180">
        <v>0</v>
      </c>
      <c r="BS186" s="180">
        <v>0</v>
      </c>
      <c r="BT186" s="180">
        <v>0</v>
      </c>
      <c r="BU186" s="180">
        <v>0</v>
      </c>
      <c r="BV186" s="180">
        <v>0</v>
      </c>
      <c r="BW186" s="180">
        <v>0</v>
      </c>
      <c r="BX186" s="180"/>
      <c r="BY186" s="180">
        <v>0</v>
      </c>
      <c r="BZ186" s="180">
        <v>0</v>
      </c>
      <c r="CA186" s="180">
        <v>0</v>
      </c>
      <c r="CB186" s="180"/>
      <c r="CC186" s="180"/>
      <c r="CD186" s="180"/>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643</v>
      </c>
      <c r="B187" s="180" t="s">
        <v>1678</v>
      </c>
      <c r="C187" s="180"/>
      <c r="D187" s="180">
        <v>0</v>
      </c>
      <c r="E187" s="180">
        <v>0</v>
      </c>
      <c r="F187" s="180"/>
      <c r="G187" s="180">
        <v>0</v>
      </c>
      <c r="H187" s="180">
        <v>0</v>
      </c>
      <c r="I187" s="180">
        <v>0</v>
      </c>
      <c r="J187" s="180">
        <v>0</v>
      </c>
      <c r="K187" s="180">
        <v>0</v>
      </c>
      <c r="L187" s="180">
        <v>0</v>
      </c>
      <c r="M187" s="180"/>
      <c r="N187" s="180">
        <v>0</v>
      </c>
      <c r="O187" s="180"/>
      <c r="P187" s="180">
        <v>0</v>
      </c>
      <c r="Q187" s="180">
        <v>0</v>
      </c>
      <c r="R187" s="180">
        <v>0</v>
      </c>
      <c r="S187" s="180">
        <v>153998</v>
      </c>
      <c r="T187" s="180">
        <v>0</v>
      </c>
      <c r="U187" s="180">
        <v>0</v>
      </c>
      <c r="V187" s="180">
        <v>0</v>
      </c>
      <c r="W187" s="180">
        <v>0</v>
      </c>
      <c r="X187" s="180">
        <v>0</v>
      </c>
      <c r="Y187" s="180">
        <v>0</v>
      </c>
      <c r="Z187" s="180">
        <v>1038925</v>
      </c>
      <c r="AA187" s="180">
        <v>0</v>
      </c>
      <c r="AB187" s="180">
        <v>0</v>
      </c>
      <c r="AC187" s="180">
        <v>0</v>
      </c>
      <c r="AD187" s="180">
        <v>0</v>
      </c>
      <c r="AE187" s="180">
        <v>130005</v>
      </c>
      <c r="AF187" s="180">
        <v>0</v>
      </c>
      <c r="AG187" s="180">
        <v>0</v>
      </c>
      <c r="AH187" s="180">
        <v>0</v>
      </c>
      <c r="AI187" s="180">
        <v>0</v>
      </c>
      <c r="AJ187" s="180">
        <v>0</v>
      </c>
      <c r="AK187" s="180">
        <v>0</v>
      </c>
      <c r="AL187" s="180">
        <v>0</v>
      </c>
      <c r="AM187" s="180">
        <v>0</v>
      </c>
      <c r="AN187" s="180">
        <v>0</v>
      </c>
      <c r="AO187" s="180"/>
      <c r="AP187" s="180">
        <v>0</v>
      </c>
      <c r="AQ187" s="180">
        <v>685078</v>
      </c>
      <c r="AR187" s="180"/>
      <c r="AS187" s="180"/>
      <c r="AT187" s="180"/>
      <c r="AU187" s="180">
        <v>293080</v>
      </c>
      <c r="AV187" s="180">
        <v>0</v>
      </c>
      <c r="AW187" s="180"/>
      <c r="AX187" s="180">
        <v>0</v>
      </c>
      <c r="AY187" s="180">
        <v>0</v>
      </c>
      <c r="AZ187" s="180"/>
      <c r="BA187" s="180">
        <v>0</v>
      </c>
      <c r="BB187" s="180">
        <v>0</v>
      </c>
      <c r="BC187" s="180"/>
      <c r="BD187" s="180">
        <v>0</v>
      </c>
      <c r="BE187" s="180">
        <v>3293217</v>
      </c>
      <c r="BF187" s="180"/>
      <c r="BG187" s="180"/>
      <c r="BH187" s="180">
        <v>0</v>
      </c>
      <c r="BI187" s="180">
        <v>0</v>
      </c>
      <c r="BJ187" s="180">
        <v>0</v>
      </c>
      <c r="BK187" s="180">
        <v>139573</v>
      </c>
      <c r="BL187" s="180">
        <v>0</v>
      </c>
      <c r="BM187" s="180">
        <v>0</v>
      </c>
      <c r="BN187" s="180">
        <v>0</v>
      </c>
      <c r="BO187" s="180">
        <v>0</v>
      </c>
      <c r="BP187" s="180">
        <v>0</v>
      </c>
      <c r="BQ187" s="180">
        <v>0</v>
      </c>
      <c r="BR187" s="180">
        <v>0</v>
      </c>
      <c r="BS187" s="180">
        <v>0</v>
      </c>
      <c r="BT187" s="180">
        <v>0</v>
      </c>
      <c r="BU187" s="180">
        <v>0</v>
      </c>
      <c r="BV187" s="180">
        <v>0</v>
      </c>
      <c r="BW187" s="180">
        <v>0</v>
      </c>
      <c r="BX187" s="180"/>
      <c r="BY187" s="180">
        <v>0</v>
      </c>
      <c r="BZ187" s="180">
        <v>0</v>
      </c>
      <c r="CA187" s="180">
        <v>0</v>
      </c>
      <c r="CB187" s="180"/>
      <c r="CC187" s="180"/>
      <c r="CD187" s="180"/>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644</v>
      </c>
      <c r="B188" s="180" t="s">
        <v>1679</v>
      </c>
      <c r="C188" s="180"/>
      <c r="D188" s="180">
        <v>0</v>
      </c>
      <c r="E188" s="180">
        <v>0</v>
      </c>
      <c r="F188" s="180"/>
      <c r="G188" s="180">
        <v>0</v>
      </c>
      <c r="H188" s="180">
        <v>0</v>
      </c>
      <c r="I188" s="180">
        <v>0</v>
      </c>
      <c r="J188" s="180">
        <v>0</v>
      </c>
      <c r="K188" s="180">
        <v>0</v>
      </c>
      <c r="L188" s="180">
        <v>0</v>
      </c>
      <c r="M188" s="180"/>
      <c r="N188" s="180">
        <v>0</v>
      </c>
      <c r="O188" s="180"/>
      <c r="P188" s="180">
        <v>0</v>
      </c>
      <c r="Q188" s="180">
        <v>0</v>
      </c>
      <c r="R188" s="180">
        <v>0</v>
      </c>
      <c r="S188" s="180">
        <v>0</v>
      </c>
      <c r="T188" s="180">
        <v>0</v>
      </c>
      <c r="U188" s="180">
        <v>0</v>
      </c>
      <c r="V188" s="180">
        <v>0</v>
      </c>
      <c r="W188" s="180">
        <v>0</v>
      </c>
      <c r="X188" s="180">
        <v>0</v>
      </c>
      <c r="Y188" s="180">
        <v>0</v>
      </c>
      <c r="Z188" s="180">
        <v>0</v>
      </c>
      <c r="AA188" s="180">
        <v>0</v>
      </c>
      <c r="AB188" s="180">
        <v>0</v>
      </c>
      <c r="AC188" s="180">
        <v>0</v>
      </c>
      <c r="AD188" s="180">
        <v>0</v>
      </c>
      <c r="AE188" s="180">
        <v>0</v>
      </c>
      <c r="AF188" s="180">
        <v>0</v>
      </c>
      <c r="AG188" s="180">
        <v>0</v>
      </c>
      <c r="AH188" s="180">
        <v>0</v>
      </c>
      <c r="AI188" s="180">
        <v>0</v>
      </c>
      <c r="AJ188" s="180">
        <v>0</v>
      </c>
      <c r="AK188" s="180">
        <v>0</v>
      </c>
      <c r="AL188" s="180">
        <v>0</v>
      </c>
      <c r="AM188" s="180">
        <v>0</v>
      </c>
      <c r="AN188" s="180">
        <v>0</v>
      </c>
      <c r="AO188" s="180"/>
      <c r="AP188" s="180">
        <v>0</v>
      </c>
      <c r="AQ188" s="180">
        <v>0</v>
      </c>
      <c r="AR188" s="180"/>
      <c r="AS188" s="180"/>
      <c r="AT188" s="180"/>
      <c r="AU188" s="180">
        <v>0</v>
      </c>
      <c r="AV188" s="180">
        <v>0</v>
      </c>
      <c r="AW188" s="180"/>
      <c r="AX188" s="180">
        <v>0</v>
      </c>
      <c r="AY188" s="180">
        <v>0</v>
      </c>
      <c r="AZ188" s="180"/>
      <c r="BA188" s="180">
        <v>0</v>
      </c>
      <c r="BB188" s="180">
        <v>0</v>
      </c>
      <c r="BC188" s="180"/>
      <c r="BD188" s="180">
        <v>0</v>
      </c>
      <c r="BE188" s="180">
        <v>0</v>
      </c>
      <c r="BF188" s="180"/>
      <c r="BG188" s="180"/>
      <c r="BH188" s="180">
        <v>0</v>
      </c>
      <c r="BI188" s="180">
        <v>0</v>
      </c>
      <c r="BJ188" s="180">
        <v>0</v>
      </c>
      <c r="BK188" s="180">
        <v>0</v>
      </c>
      <c r="BL188" s="180">
        <v>0</v>
      </c>
      <c r="BM188" s="180">
        <v>0</v>
      </c>
      <c r="BN188" s="180">
        <v>0</v>
      </c>
      <c r="BO188" s="180">
        <v>0</v>
      </c>
      <c r="BP188" s="180">
        <v>0</v>
      </c>
      <c r="BQ188" s="180">
        <v>0</v>
      </c>
      <c r="BR188" s="180">
        <v>0</v>
      </c>
      <c r="BS188" s="180">
        <v>0</v>
      </c>
      <c r="BT188" s="180">
        <v>0</v>
      </c>
      <c r="BU188" s="180">
        <v>0</v>
      </c>
      <c r="BV188" s="180">
        <v>0</v>
      </c>
      <c r="BW188" s="180">
        <v>0</v>
      </c>
      <c r="BX188" s="180"/>
      <c r="BY188" s="180">
        <v>0</v>
      </c>
      <c r="BZ188" s="180">
        <v>0</v>
      </c>
      <c r="CA188" s="180">
        <v>0</v>
      </c>
      <c r="CB188" s="180"/>
      <c r="CC188" s="180"/>
      <c r="CD188" s="180"/>
      <c r="CE188" s="180"/>
      <c r="CF188" s="180"/>
      <c r="CG188" s="180"/>
      <c r="CH188" s="180"/>
      <c r="CI188" s="180"/>
      <c r="CJ188" s="180"/>
      <c r="CK188" s="180"/>
      <c r="CL188" s="180"/>
      <c r="CM188" s="180"/>
      <c r="CN188" s="180"/>
      <c r="CO188" s="180"/>
      <c r="CP188" s="180"/>
      <c r="CQ188" s="180"/>
      <c r="CR188" s="180"/>
      <c r="CS188" s="180"/>
      <c r="CT188" s="180"/>
      <c r="CU188" s="180"/>
    </row>
    <row r="189" spans="1:99" s="562" customFormat="1" x14ac:dyDescent="0.3">
      <c r="A189" s="561">
        <v>645</v>
      </c>
      <c r="B189" s="562" t="s">
        <v>386</v>
      </c>
      <c r="D189" s="562">
        <v>0</v>
      </c>
      <c r="E189" s="562">
        <v>396081</v>
      </c>
      <c r="G189" s="562">
        <v>3548030</v>
      </c>
      <c r="H189" s="562">
        <v>740448</v>
      </c>
      <c r="I189" s="562">
        <v>15890</v>
      </c>
      <c r="J189" s="562">
        <v>484117</v>
      </c>
      <c r="K189" s="562">
        <v>0</v>
      </c>
      <c r="L189" s="562">
        <v>0</v>
      </c>
      <c r="N189" s="562">
        <v>0</v>
      </c>
      <c r="P189" s="562">
        <v>0</v>
      </c>
      <c r="Q189" s="562">
        <v>2254309</v>
      </c>
      <c r="R189" s="562">
        <v>0</v>
      </c>
      <c r="S189" s="562">
        <v>0</v>
      </c>
      <c r="T189" s="562">
        <v>0</v>
      </c>
      <c r="U189" s="562">
        <v>1878109</v>
      </c>
      <c r="V189" s="562">
        <v>12600</v>
      </c>
      <c r="W189" s="562">
        <v>0</v>
      </c>
      <c r="X189" s="562">
        <v>333000</v>
      </c>
      <c r="Y189" s="562">
        <v>1199522</v>
      </c>
      <c r="Z189" s="562">
        <v>0</v>
      </c>
      <c r="AA189" s="562">
        <v>50000</v>
      </c>
      <c r="AB189" s="562">
        <v>0</v>
      </c>
      <c r="AC189" s="562">
        <v>0</v>
      </c>
      <c r="AD189" s="562">
        <v>113486</v>
      </c>
      <c r="AE189" s="562">
        <v>415300</v>
      </c>
      <c r="AF189" s="562">
        <v>0</v>
      </c>
      <c r="AG189" s="562">
        <v>18601</v>
      </c>
      <c r="AH189" s="562">
        <v>0</v>
      </c>
      <c r="AI189" s="562">
        <v>290218</v>
      </c>
      <c r="AJ189" s="562">
        <v>521128</v>
      </c>
      <c r="AK189" s="562">
        <v>0</v>
      </c>
      <c r="AL189" s="562">
        <v>0</v>
      </c>
      <c r="AM189" s="562">
        <v>0</v>
      </c>
      <c r="AN189" s="562">
        <v>0</v>
      </c>
      <c r="AP189" s="562">
        <v>1205260</v>
      </c>
      <c r="AQ189" s="562">
        <v>2453719</v>
      </c>
      <c r="AU189" s="562">
        <v>0</v>
      </c>
      <c r="AV189" s="562">
        <v>0</v>
      </c>
      <c r="AX189" s="562">
        <v>453822</v>
      </c>
      <c r="AY189" s="562">
        <v>0</v>
      </c>
      <c r="BA189" s="562">
        <v>0</v>
      </c>
      <c r="BB189" s="562">
        <v>0</v>
      </c>
      <c r="BD189" s="562">
        <v>68385</v>
      </c>
      <c r="BE189" s="562">
        <v>0</v>
      </c>
      <c r="BH189" s="562">
        <v>120000</v>
      </c>
      <c r="BI189" s="562">
        <v>0</v>
      </c>
      <c r="BJ189" s="562">
        <v>0</v>
      </c>
      <c r="BK189" s="562">
        <v>0</v>
      </c>
      <c r="BL189" s="562">
        <v>0</v>
      </c>
      <c r="BM189" s="562">
        <v>0</v>
      </c>
      <c r="BN189" s="562">
        <v>622397</v>
      </c>
      <c r="BO189" s="562">
        <v>495997</v>
      </c>
      <c r="BP189" s="562">
        <v>241741</v>
      </c>
      <c r="BQ189" s="562">
        <v>726107</v>
      </c>
      <c r="BR189" s="562">
        <v>797914</v>
      </c>
      <c r="BS189" s="562">
        <v>2568199</v>
      </c>
      <c r="BT189" s="562">
        <v>0</v>
      </c>
      <c r="BU189" s="562">
        <v>0</v>
      </c>
      <c r="BV189" s="562">
        <v>0</v>
      </c>
      <c r="BW189" s="562">
        <v>0</v>
      </c>
      <c r="BY189" s="562">
        <v>0</v>
      </c>
      <c r="BZ189" s="562">
        <v>2165385</v>
      </c>
      <c r="CA189" s="562">
        <v>0</v>
      </c>
    </row>
    <row r="190" spans="1:99" s="562" customFormat="1" x14ac:dyDescent="0.3">
      <c r="A190" s="561">
        <v>646</v>
      </c>
      <c r="B190" s="562" t="s">
        <v>361</v>
      </c>
      <c r="D190" s="562">
        <v>406049</v>
      </c>
      <c r="E190" s="562">
        <v>18943342</v>
      </c>
      <c r="G190" s="562">
        <v>21791389</v>
      </c>
      <c r="H190" s="562">
        <v>2275513</v>
      </c>
      <c r="I190" s="562">
        <v>410287</v>
      </c>
      <c r="J190" s="562">
        <v>2045770</v>
      </c>
      <c r="K190" s="562">
        <v>1133336</v>
      </c>
      <c r="L190" s="562">
        <v>45280049</v>
      </c>
      <c r="N190" s="562">
        <v>705384</v>
      </c>
      <c r="P190" s="562">
        <v>15359347</v>
      </c>
      <c r="Q190" s="562">
        <v>16168197</v>
      </c>
      <c r="R190" s="562">
        <v>2733103</v>
      </c>
      <c r="S190" s="562">
        <v>9824184</v>
      </c>
      <c r="T190" s="562">
        <v>163651</v>
      </c>
      <c r="U190" s="562">
        <v>7864060</v>
      </c>
      <c r="V190" s="562">
        <v>150399</v>
      </c>
      <c r="W190" s="562">
        <v>9433433</v>
      </c>
      <c r="X190" s="562">
        <v>7887922</v>
      </c>
      <c r="Y190" s="562">
        <v>5053050</v>
      </c>
      <c r="Z190" s="562">
        <v>2003219</v>
      </c>
      <c r="AA190" s="562">
        <v>3894432</v>
      </c>
      <c r="AB190" s="562">
        <v>1054739</v>
      </c>
      <c r="AC190" s="562">
        <v>320903</v>
      </c>
      <c r="AD190" s="562">
        <v>1396550</v>
      </c>
      <c r="AE190" s="562">
        <v>1334616</v>
      </c>
      <c r="AF190" s="562">
        <v>116656</v>
      </c>
      <c r="AG190" s="562">
        <v>57099</v>
      </c>
      <c r="AH190" s="562">
        <v>167417</v>
      </c>
      <c r="AI190" s="562">
        <v>2051774</v>
      </c>
      <c r="AJ190" s="562">
        <v>2034628</v>
      </c>
      <c r="AK190" s="562">
        <v>340221</v>
      </c>
      <c r="AL190" s="562">
        <v>123374</v>
      </c>
      <c r="AM190" s="562">
        <v>9737804</v>
      </c>
      <c r="AN190" s="562">
        <v>14872480</v>
      </c>
      <c r="AP190" s="562">
        <v>5741987</v>
      </c>
      <c r="AQ190" s="562">
        <v>4968769</v>
      </c>
      <c r="AU190" s="562">
        <v>5410047</v>
      </c>
      <c r="AV190" s="562">
        <v>229332</v>
      </c>
      <c r="AX190" s="562">
        <v>3165874</v>
      </c>
      <c r="AY190" s="562">
        <v>2955925</v>
      </c>
      <c r="BA190" s="562">
        <v>132754</v>
      </c>
      <c r="BB190" s="562">
        <v>2107230</v>
      </c>
      <c r="BD190" s="562">
        <v>329774</v>
      </c>
      <c r="BE190" s="562">
        <v>5137178</v>
      </c>
      <c r="BH190" s="562">
        <v>3068425</v>
      </c>
      <c r="BI190" s="562">
        <v>3994399</v>
      </c>
      <c r="BJ190" s="562">
        <v>449770</v>
      </c>
      <c r="BK190" s="562">
        <v>4349211</v>
      </c>
      <c r="BL190" s="562">
        <v>6930176</v>
      </c>
      <c r="BM190" s="562">
        <v>176865</v>
      </c>
      <c r="BN190" s="562">
        <v>2769315</v>
      </c>
      <c r="BO190" s="562">
        <v>4126890</v>
      </c>
      <c r="BP190" s="562">
        <v>1320323</v>
      </c>
      <c r="BQ190" s="562">
        <v>1370448</v>
      </c>
      <c r="BR190" s="562">
        <v>1611355</v>
      </c>
      <c r="BS190" s="562">
        <v>12396675</v>
      </c>
      <c r="BT190" s="562">
        <v>1498179</v>
      </c>
      <c r="BU190" s="562">
        <v>843299</v>
      </c>
      <c r="BV190" s="562">
        <v>869519</v>
      </c>
      <c r="BW190" s="562">
        <v>1102030</v>
      </c>
      <c r="BY190" s="562">
        <v>188656</v>
      </c>
      <c r="BZ190" s="562">
        <v>14347743</v>
      </c>
      <c r="CA190" s="562">
        <v>53925</v>
      </c>
    </row>
    <row r="191" spans="1:99" x14ac:dyDescent="0.3">
      <c r="A191" s="155">
        <v>647</v>
      </c>
      <c r="B191" s="180" t="s">
        <v>969</v>
      </c>
      <c r="C191" s="180"/>
      <c r="D191" s="180">
        <v>0</v>
      </c>
      <c r="E191" s="180">
        <v>4883791</v>
      </c>
      <c r="F191" s="180"/>
      <c r="G191" s="180">
        <v>0</v>
      </c>
      <c r="H191" s="180">
        <v>0</v>
      </c>
      <c r="I191" s="180">
        <v>0</v>
      </c>
      <c r="J191" s="180">
        <v>0</v>
      </c>
      <c r="K191" s="180">
        <v>0</v>
      </c>
      <c r="L191" s="180">
        <v>0</v>
      </c>
      <c r="M191" s="180"/>
      <c r="N191" s="180">
        <v>0</v>
      </c>
      <c r="O191" s="180"/>
      <c r="P191" s="180">
        <v>0</v>
      </c>
      <c r="Q191" s="180">
        <v>0</v>
      </c>
      <c r="R191" s="180">
        <v>0</v>
      </c>
      <c r="S191" s="180">
        <v>0</v>
      </c>
      <c r="T191" s="180">
        <v>0</v>
      </c>
      <c r="U191" s="180">
        <v>0</v>
      </c>
      <c r="V191" s="180">
        <v>0</v>
      </c>
      <c r="W191" s="180">
        <v>0</v>
      </c>
      <c r="X191" s="180">
        <v>0</v>
      </c>
      <c r="Y191" s="180">
        <v>0</v>
      </c>
      <c r="Z191" s="180">
        <v>0</v>
      </c>
      <c r="AA191" s="180">
        <v>0</v>
      </c>
      <c r="AB191" s="180">
        <v>0</v>
      </c>
      <c r="AC191" s="180">
        <v>0</v>
      </c>
      <c r="AD191" s="180">
        <v>0</v>
      </c>
      <c r="AE191" s="180">
        <v>0</v>
      </c>
      <c r="AF191" s="180">
        <v>0</v>
      </c>
      <c r="AG191" s="180">
        <v>0</v>
      </c>
      <c r="AH191" s="180">
        <v>0</v>
      </c>
      <c r="AI191" s="180">
        <v>0</v>
      </c>
      <c r="AJ191" s="180">
        <v>0</v>
      </c>
      <c r="AK191" s="180">
        <v>0</v>
      </c>
      <c r="AL191" s="180">
        <v>0</v>
      </c>
      <c r="AM191" s="180">
        <v>0</v>
      </c>
      <c r="AN191" s="180">
        <v>0</v>
      </c>
      <c r="AO191" s="180"/>
      <c r="AP191" s="180">
        <v>0</v>
      </c>
      <c r="AQ191" s="180">
        <v>0</v>
      </c>
      <c r="AR191" s="180"/>
      <c r="AS191" s="180"/>
      <c r="AT191" s="180"/>
      <c r="AU191" s="180">
        <v>0</v>
      </c>
      <c r="AV191" s="180">
        <v>0</v>
      </c>
      <c r="AW191" s="180"/>
      <c r="AX191" s="180">
        <v>0</v>
      </c>
      <c r="AY191" s="180">
        <v>0</v>
      </c>
      <c r="AZ191" s="180"/>
      <c r="BA191" s="180">
        <v>0</v>
      </c>
      <c r="BB191" s="180">
        <v>0</v>
      </c>
      <c r="BC191" s="180"/>
      <c r="BD191" s="180">
        <v>0</v>
      </c>
      <c r="BE191" s="180">
        <v>0</v>
      </c>
      <c r="BF191" s="180"/>
      <c r="BG191" s="180"/>
      <c r="BH191" s="180">
        <v>0</v>
      </c>
      <c r="BI191" s="180">
        <v>0</v>
      </c>
      <c r="BJ191" s="180">
        <v>0</v>
      </c>
      <c r="BK191" s="180">
        <v>0</v>
      </c>
      <c r="BL191" s="180">
        <v>0</v>
      </c>
      <c r="BM191" s="180">
        <v>0</v>
      </c>
      <c r="BN191" s="180">
        <v>0</v>
      </c>
      <c r="BO191" s="180">
        <v>0</v>
      </c>
      <c r="BP191" s="180">
        <v>0</v>
      </c>
      <c r="BQ191" s="180">
        <v>0</v>
      </c>
      <c r="BR191" s="180">
        <v>0</v>
      </c>
      <c r="BS191" s="180">
        <v>0</v>
      </c>
      <c r="BT191" s="180">
        <v>0</v>
      </c>
      <c r="BU191" s="180">
        <v>0</v>
      </c>
      <c r="BV191" s="180">
        <v>0</v>
      </c>
      <c r="BW191" s="180">
        <v>0</v>
      </c>
      <c r="BX191" s="180"/>
      <c r="BY191" s="180">
        <v>0</v>
      </c>
      <c r="BZ191" s="180">
        <v>0</v>
      </c>
      <c r="CA191" s="180">
        <v>0</v>
      </c>
      <c r="CB191" s="180"/>
      <c r="CC191" s="180"/>
      <c r="CD191" s="180"/>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648</v>
      </c>
      <c r="B192" s="180" t="s">
        <v>608</v>
      </c>
      <c r="C192" s="180"/>
      <c r="D192" s="180">
        <v>0.28499999999999998</v>
      </c>
      <c r="E192" s="180">
        <v>0.185</v>
      </c>
      <c r="F192" s="180"/>
      <c r="G192" s="180">
        <v>0.64200000000000002</v>
      </c>
      <c r="H192" s="180">
        <v>0.48499999999999999</v>
      </c>
      <c r="I192" s="180">
        <v>0.73</v>
      </c>
      <c r="J192" s="180">
        <v>0</v>
      </c>
      <c r="K192" s="180">
        <v>0.5</v>
      </c>
      <c r="L192" s="180">
        <v>0</v>
      </c>
      <c r="M192" s="180"/>
      <c r="N192" s="180">
        <v>0.5</v>
      </c>
      <c r="O192" s="180"/>
      <c r="P192" s="180">
        <v>0.55900000000000005</v>
      </c>
      <c r="Q192" s="180">
        <v>0.32</v>
      </c>
      <c r="R192" s="180">
        <v>0.42199999999999999</v>
      </c>
      <c r="S192" s="180">
        <v>0.43</v>
      </c>
      <c r="T192" s="180">
        <v>0.48</v>
      </c>
      <c r="U192" s="180">
        <v>0.77</v>
      </c>
      <c r="V192" s="180">
        <v>0.1</v>
      </c>
      <c r="W192" s="180">
        <v>0.3</v>
      </c>
      <c r="X192" s="180">
        <v>0.42</v>
      </c>
      <c r="Y192" s="180">
        <v>0.26579999999999998</v>
      </c>
      <c r="Z192" s="180">
        <v>0.53200000000000003</v>
      </c>
      <c r="AA192" s="180">
        <v>0.53</v>
      </c>
      <c r="AB192" s="180">
        <v>0</v>
      </c>
      <c r="AC192" s="180">
        <v>3.0000000000000001E-3</v>
      </c>
      <c r="AD192" s="180">
        <v>0.2</v>
      </c>
      <c r="AE192" s="180">
        <v>0.53</v>
      </c>
      <c r="AF192" s="180">
        <v>0.4</v>
      </c>
      <c r="AG192" s="180">
        <v>0</v>
      </c>
      <c r="AH192" s="180">
        <v>0.22</v>
      </c>
      <c r="AI192" s="180">
        <v>0.435</v>
      </c>
      <c r="AJ192" s="180">
        <v>0.4</v>
      </c>
      <c r="AK192" s="180">
        <v>0.35</v>
      </c>
      <c r="AL192" s="180">
        <v>0.25</v>
      </c>
      <c r="AM192" s="180">
        <v>0.25</v>
      </c>
      <c r="AN192" s="180">
        <v>0.57850000000000001</v>
      </c>
      <c r="AO192" s="180"/>
      <c r="AP192" s="180">
        <v>0.17699999999999999</v>
      </c>
      <c r="AQ192" s="180">
        <v>0.65</v>
      </c>
      <c r="AR192" s="180"/>
      <c r="AS192" s="180"/>
      <c r="AT192" s="180"/>
      <c r="AU192" s="180">
        <v>0.56000000000000005</v>
      </c>
      <c r="AV192" s="180">
        <v>0.3</v>
      </c>
      <c r="AW192" s="180"/>
      <c r="AX192" s="180">
        <v>0.36</v>
      </c>
      <c r="AY192" s="180">
        <v>0</v>
      </c>
      <c r="AZ192" s="180"/>
      <c r="BA192" s="180">
        <v>0.25</v>
      </c>
      <c r="BB192" s="180">
        <v>0.49</v>
      </c>
      <c r="BC192" s="180"/>
      <c r="BD192" s="180">
        <v>0.35</v>
      </c>
      <c r="BE192" s="180">
        <v>0.65</v>
      </c>
      <c r="BF192" s="180"/>
      <c r="BG192" s="180"/>
      <c r="BH192" s="180">
        <v>0.73</v>
      </c>
      <c r="BI192" s="180">
        <v>0.4</v>
      </c>
      <c r="BJ192" s="180">
        <v>0</v>
      </c>
      <c r="BK192" s="180">
        <v>0.38</v>
      </c>
      <c r="BL192" s="180">
        <v>0</v>
      </c>
      <c r="BM192" s="180">
        <v>0</v>
      </c>
      <c r="BN192" s="180">
        <v>0.51</v>
      </c>
      <c r="BO192" s="180">
        <v>0</v>
      </c>
      <c r="BP192" s="180">
        <v>0.49</v>
      </c>
      <c r="BQ192" s="180">
        <v>0.51</v>
      </c>
      <c r="BR192" s="180">
        <v>0</v>
      </c>
      <c r="BS192" s="180">
        <v>0.29499999999999998</v>
      </c>
      <c r="BT192" s="180">
        <v>0.8</v>
      </c>
      <c r="BU192" s="180">
        <v>0</v>
      </c>
      <c r="BV192" s="180">
        <v>0.51</v>
      </c>
      <c r="BW192" s="180">
        <v>0.33</v>
      </c>
      <c r="BX192" s="180"/>
      <c r="BY192" s="180">
        <v>0</v>
      </c>
      <c r="BZ192" s="180">
        <v>0.47</v>
      </c>
      <c r="CA192" s="180">
        <v>0.23</v>
      </c>
      <c r="CB192" s="180"/>
      <c r="CC192" s="180"/>
      <c r="CD192" s="180"/>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654</v>
      </c>
      <c r="B193" s="180" t="s">
        <v>416</v>
      </c>
      <c r="C193" s="180"/>
      <c r="D193" s="180">
        <v>0</v>
      </c>
      <c r="E193" s="180">
        <v>0</v>
      </c>
      <c r="F193" s="180"/>
      <c r="G193" s="180">
        <v>59157562</v>
      </c>
      <c r="H193" s="180">
        <v>11691399</v>
      </c>
      <c r="I193" s="180">
        <v>283345</v>
      </c>
      <c r="J193" s="180">
        <v>6640230</v>
      </c>
      <c r="K193" s="180">
        <v>1218678</v>
      </c>
      <c r="L193" s="180">
        <v>25918549</v>
      </c>
      <c r="M193" s="180"/>
      <c r="N193" s="180">
        <v>1984323</v>
      </c>
      <c r="O193" s="180"/>
      <c r="P193" s="180">
        <v>0</v>
      </c>
      <c r="Q193" s="180">
        <v>10604541</v>
      </c>
      <c r="R193" s="180">
        <v>8804312</v>
      </c>
      <c r="S193" s="180">
        <v>8424275</v>
      </c>
      <c r="T193" s="180">
        <v>74484</v>
      </c>
      <c r="U193" s="180">
        <v>14864001</v>
      </c>
      <c r="V193" s="180">
        <v>0</v>
      </c>
      <c r="W193" s="180">
        <v>0</v>
      </c>
      <c r="X193" s="180">
        <v>0</v>
      </c>
      <c r="Y193" s="180">
        <v>4078395</v>
      </c>
      <c r="Z193" s="180">
        <v>1651752</v>
      </c>
      <c r="AA193" s="180">
        <v>2328448</v>
      </c>
      <c r="AB193" s="180">
        <v>0</v>
      </c>
      <c r="AC193" s="180">
        <v>115006</v>
      </c>
      <c r="AD193" s="180">
        <v>2463656</v>
      </c>
      <c r="AE193" s="180">
        <v>2726067</v>
      </c>
      <c r="AF193" s="180">
        <v>57905</v>
      </c>
      <c r="AG193" s="180">
        <v>0</v>
      </c>
      <c r="AH193" s="180">
        <v>0</v>
      </c>
      <c r="AI193" s="180">
        <v>0</v>
      </c>
      <c r="AJ193" s="180">
        <v>4338333</v>
      </c>
      <c r="AK193" s="180">
        <v>202358</v>
      </c>
      <c r="AL193" s="180">
        <v>0</v>
      </c>
      <c r="AM193" s="180">
        <v>0</v>
      </c>
      <c r="AN193" s="180">
        <v>12657777</v>
      </c>
      <c r="AO193" s="180"/>
      <c r="AP193" s="180">
        <v>0</v>
      </c>
      <c r="AQ193" s="180">
        <v>12147867</v>
      </c>
      <c r="AR193" s="180"/>
      <c r="AS193" s="180"/>
      <c r="AT193" s="180"/>
      <c r="AU193" s="180">
        <v>8578207</v>
      </c>
      <c r="AV193" s="180">
        <v>1453856</v>
      </c>
      <c r="AW193" s="180"/>
      <c r="AX193" s="180">
        <v>3119067</v>
      </c>
      <c r="AY193" s="180">
        <v>1658801</v>
      </c>
      <c r="AZ193" s="180"/>
      <c r="BA193" s="180">
        <v>5335</v>
      </c>
      <c r="BB193" s="180">
        <v>970120</v>
      </c>
      <c r="BC193" s="180"/>
      <c r="BD193" s="180">
        <v>0</v>
      </c>
      <c r="BE193" s="180">
        <v>12518226</v>
      </c>
      <c r="BF193" s="180"/>
      <c r="BG193" s="180"/>
      <c r="BH193" s="180">
        <v>1037380</v>
      </c>
      <c r="BI193" s="180">
        <v>2666211</v>
      </c>
      <c r="BJ193" s="180">
        <v>272056</v>
      </c>
      <c r="BK193" s="180">
        <v>6301543</v>
      </c>
      <c r="BL193" s="180">
        <v>9185354</v>
      </c>
      <c r="BM193" s="180">
        <v>0</v>
      </c>
      <c r="BN193" s="180">
        <v>3630258</v>
      </c>
      <c r="BO193" s="180">
        <v>4212253</v>
      </c>
      <c r="BP193" s="180">
        <v>1681901</v>
      </c>
      <c r="BQ193" s="180">
        <v>3121106</v>
      </c>
      <c r="BR193" s="180">
        <v>0</v>
      </c>
      <c r="BS193" s="180">
        <v>0</v>
      </c>
      <c r="BT193" s="180">
        <v>1199833</v>
      </c>
      <c r="BU193" s="180">
        <v>2790993</v>
      </c>
      <c r="BV193" s="180">
        <v>956868</v>
      </c>
      <c r="BW193" s="180">
        <v>1828212</v>
      </c>
      <c r="BX193" s="180"/>
      <c r="BY193" s="180">
        <v>0</v>
      </c>
      <c r="BZ193" s="180">
        <v>25658198</v>
      </c>
      <c r="CA193" s="180">
        <v>0</v>
      </c>
      <c r="CB193" s="180"/>
      <c r="CC193" s="180"/>
      <c r="CD193" s="180"/>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655</v>
      </c>
      <c r="B194" s="180" t="s">
        <v>970</v>
      </c>
      <c r="C194" s="180"/>
      <c r="D194" s="180">
        <v>0</v>
      </c>
      <c r="E194" s="180">
        <v>0</v>
      </c>
      <c r="F194" s="180"/>
      <c r="G194" s="180">
        <v>0</v>
      </c>
      <c r="H194" s="180">
        <v>1452251</v>
      </c>
      <c r="I194" s="180">
        <v>29726</v>
      </c>
      <c r="J194" s="180">
        <v>81450</v>
      </c>
      <c r="K194" s="180">
        <v>23151</v>
      </c>
      <c r="L194" s="180">
        <v>6074984</v>
      </c>
      <c r="M194" s="180"/>
      <c r="N194" s="180">
        <v>196004</v>
      </c>
      <c r="O194" s="180"/>
      <c r="P194" s="180">
        <v>0</v>
      </c>
      <c r="Q194" s="180">
        <v>1340159</v>
      </c>
      <c r="R194" s="180">
        <v>0</v>
      </c>
      <c r="S194" s="180">
        <v>77530</v>
      </c>
      <c r="T194" s="180">
        <v>0</v>
      </c>
      <c r="U194" s="180">
        <v>0</v>
      </c>
      <c r="V194" s="180">
        <v>0</v>
      </c>
      <c r="W194" s="180">
        <v>0</v>
      </c>
      <c r="X194" s="180">
        <v>0</v>
      </c>
      <c r="Y194" s="180">
        <v>0</v>
      </c>
      <c r="Z194" s="180">
        <v>66572</v>
      </c>
      <c r="AA194" s="180">
        <v>0</v>
      </c>
      <c r="AB194" s="180">
        <v>0</v>
      </c>
      <c r="AC194" s="180">
        <v>0</v>
      </c>
      <c r="AD194" s="180">
        <v>33977</v>
      </c>
      <c r="AE194" s="180">
        <v>22238</v>
      </c>
      <c r="AF194" s="180">
        <v>6833</v>
      </c>
      <c r="AG194" s="180">
        <v>0</v>
      </c>
      <c r="AH194" s="180">
        <v>0</v>
      </c>
      <c r="AI194" s="180">
        <v>0</v>
      </c>
      <c r="AJ194" s="180">
        <v>183768</v>
      </c>
      <c r="AK194" s="180">
        <v>15300</v>
      </c>
      <c r="AL194" s="180">
        <v>0</v>
      </c>
      <c r="AM194" s="180">
        <v>0</v>
      </c>
      <c r="AN194" s="180">
        <v>193081</v>
      </c>
      <c r="AO194" s="180"/>
      <c r="AP194" s="180">
        <v>0</v>
      </c>
      <c r="AQ194" s="180">
        <v>3918915</v>
      </c>
      <c r="AR194" s="180"/>
      <c r="AS194" s="180"/>
      <c r="AT194" s="180"/>
      <c r="AU194" s="180">
        <v>127906</v>
      </c>
      <c r="AV194" s="180">
        <v>52189</v>
      </c>
      <c r="AW194" s="180"/>
      <c r="AX194" s="180">
        <v>110394</v>
      </c>
      <c r="AY194" s="180">
        <v>75689</v>
      </c>
      <c r="AZ194" s="180"/>
      <c r="BA194" s="180">
        <v>0</v>
      </c>
      <c r="BB194" s="180">
        <v>142492</v>
      </c>
      <c r="BC194" s="180"/>
      <c r="BD194" s="180">
        <v>0</v>
      </c>
      <c r="BE194" s="180">
        <v>2695597</v>
      </c>
      <c r="BF194" s="180"/>
      <c r="BG194" s="180"/>
      <c r="BH194" s="180">
        <v>44920</v>
      </c>
      <c r="BI194" s="180">
        <v>0</v>
      </c>
      <c r="BJ194" s="180">
        <v>0</v>
      </c>
      <c r="BK194" s="180">
        <v>46165</v>
      </c>
      <c r="BL194" s="180">
        <v>203472</v>
      </c>
      <c r="BM194" s="180">
        <v>0</v>
      </c>
      <c r="BN194" s="180">
        <v>338259</v>
      </c>
      <c r="BO194" s="180">
        <v>90875</v>
      </c>
      <c r="BP194" s="180">
        <v>37740</v>
      </c>
      <c r="BQ194" s="180">
        <v>63994</v>
      </c>
      <c r="BR194" s="180">
        <v>0</v>
      </c>
      <c r="BS194" s="180">
        <v>0</v>
      </c>
      <c r="BT194" s="180">
        <v>0</v>
      </c>
      <c r="BU194" s="180">
        <v>0</v>
      </c>
      <c r="BV194" s="180">
        <v>167368</v>
      </c>
      <c r="BW194" s="180">
        <v>27259</v>
      </c>
      <c r="BX194" s="180"/>
      <c r="BY194" s="180">
        <v>0</v>
      </c>
      <c r="BZ194" s="180">
        <v>14484677</v>
      </c>
      <c r="CA194" s="180">
        <v>0</v>
      </c>
      <c r="CB194" s="180"/>
      <c r="CC194" s="180"/>
      <c r="CD194" s="180"/>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656</v>
      </c>
      <c r="B195" s="180" t="s">
        <v>422</v>
      </c>
      <c r="C195" s="180"/>
      <c r="D195" s="180">
        <v>0</v>
      </c>
      <c r="E195" s="180">
        <v>0</v>
      </c>
      <c r="F195" s="180"/>
      <c r="G195" s="180">
        <v>0</v>
      </c>
      <c r="H195" s="180">
        <v>0</v>
      </c>
      <c r="I195" s="180">
        <v>0</v>
      </c>
      <c r="J195" s="180">
        <v>0</v>
      </c>
      <c r="K195" s="180">
        <v>2</v>
      </c>
      <c r="L195" s="180">
        <v>2</v>
      </c>
      <c r="M195" s="180"/>
      <c r="N195" s="180">
        <v>2</v>
      </c>
      <c r="O195" s="180"/>
      <c r="P195" s="180">
        <v>2</v>
      </c>
      <c r="Q195" s="180">
        <v>2</v>
      </c>
      <c r="R195" s="180">
        <v>0</v>
      </c>
      <c r="S195" s="180">
        <v>2</v>
      </c>
      <c r="T195" s="180">
        <v>0</v>
      </c>
      <c r="U195" s="180">
        <v>0</v>
      </c>
      <c r="V195" s="180">
        <v>0</v>
      </c>
      <c r="W195" s="180">
        <v>0</v>
      </c>
      <c r="X195" s="180">
        <v>2</v>
      </c>
      <c r="Y195" s="180">
        <v>2</v>
      </c>
      <c r="Z195" s="180">
        <v>0</v>
      </c>
      <c r="AA195" s="180">
        <v>2</v>
      </c>
      <c r="AB195" s="180">
        <v>0</v>
      </c>
      <c r="AC195" s="180">
        <v>0</v>
      </c>
      <c r="AD195" s="180">
        <v>0</v>
      </c>
      <c r="AE195" s="180">
        <v>2</v>
      </c>
      <c r="AF195" s="180">
        <v>2</v>
      </c>
      <c r="AG195" s="180">
        <v>0</v>
      </c>
      <c r="AH195" s="180">
        <v>0</v>
      </c>
      <c r="AI195" s="180">
        <v>2</v>
      </c>
      <c r="AJ195" s="180">
        <v>2</v>
      </c>
      <c r="AK195" s="180">
        <v>0</v>
      </c>
      <c r="AL195" s="180">
        <v>0</v>
      </c>
      <c r="AM195" s="180">
        <v>2</v>
      </c>
      <c r="AN195" s="180">
        <v>2</v>
      </c>
      <c r="AO195" s="180"/>
      <c r="AP195" s="180">
        <v>0</v>
      </c>
      <c r="AQ195" s="180">
        <v>2</v>
      </c>
      <c r="AR195" s="180"/>
      <c r="AS195" s="180"/>
      <c r="AT195" s="180"/>
      <c r="AU195" s="180">
        <v>2</v>
      </c>
      <c r="AV195" s="180">
        <v>2</v>
      </c>
      <c r="AW195" s="180"/>
      <c r="AX195" s="180">
        <v>2</v>
      </c>
      <c r="AY195" s="180">
        <v>0</v>
      </c>
      <c r="AZ195" s="180"/>
      <c r="BA195" s="180">
        <v>2</v>
      </c>
      <c r="BB195" s="180">
        <v>2</v>
      </c>
      <c r="BC195" s="180"/>
      <c r="BD195" s="180">
        <v>2</v>
      </c>
      <c r="BE195" s="180">
        <v>2</v>
      </c>
      <c r="BF195" s="180"/>
      <c r="BG195" s="180"/>
      <c r="BH195" s="180">
        <v>2</v>
      </c>
      <c r="BI195" s="180">
        <v>2</v>
      </c>
      <c r="BJ195" s="180">
        <v>0</v>
      </c>
      <c r="BK195" s="180">
        <v>0</v>
      </c>
      <c r="BL195" s="180">
        <v>2</v>
      </c>
      <c r="BM195" s="180">
        <v>0</v>
      </c>
      <c r="BN195" s="180">
        <v>2</v>
      </c>
      <c r="BO195" s="180">
        <v>1</v>
      </c>
      <c r="BP195" s="180">
        <v>0</v>
      </c>
      <c r="BQ195" s="180">
        <v>2</v>
      </c>
      <c r="BR195" s="180">
        <v>2</v>
      </c>
      <c r="BS195" s="180">
        <v>2</v>
      </c>
      <c r="BT195" s="180">
        <v>0</v>
      </c>
      <c r="BU195" s="180">
        <v>2</v>
      </c>
      <c r="BV195" s="180">
        <v>2</v>
      </c>
      <c r="BW195" s="180">
        <v>2</v>
      </c>
      <c r="BX195" s="180"/>
      <c r="BY195" s="180">
        <v>0</v>
      </c>
      <c r="BZ195" s="180">
        <v>2</v>
      </c>
      <c r="CA195" s="180">
        <v>0</v>
      </c>
      <c r="CB195" s="180"/>
      <c r="CC195" s="180"/>
      <c r="CD195" s="180"/>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657</v>
      </c>
      <c r="B196" s="180" t="s">
        <v>971</v>
      </c>
      <c r="C196" s="180"/>
      <c r="D196" s="180">
        <v>0</v>
      </c>
      <c r="E196" s="180">
        <v>0</v>
      </c>
      <c r="F196" s="180"/>
      <c r="G196" s="180">
        <v>0</v>
      </c>
      <c r="H196" s="180">
        <v>0</v>
      </c>
      <c r="I196" s="180">
        <v>0</v>
      </c>
      <c r="J196" s="180">
        <v>0</v>
      </c>
      <c r="K196" s="180">
        <v>0</v>
      </c>
      <c r="L196" s="180">
        <v>0</v>
      </c>
      <c r="M196" s="180"/>
      <c r="N196" s="180">
        <v>0</v>
      </c>
      <c r="O196" s="180"/>
      <c r="P196" s="180">
        <v>0</v>
      </c>
      <c r="Q196" s="180">
        <v>0</v>
      </c>
      <c r="R196" s="180">
        <v>0</v>
      </c>
      <c r="S196" s="180">
        <v>5210732</v>
      </c>
      <c r="T196" s="180">
        <v>0</v>
      </c>
      <c r="U196" s="180">
        <v>44195361</v>
      </c>
      <c r="V196" s="180">
        <v>0</v>
      </c>
      <c r="W196" s="180">
        <v>0</v>
      </c>
      <c r="X196" s="180">
        <v>0</v>
      </c>
      <c r="Y196" s="180">
        <v>0</v>
      </c>
      <c r="Z196" s="180">
        <v>3429604</v>
      </c>
      <c r="AA196" s="180">
        <v>0</v>
      </c>
      <c r="AB196" s="180">
        <v>0</v>
      </c>
      <c r="AC196" s="180">
        <v>0</v>
      </c>
      <c r="AD196" s="180">
        <v>0</v>
      </c>
      <c r="AE196" s="180">
        <v>3067565</v>
      </c>
      <c r="AF196" s="180">
        <v>0</v>
      </c>
      <c r="AG196" s="180">
        <v>0</v>
      </c>
      <c r="AH196" s="180">
        <v>0</v>
      </c>
      <c r="AI196" s="180">
        <v>0</v>
      </c>
      <c r="AJ196" s="180">
        <v>5640069</v>
      </c>
      <c r="AK196" s="180">
        <v>0</v>
      </c>
      <c r="AL196" s="180">
        <v>0</v>
      </c>
      <c r="AM196" s="180">
        <v>0</v>
      </c>
      <c r="AN196" s="180">
        <v>0</v>
      </c>
      <c r="AO196" s="180"/>
      <c r="AP196" s="180">
        <v>0</v>
      </c>
      <c r="AQ196" s="180">
        <v>25504227</v>
      </c>
      <c r="AR196" s="180"/>
      <c r="AS196" s="180"/>
      <c r="AT196" s="180"/>
      <c r="AU196" s="180">
        <v>5640871</v>
      </c>
      <c r="AV196" s="180">
        <v>0</v>
      </c>
      <c r="AW196" s="180"/>
      <c r="AX196" s="180">
        <v>0</v>
      </c>
      <c r="AY196" s="180">
        <v>0</v>
      </c>
      <c r="AZ196" s="180"/>
      <c r="BA196" s="180">
        <v>0</v>
      </c>
      <c r="BB196" s="180">
        <v>0</v>
      </c>
      <c r="BC196" s="180"/>
      <c r="BD196" s="180">
        <v>0</v>
      </c>
      <c r="BE196" s="180">
        <v>17756540</v>
      </c>
      <c r="BF196" s="180"/>
      <c r="BG196" s="180"/>
      <c r="BH196" s="180">
        <v>0</v>
      </c>
      <c r="BI196" s="180">
        <v>0</v>
      </c>
      <c r="BJ196" s="180">
        <v>0</v>
      </c>
      <c r="BK196" s="180">
        <v>4128995</v>
      </c>
      <c r="BL196" s="180">
        <v>0</v>
      </c>
      <c r="BM196" s="180">
        <v>0</v>
      </c>
      <c r="BN196" s="180">
        <v>0</v>
      </c>
      <c r="BO196" s="180">
        <v>0</v>
      </c>
      <c r="BP196" s="180">
        <v>0</v>
      </c>
      <c r="BQ196" s="180">
        <v>0</v>
      </c>
      <c r="BR196" s="180">
        <v>0</v>
      </c>
      <c r="BS196" s="180">
        <v>0</v>
      </c>
      <c r="BT196" s="180">
        <v>0</v>
      </c>
      <c r="BU196" s="180">
        <v>0</v>
      </c>
      <c r="BV196" s="180">
        <v>0</v>
      </c>
      <c r="BW196" s="180">
        <v>0</v>
      </c>
      <c r="BX196" s="180"/>
      <c r="BY196" s="180">
        <v>0</v>
      </c>
      <c r="BZ196" s="180">
        <v>0</v>
      </c>
      <c r="CA196" s="180">
        <v>0</v>
      </c>
      <c r="CB196" s="180"/>
      <c r="CC196" s="180"/>
      <c r="CD196" s="180"/>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658</v>
      </c>
      <c r="B197" s="180" t="s">
        <v>972</v>
      </c>
      <c r="C197" s="180"/>
      <c r="D197" s="180">
        <v>0</v>
      </c>
      <c r="E197" s="180">
        <v>0</v>
      </c>
      <c r="F197" s="180"/>
      <c r="G197" s="180">
        <v>0</v>
      </c>
      <c r="H197" s="180">
        <v>0</v>
      </c>
      <c r="I197" s="180">
        <v>0</v>
      </c>
      <c r="J197" s="180">
        <v>0</v>
      </c>
      <c r="K197" s="180">
        <v>0</v>
      </c>
      <c r="L197" s="180">
        <v>0</v>
      </c>
      <c r="M197" s="180"/>
      <c r="N197" s="180">
        <v>0</v>
      </c>
      <c r="O197" s="180"/>
      <c r="P197" s="180">
        <v>0</v>
      </c>
      <c r="Q197" s="180">
        <v>0</v>
      </c>
      <c r="R197" s="180">
        <v>0</v>
      </c>
      <c r="S197" s="180">
        <v>488289</v>
      </c>
      <c r="T197" s="180">
        <v>0</v>
      </c>
      <c r="U197" s="180">
        <v>1775612</v>
      </c>
      <c r="V197" s="180">
        <v>0</v>
      </c>
      <c r="W197" s="180">
        <v>0</v>
      </c>
      <c r="X197" s="180">
        <v>0</v>
      </c>
      <c r="Y197" s="180">
        <v>0</v>
      </c>
      <c r="Z197" s="180">
        <v>2147422</v>
      </c>
      <c r="AA197" s="180">
        <v>0</v>
      </c>
      <c r="AB197" s="180">
        <v>0</v>
      </c>
      <c r="AC197" s="180">
        <v>0</v>
      </c>
      <c r="AD197" s="180">
        <v>0</v>
      </c>
      <c r="AE197" s="180">
        <v>130005</v>
      </c>
      <c r="AF197" s="180">
        <v>0</v>
      </c>
      <c r="AG197" s="180">
        <v>0</v>
      </c>
      <c r="AH197" s="180">
        <v>0</v>
      </c>
      <c r="AI197" s="180">
        <v>0</v>
      </c>
      <c r="AJ197" s="180">
        <v>685778</v>
      </c>
      <c r="AK197" s="180">
        <v>0</v>
      </c>
      <c r="AL197" s="180">
        <v>0</v>
      </c>
      <c r="AM197" s="180">
        <v>0</v>
      </c>
      <c r="AN197" s="180">
        <v>0</v>
      </c>
      <c r="AO197" s="180"/>
      <c r="AP197" s="180">
        <v>0</v>
      </c>
      <c r="AQ197" s="180">
        <v>685078</v>
      </c>
      <c r="AR197" s="180"/>
      <c r="AS197" s="180"/>
      <c r="AT197" s="180"/>
      <c r="AU197" s="180">
        <v>293080</v>
      </c>
      <c r="AV197" s="180">
        <v>0</v>
      </c>
      <c r="AW197" s="180"/>
      <c r="AX197" s="180">
        <v>0</v>
      </c>
      <c r="AY197" s="180">
        <v>0</v>
      </c>
      <c r="AZ197" s="180"/>
      <c r="BA197" s="180">
        <v>0</v>
      </c>
      <c r="BB197" s="180">
        <v>0</v>
      </c>
      <c r="BC197" s="180"/>
      <c r="BD197" s="180">
        <v>0</v>
      </c>
      <c r="BE197" s="180">
        <v>3293217</v>
      </c>
      <c r="BF197" s="180"/>
      <c r="BG197" s="180"/>
      <c r="BH197" s="180">
        <v>0</v>
      </c>
      <c r="BI197" s="180">
        <v>0</v>
      </c>
      <c r="BJ197" s="180">
        <v>0</v>
      </c>
      <c r="BK197" s="180">
        <v>139573</v>
      </c>
      <c r="BL197" s="180">
        <v>0</v>
      </c>
      <c r="BM197" s="180">
        <v>0</v>
      </c>
      <c r="BN197" s="180">
        <v>0</v>
      </c>
      <c r="BO197" s="180">
        <v>0</v>
      </c>
      <c r="BP197" s="180">
        <v>0</v>
      </c>
      <c r="BQ197" s="180">
        <v>0</v>
      </c>
      <c r="BR197" s="180">
        <v>0</v>
      </c>
      <c r="BS197" s="180">
        <v>0</v>
      </c>
      <c r="BT197" s="180">
        <v>0</v>
      </c>
      <c r="BU197" s="180">
        <v>0</v>
      </c>
      <c r="BV197" s="180">
        <v>0</v>
      </c>
      <c r="BW197" s="180">
        <v>0</v>
      </c>
      <c r="BX197" s="180"/>
      <c r="BY197" s="180">
        <v>0</v>
      </c>
      <c r="BZ197" s="180">
        <v>0</v>
      </c>
      <c r="CA197" s="180">
        <v>0</v>
      </c>
      <c r="CB197" s="180"/>
      <c r="CC197" s="180"/>
      <c r="CD197" s="180"/>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659</v>
      </c>
      <c r="B198" s="180" t="s">
        <v>973</v>
      </c>
      <c r="C198" s="180"/>
      <c r="D198" s="180">
        <v>0</v>
      </c>
      <c r="E198" s="180">
        <v>0</v>
      </c>
      <c r="F198" s="180"/>
      <c r="G198" s="180">
        <v>2439527</v>
      </c>
      <c r="H198" s="180">
        <v>359498</v>
      </c>
      <c r="I198" s="180">
        <v>-686410</v>
      </c>
      <c r="J198" s="180">
        <v>0</v>
      </c>
      <c r="K198" s="180">
        <v>402466</v>
      </c>
      <c r="L198" s="180">
        <v>83659576</v>
      </c>
      <c r="M198" s="180"/>
      <c r="N198" s="180">
        <v>1051659</v>
      </c>
      <c r="O198" s="180"/>
      <c r="P198" s="180">
        <v>10897133</v>
      </c>
      <c r="Q198" s="180">
        <v>9679018</v>
      </c>
      <c r="R198" s="180">
        <v>427443</v>
      </c>
      <c r="S198" s="180">
        <v>14689355</v>
      </c>
      <c r="T198" s="180">
        <v>0</v>
      </c>
      <c r="U198" s="180">
        <v>281003</v>
      </c>
      <c r="V198" s="180">
        <v>0</v>
      </c>
      <c r="W198" s="180">
        <v>0</v>
      </c>
      <c r="X198" s="180">
        <v>9019599</v>
      </c>
      <c r="Y198" s="180">
        <v>2002180</v>
      </c>
      <c r="Z198" s="180">
        <v>0</v>
      </c>
      <c r="AA198" s="180">
        <v>564603</v>
      </c>
      <c r="AB198" s="180">
        <v>0</v>
      </c>
      <c r="AC198" s="180">
        <v>0</v>
      </c>
      <c r="AD198" s="180">
        <v>0</v>
      </c>
      <c r="AE198" s="180">
        <v>0</v>
      </c>
      <c r="AF198" s="180">
        <v>0</v>
      </c>
      <c r="AG198" s="180">
        <v>0</v>
      </c>
      <c r="AH198" s="180">
        <v>0</v>
      </c>
      <c r="AI198" s="180">
        <v>0</v>
      </c>
      <c r="AJ198" s="180">
        <v>2786571</v>
      </c>
      <c r="AK198" s="180">
        <v>0</v>
      </c>
      <c r="AL198" s="180">
        <v>0</v>
      </c>
      <c r="AM198" s="180">
        <v>0</v>
      </c>
      <c r="AN198" s="180">
        <v>3921621</v>
      </c>
      <c r="AO198" s="180"/>
      <c r="AP198" s="180">
        <v>0</v>
      </c>
      <c r="AQ198" s="180">
        <v>20583917</v>
      </c>
      <c r="AR198" s="180"/>
      <c r="AS198" s="180"/>
      <c r="AT198" s="180"/>
      <c r="AU198" s="180">
        <v>12225430</v>
      </c>
      <c r="AV198" s="180">
        <v>0</v>
      </c>
      <c r="AW198" s="180"/>
      <c r="AX198" s="180">
        <v>0</v>
      </c>
      <c r="AY198" s="180">
        <v>162124</v>
      </c>
      <c r="AZ198" s="180"/>
      <c r="BA198" s="180">
        <v>0</v>
      </c>
      <c r="BB198" s="180">
        <v>514820</v>
      </c>
      <c r="BC198" s="180"/>
      <c r="BD198" s="180">
        <v>0</v>
      </c>
      <c r="BE198" s="180">
        <v>49261617</v>
      </c>
      <c r="BF198" s="180"/>
      <c r="BG198" s="180"/>
      <c r="BH198" s="180">
        <v>3853115</v>
      </c>
      <c r="BI198" s="180">
        <v>305220</v>
      </c>
      <c r="BJ198" s="180">
        <v>0</v>
      </c>
      <c r="BK198" s="180">
        <v>1244578</v>
      </c>
      <c r="BL198" s="180">
        <v>2174563</v>
      </c>
      <c r="BM198" s="180">
        <v>0</v>
      </c>
      <c r="BN198" s="180">
        <v>216802</v>
      </c>
      <c r="BO198" s="180">
        <v>0</v>
      </c>
      <c r="BP198" s="180">
        <v>0</v>
      </c>
      <c r="BQ198" s="180">
        <v>0</v>
      </c>
      <c r="BR198" s="180">
        <v>0</v>
      </c>
      <c r="BS198" s="180">
        <v>0</v>
      </c>
      <c r="BT198" s="180">
        <v>0</v>
      </c>
      <c r="BU198" s="180">
        <v>5229881</v>
      </c>
      <c r="BV198" s="180">
        <v>0</v>
      </c>
      <c r="BW198" s="180">
        <v>0</v>
      </c>
      <c r="BX198" s="180"/>
      <c r="BY198" s="180">
        <v>0</v>
      </c>
      <c r="BZ198" s="180">
        <v>12878757</v>
      </c>
      <c r="CA198" s="180">
        <v>0</v>
      </c>
      <c r="CB198" s="180"/>
      <c r="CC198" s="180"/>
      <c r="CD198" s="180"/>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660</v>
      </c>
      <c r="B199" s="180" t="s">
        <v>974</v>
      </c>
      <c r="C199" s="180"/>
      <c r="D199" s="180">
        <v>0</v>
      </c>
      <c r="E199" s="180">
        <v>0</v>
      </c>
      <c r="F199" s="180"/>
      <c r="G199" s="180">
        <v>0</v>
      </c>
      <c r="H199" s="180">
        <v>0</v>
      </c>
      <c r="I199" s="180">
        <v>19505</v>
      </c>
      <c r="J199" s="180">
        <v>0</v>
      </c>
      <c r="K199" s="180">
        <v>0</v>
      </c>
      <c r="L199" s="180">
        <v>0</v>
      </c>
      <c r="M199" s="180"/>
      <c r="N199" s="180">
        <v>0</v>
      </c>
      <c r="O199" s="180"/>
      <c r="P199" s="180">
        <v>0</v>
      </c>
      <c r="Q199" s="180">
        <v>275652</v>
      </c>
      <c r="R199" s="180">
        <v>0</v>
      </c>
      <c r="S199" s="180">
        <v>0</v>
      </c>
      <c r="T199" s="180">
        <v>0</v>
      </c>
      <c r="U199" s="180">
        <v>0</v>
      </c>
      <c r="V199" s="180">
        <v>0</v>
      </c>
      <c r="W199" s="180">
        <v>0</v>
      </c>
      <c r="X199" s="180">
        <v>0</v>
      </c>
      <c r="Y199" s="180">
        <v>0</v>
      </c>
      <c r="Z199" s="180">
        <v>0</v>
      </c>
      <c r="AA199" s="180">
        <v>0</v>
      </c>
      <c r="AB199" s="180">
        <v>0</v>
      </c>
      <c r="AC199" s="180">
        <v>0</v>
      </c>
      <c r="AD199" s="180">
        <v>0</v>
      </c>
      <c r="AE199" s="180">
        <v>0</v>
      </c>
      <c r="AF199" s="180">
        <v>0</v>
      </c>
      <c r="AG199" s="180">
        <v>0</v>
      </c>
      <c r="AH199" s="180">
        <v>0</v>
      </c>
      <c r="AI199" s="180">
        <v>0</v>
      </c>
      <c r="AJ199" s="180">
        <v>0</v>
      </c>
      <c r="AK199" s="180">
        <v>0</v>
      </c>
      <c r="AL199" s="180">
        <v>0</v>
      </c>
      <c r="AM199" s="180">
        <v>0</v>
      </c>
      <c r="AN199" s="180">
        <v>0</v>
      </c>
      <c r="AO199" s="180"/>
      <c r="AP199" s="180">
        <v>0</v>
      </c>
      <c r="AQ199" s="180">
        <v>0</v>
      </c>
      <c r="AR199" s="180"/>
      <c r="AS199" s="180"/>
      <c r="AT199" s="180"/>
      <c r="AU199" s="180">
        <v>0</v>
      </c>
      <c r="AV199" s="180">
        <v>0</v>
      </c>
      <c r="AW199" s="180"/>
      <c r="AX199" s="180">
        <v>0</v>
      </c>
      <c r="AY199" s="180">
        <v>0</v>
      </c>
      <c r="AZ199" s="180"/>
      <c r="BA199" s="180">
        <v>0</v>
      </c>
      <c r="BB199" s="180">
        <v>0</v>
      </c>
      <c r="BC199" s="180"/>
      <c r="BD199" s="180">
        <v>0</v>
      </c>
      <c r="BE199" s="180">
        <v>0</v>
      </c>
      <c r="BF199" s="180"/>
      <c r="BG199" s="180"/>
      <c r="BH199" s="180">
        <v>0</v>
      </c>
      <c r="BI199" s="180">
        <v>0</v>
      </c>
      <c r="BJ199" s="180">
        <v>0</v>
      </c>
      <c r="BK199" s="180">
        <v>0</v>
      </c>
      <c r="BL199" s="180">
        <v>0</v>
      </c>
      <c r="BM199" s="180">
        <v>0</v>
      </c>
      <c r="BN199" s="180">
        <v>0</v>
      </c>
      <c r="BO199" s="180">
        <v>0</v>
      </c>
      <c r="BP199" s="180">
        <v>0</v>
      </c>
      <c r="BQ199" s="180">
        <v>0</v>
      </c>
      <c r="BR199" s="180">
        <v>0</v>
      </c>
      <c r="BS199" s="180">
        <v>0</v>
      </c>
      <c r="BT199" s="180">
        <v>0</v>
      </c>
      <c r="BU199" s="180">
        <v>0</v>
      </c>
      <c r="BV199" s="180">
        <v>0</v>
      </c>
      <c r="BW199" s="180">
        <v>0</v>
      </c>
      <c r="BX199" s="180"/>
      <c r="BY199" s="180">
        <v>0</v>
      </c>
      <c r="BZ199" s="180">
        <v>0</v>
      </c>
      <c r="CA199" s="180">
        <v>0</v>
      </c>
      <c r="CB199" s="180"/>
      <c r="CC199" s="180"/>
      <c r="CD199" s="180"/>
      <c r="CE199" s="180"/>
      <c r="CF199" s="180"/>
      <c r="CG199" s="180"/>
      <c r="CH199" s="180"/>
      <c r="CI199" s="180"/>
      <c r="CJ199" s="180"/>
      <c r="CK199" s="180"/>
      <c r="CL199" s="180"/>
      <c r="CM199" s="180"/>
      <c r="CN199" s="180"/>
      <c r="CO199" s="180"/>
      <c r="CP199" s="180"/>
      <c r="CQ199" s="180"/>
      <c r="CR199" s="180"/>
      <c r="CS199" s="180"/>
      <c r="CT199" s="180"/>
      <c r="CU199" s="180"/>
    </row>
    <row r="200" spans="1:99" s="562" customFormat="1" x14ac:dyDescent="0.3">
      <c r="A200" s="561">
        <v>661</v>
      </c>
      <c r="B200" s="562" t="s">
        <v>421</v>
      </c>
      <c r="D200" s="562">
        <v>0</v>
      </c>
      <c r="E200" s="562">
        <v>0</v>
      </c>
      <c r="G200" s="562">
        <v>0</v>
      </c>
      <c r="H200" s="562">
        <v>0</v>
      </c>
      <c r="I200" s="562">
        <v>-2.8</v>
      </c>
      <c r="J200" s="562">
        <v>0</v>
      </c>
      <c r="K200" s="562">
        <v>0</v>
      </c>
      <c r="L200" s="562">
        <v>0</v>
      </c>
      <c r="N200" s="562">
        <v>0</v>
      </c>
      <c r="P200" s="562">
        <v>0</v>
      </c>
      <c r="Q200" s="562">
        <v>2.9</v>
      </c>
      <c r="R200" s="562">
        <v>0</v>
      </c>
      <c r="S200" s="562">
        <v>0</v>
      </c>
      <c r="T200" s="562">
        <v>0</v>
      </c>
      <c r="U200" s="562">
        <v>0</v>
      </c>
      <c r="V200" s="562">
        <v>0</v>
      </c>
      <c r="W200" s="562">
        <v>0</v>
      </c>
      <c r="X200" s="562">
        <v>0</v>
      </c>
      <c r="Y200" s="562">
        <v>0</v>
      </c>
      <c r="Z200" s="562">
        <v>0</v>
      </c>
      <c r="AA200" s="562">
        <v>0</v>
      </c>
      <c r="AB200" s="562">
        <v>0</v>
      </c>
      <c r="AC200" s="562">
        <v>0</v>
      </c>
      <c r="AD200" s="562">
        <v>0</v>
      </c>
      <c r="AE200" s="562">
        <v>0</v>
      </c>
      <c r="AF200" s="562">
        <v>0</v>
      </c>
      <c r="AG200" s="562">
        <v>0</v>
      </c>
      <c r="AH200" s="562">
        <v>0</v>
      </c>
      <c r="AI200" s="562">
        <v>0</v>
      </c>
      <c r="AJ200" s="562">
        <v>0</v>
      </c>
      <c r="AK200" s="562">
        <v>0</v>
      </c>
      <c r="AL200" s="562">
        <v>0</v>
      </c>
      <c r="AM200" s="562">
        <v>0</v>
      </c>
      <c r="AN200" s="562">
        <v>0</v>
      </c>
      <c r="AP200" s="562">
        <v>0</v>
      </c>
      <c r="AQ200" s="562">
        <v>0</v>
      </c>
      <c r="AU200" s="562">
        <v>0</v>
      </c>
      <c r="AV200" s="562">
        <v>0</v>
      </c>
      <c r="AX200" s="562">
        <v>0</v>
      </c>
      <c r="AY200" s="562">
        <v>0</v>
      </c>
      <c r="BA200" s="562">
        <v>0</v>
      </c>
      <c r="BB200" s="562">
        <v>0</v>
      </c>
      <c r="BD200" s="562">
        <v>0</v>
      </c>
      <c r="BE200" s="562">
        <v>0</v>
      </c>
      <c r="BH200" s="562">
        <v>0</v>
      </c>
      <c r="BI200" s="562">
        <v>0</v>
      </c>
      <c r="BJ200" s="562">
        <v>0</v>
      </c>
      <c r="BK200" s="562">
        <v>0</v>
      </c>
      <c r="BL200" s="562">
        <v>0</v>
      </c>
      <c r="BM200" s="562">
        <v>0</v>
      </c>
      <c r="BN200" s="562">
        <v>0</v>
      </c>
      <c r="BO200" s="562">
        <v>0</v>
      </c>
      <c r="BP200" s="562">
        <v>0</v>
      </c>
      <c r="BQ200" s="562">
        <v>0</v>
      </c>
      <c r="BR200" s="562">
        <v>0</v>
      </c>
      <c r="BS200" s="562">
        <v>0</v>
      </c>
      <c r="BT200" s="562">
        <v>0</v>
      </c>
      <c r="BU200" s="562">
        <v>0</v>
      </c>
      <c r="BV200" s="562">
        <v>0</v>
      </c>
      <c r="BW200" s="562">
        <v>0</v>
      </c>
      <c r="BY200" s="562">
        <v>0</v>
      </c>
      <c r="BZ200" s="562">
        <v>0</v>
      </c>
      <c r="CA200" s="562">
        <v>0</v>
      </c>
    </row>
    <row r="201" spans="1:99" s="555" customFormat="1" x14ac:dyDescent="0.3">
      <c r="A201" s="558">
        <v>662</v>
      </c>
      <c r="B201" s="555" t="s">
        <v>451</v>
      </c>
      <c r="E201" s="555">
        <v>0</v>
      </c>
      <c r="G201" s="555">
        <v>128807</v>
      </c>
      <c r="K201" s="555">
        <v>0</v>
      </c>
      <c r="L201" s="555">
        <v>0</v>
      </c>
      <c r="P201" s="555">
        <v>0</v>
      </c>
      <c r="Q201" s="555">
        <v>0</v>
      </c>
      <c r="S201" s="555">
        <v>1</v>
      </c>
      <c r="U201" s="555">
        <v>16214</v>
      </c>
      <c r="X201" s="555">
        <v>445364</v>
      </c>
      <c r="Y201" s="555">
        <v>0</v>
      </c>
      <c r="AA201" s="555">
        <v>0</v>
      </c>
      <c r="AJ201" s="555">
        <v>0</v>
      </c>
      <c r="AM201" s="555">
        <v>0</v>
      </c>
      <c r="AN201" s="555">
        <v>0</v>
      </c>
      <c r="AQ201" s="555">
        <v>0</v>
      </c>
      <c r="AU201" s="555">
        <v>0</v>
      </c>
      <c r="BE201" s="555">
        <v>0</v>
      </c>
      <c r="BH201" s="555">
        <v>0</v>
      </c>
      <c r="BJ201" s="555">
        <v>0</v>
      </c>
      <c r="BN201" s="555">
        <v>0</v>
      </c>
      <c r="BS201" s="555">
        <v>0</v>
      </c>
      <c r="BZ201" s="555">
        <v>0</v>
      </c>
    </row>
    <row r="202" spans="1:99" s="555" customFormat="1" x14ac:dyDescent="0.3">
      <c r="A202" s="558">
        <v>663</v>
      </c>
      <c r="B202" s="555" t="s">
        <v>975</v>
      </c>
      <c r="E202" s="555">
        <v>0</v>
      </c>
      <c r="G202" s="555">
        <v>0</v>
      </c>
      <c r="K202" s="555">
        <v>0</v>
      </c>
      <c r="L202" s="555">
        <v>1463648</v>
      </c>
      <c r="P202" s="555">
        <v>0</v>
      </c>
      <c r="Q202" s="555">
        <v>0</v>
      </c>
      <c r="S202" s="555">
        <v>11629</v>
      </c>
      <c r="U202" s="555">
        <v>421234</v>
      </c>
      <c r="X202" s="555">
        <v>0</v>
      </c>
      <c r="Y202" s="555">
        <v>0</v>
      </c>
      <c r="AA202" s="555">
        <v>0</v>
      </c>
      <c r="AJ202" s="555">
        <v>0</v>
      </c>
      <c r="AM202" s="555">
        <v>0</v>
      </c>
      <c r="AN202" s="555">
        <v>0</v>
      </c>
      <c r="AQ202" s="555">
        <v>0</v>
      </c>
      <c r="AU202" s="555">
        <v>0</v>
      </c>
      <c r="BE202" s="555">
        <v>0</v>
      </c>
      <c r="BH202" s="555">
        <v>0</v>
      </c>
      <c r="BJ202" s="555">
        <v>0</v>
      </c>
      <c r="BN202" s="555">
        <v>0</v>
      </c>
      <c r="BS202" s="555">
        <v>0</v>
      </c>
      <c r="BZ202" s="555">
        <v>0</v>
      </c>
    </row>
    <row r="203" spans="1:99" s="557" customFormat="1" x14ac:dyDescent="0.3">
      <c r="A203" s="556">
        <v>906</v>
      </c>
      <c r="B203" s="557" t="s">
        <v>976</v>
      </c>
      <c r="D203" s="557">
        <v>1</v>
      </c>
      <c r="E203" s="557">
        <v>1</v>
      </c>
      <c r="G203" s="557">
        <v>1</v>
      </c>
      <c r="H203" s="557">
        <v>1</v>
      </c>
      <c r="I203" s="557">
        <v>1</v>
      </c>
      <c r="J203" s="557">
        <v>1</v>
      </c>
      <c r="K203" s="557">
        <v>1</v>
      </c>
      <c r="L203" s="557">
        <v>1</v>
      </c>
      <c r="N203" s="557">
        <v>1</v>
      </c>
      <c r="P203" s="557">
        <v>1</v>
      </c>
      <c r="Q203" s="557">
        <v>1</v>
      </c>
      <c r="R203" s="557">
        <v>1</v>
      </c>
      <c r="S203" s="557">
        <v>1</v>
      </c>
      <c r="T203" s="557">
        <v>1</v>
      </c>
      <c r="U203" s="557">
        <v>1</v>
      </c>
      <c r="V203" s="557">
        <v>1</v>
      </c>
      <c r="W203" s="557">
        <v>1</v>
      </c>
      <c r="X203" s="557">
        <v>1</v>
      </c>
      <c r="Y203" s="557">
        <v>1</v>
      </c>
      <c r="Z203" s="557">
        <v>1</v>
      </c>
      <c r="AA203" s="557">
        <v>1</v>
      </c>
      <c r="AB203" s="557">
        <v>1</v>
      </c>
      <c r="AC203" s="557">
        <v>1</v>
      </c>
      <c r="AD203" s="557">
        <v>1</v>
      </c>
      <c r="AE203" s="557">
        <v>1</v>
      </c>
      <c r="AF203" s="557">
        <v>1</v>
      </c>
      <c r="AG203" s="557">
        <v>1</v>
      </c>
      <c r="AH203" s="557">
        <v>1</v>
      </c>
      <c r="AI203" s="557">
        <v>1</v>
      </c>
      <c r="AJ203" s="557">
        <v>1</v>
      </c>
      <c r="AK203" s="557">
        <v>1</v>
      </c>
      <c r="AL203" s="557">
        <v>1</v>
      </c>
      <c r="AM203" s="557">
        <v>1</v>
      </c>
      <c r="AN203" s="557">
        <v>1</v>
      </c>
      <c r="AP203" s="557">
        <v>1</v>
      </c>
      <c r="AQ203" s="557">
        <v>1</v>
      </c>
      <c r="AU203" s="557">
        <v>1</v>
      </c>
      <c r="AV203" s="557">
        <v>1</v>
      </c>
      <c r="AX203" s="557">
        <v>1</v>
      </c>
      <c r="AY203" s="557">
        <v>1</v>
      </c>
      <c r="BA203" s="557">
        <v>1</v>
      </c>
      <c r="BB203" s="557">
        <v>1</v>
      </c>
      <c r="BD203" s="557">
        <v>1</v>
      </c>
      <c r="BE203" s="557">
        <v>1</v>
      </c>
      <c r="BH203" s="557">
        <v>1</v>
      </c>
      <c r="BI203" s="557">
        <v>1</v>
      </c>
      <c r="BJ203" s="557">
        <v>1</v>
      </c>
      <c r="BK203" s="557">
        <v>1</v>
      </c>
      <c r="BL203" s="557">
        <v>1</v>
      </c>
      <c r="BM203" s="557">
        <v>1</v>
      </c>
      <c r="BN203" s="557">
        <v>1</v>
      </c>
      <c r="BO203" s="557">
        <v>1</v>
      </c>
      <c r="BP203" s="557">
        <v>1</v>
      </c>
      <c r="BQ203" s="557">
        <v>1</v>
      </c>
      <c r="BR203" s="557">
        <v>1</v>
      </c>
      <c r="BS203" s="557">
        <v>1</v>
      </c>
      <c r="BT203" s="557">
        <v>1</v>
      </c>
      <c r="BU203" s="557">
        <v>1</v>
      </c>
      <c r="BV203" s="557">
        <v>1</v>
      </c>
      <c r="BW203" s="557">
        <v>1</v>
      </c>
      <c r="BY203" s="557">
        <v>1</v>
      </c>
      <c r="BZ203" s="557">
        <v>1</v>
      </c>
      <c r="CA203" s="557">
        <v>1</v>
      </c>
    </row>
    <row r="204" spans="1:99" s="557" customFormat="1" x14ac:dyDescent="0.3">
      <c r="A204" s="556">
        <v>907</v>
      </c>
      <c r="B204" s="557" t="s">
        <v>977</v>
      </c>
      <c r="D204" s="557">
        <v>2</v>
      </c>
      <c r="E204" s="557">
        <v>2</v>
      </c>
      <c r="G204" s="557">
        <v>2</v>
      </c>
      <c r="H204" s="557">
        <v>2</v>
      </c>
      <c r="I204" s="557">
        <v>2</v>
      </c>
      <c r="J204" s="557">
        <v>2</v>
      </c>
      <c r="K204" s="557">
        <v>2</v>
      </c>
      <c r="L204" s="557">
        <v>2</v>
      </c>
      <c r="N204" s="557">
        <v>1</v>
      </c>
      <c r="P204" s="557">
        <v>2</v>
      </c>
      <c r="Q204" s="557">
        <v>2</v>
      </c>
      <c r="R204" s="557">
        <v>2</v>
      </c>
      <c r="S204" s="557">
        <v>2</v>
      </c>
      <c r="T204" s="557">
        <v>2</v>
      </c>
      <c r="U204" s="557">
        <v>2</v>
      </c>
      <c r="V204" s="557">
        <v>2</v>
      </c>
      <c r="W204" s="557">
        <v>2</v>
      </c>
      <c r="X204" s="557">
        <v>2</v>
      </c>
      <c r="Y204" s="557">
        <v>2</v>
      </c>
      <c r="Z204" s="557">
        <v>2</v>
      </c>
      <c r="AA204" s="557">
        <v>1</v>
      </c>
      <c r="AB204" s="557">
        <v>2</v>
      </c>
      <c r="AC204" s="557">
        <v>2</v>
      </c>
      <c r="AD204" s="557">
        <v>1</v>
      </c>
      <c r="AE204" s="557">
        <v>2</v>
      </c>
      <c r="AF204" s="557">
        <v>1</v>
      </c>
      <c r="AG204" s="557">
        <v>1</v>
      </c>
      <c r="AH204" s="557">
        <v>1</v>
      </c>
      <c r="AI204" s="557">
        <v>2</v>
      </c>
      <c r="AJ204" s="557">
        <v>2</v>
      </c>
      <c r="AK204" s="557">
        <v>1</v>
      </c>
      <c r="AL204" s="557">
        <v>2</v>
      </c>
      <c r="AM204" s="557">
        <v>2</v>
      </c>
      <c r="AN204" s="557">
        <v>2</v>
      </c>
      <c r="AP204" s="557">
        <v>2</v>
      </c>
      <c r="AQ204" s="557">
        <v>2</v>
      </c>
      <c r="AU204" s="557">
        <v>2</v>
      </c>
      <c r="AV204" s="557">
        <v>1</v>
      </c>
      <c r="AX204" s="557">
        <v>2</v>
      </c>
      <c r="AY204" s="557">
        <v>1</v>
      </c>
      <c r="BA204" s="557">
        <v>1</v>
      </c>
      <c r="BB204" s="557">
        <v>1</v>
      </c>
      <c r="BD204" s="557">
        <v>1</v>
      </c>
      <c r="BE204" s="557">
        <v>2</v>
      </c>
      <c r="BH204" s="557">
        <v>2</v>
      </c>
      <c r="BI204" s="557">
        <v>2</v>
      </c>
      <c r="BJ204" s="557">
        <v>1</v>
      </c>
      <c r="BK204" s="557">
        <v>2</v>
      </c>
      <c r="BL204" s="557">
        <v>2</v>
      </c>
      <c r="BM204" s="557">
        <v>1</v>
      </c>
      <c r="BN204" s="557">
        <v>2</v>
      </c>
      <c r="BO204" s="557">
        <v>1</v>
      </c>
      <c r="BP204" s="557">
        <v>1</v>
      </c>
      <c r="BQ204" s="557">
        <v>2</v>
      </c>
      <c r="BR204" s="557">
        <v>1</v>
      </c>
      <c r="BS204" s="557">
        <v>2</v>
      </c>
      <c r="BT204" s="557">
        <v>2</v>
      </c>
      <c r="BU204" s="557">
        <v>2</v>
      </c>
      <c r="BV204" s="557">
        <v>1</v>
      </c>
      <c r="BW204" s="557">
        <v>1</v>
      </c>
      <c r="BY204" s="557">
        <v>1</v>
      </c>
      <c r="BZ204" s="557">
        <v>2</v>
      </c>
      <c r="CA204" s="557">
        <v>2</v>
      </c>
    </row>
    <row r="205" spans="1:99" x14ac:dyDescent="0.3">
      <c r="A205" s="155">
        <v>947</v>
      </c>
      <c r="B205" s="180" t="s">
        <v>978</v>
      </c>
      <c r="C205" s="180"/>
      <c r="D205" s="180" t="s">
        <v>2078</v>
      </c>
      <c r="E205" s="180" t="s">
        <v>2063</v>
      </c>
      <c r="F205" s="180"/>
      <c r="G205" s="180" t="s">
        <v>2497</v>
      </c>
      <c r="H205" s="180" t="s">
        <v>2065</v>
      </c>
      <c r="I205" s="180" t="s">
        <v>2066</v>
      </c>
      <c r="J205" s="180" t="s">
        <v>2067</v>
      </c>
      <c r="K205" s="180" t="s">
        <v>2068</v>
      </c>
      <c r="L205" s="180" t="s">
        <v>2024</v>
      </c>
      <c r="M205" s="180"/>
      <c r="N205" s="180" t="s">
        <v>2071</v>
      </c>
      <c r="O205" s="180"/>
      <c r="P205" s="180" t="s">
        <v>2073</v>
      </c>
      <c r="Q205" s="180" t="s">
        <v>2021</v>
      </c>
      <c r="R205" s="180" t="s">
        <v>979</v>
      </c>
      <c r="S205" s="180" t="s">
        <v>2074</v>
      </c>
      <c r="T205" s="180" t="s">
        <v>2498</v>
      </c>
      <c r="U205" s="180" t="s">
        <v>2075</v>
      </c>
      <c r="V205" s="180" t="s">
        <v>2499</v>
      </c>
      <c r="W205" s="180" t="s">
        <v>2077</v>
      </c>
      <c r="X205" s="180" t="s">
        <v>2500</v>
      </c>
      <c r="Y205" s="180" t="s">
        <v>2079</v>
      </c>
      <c r="Z205" s="180" t="s">
        <v>2020</v>
      </c>
      <c r="AA205" s="180" t="s">
        <v>2501</v>
      </c>
      <c r="AB205" s="180" t="s">
        <v>2081</v>
      </c>
      <c r="AC205" s="180" t="s">
        <v>2047</v>
      </c>
      <c r="AD205" s="180" t="s">
        <v>2502</v>
      </c>
      <c r="AE205" s="180" t="s">
        <v>2083</v>
      </c>
      <c r="AF205" s="180" t="s">
        <v>2084</v>
      </c>
      <c r="AG205" s="180" t="s">
        <v>2503</v>
      </c>
      <c r="AH205" s="180" t="s">
        <v>2086</v>
      </c>
      <c r="AI205" s="180" t="s">
        <v>2019</v>
      </c>
      <c r="AJ205" s="180" t="s">
        <v>2087</v>
      </c>
      <c r="AK205" s="180" t="s">
        <v>2088</v>
      </c>
      <c r="AL205" s="180" t="s">
        <v>2089</v>
      </c>
      <c r="AM205" s="180" t="s">
        <v>2090</v>
      </c>
      <c r="AN205" s="180" t="s">
        <v>2075</v>
      </c>
      <c r="AO205" s="180"/>
      <c r="AP205" s="180" t="s">
        <v>2091</v>
      </c>
      <c r="AQ205" s="180" t="s">
        <v>2026</v>
      </c>
      <c r="AR205" s="180"/>
      <c r="AS205" s="180"/>
      <c r="AT205" s="180"/>
      <c r="AU205" s="180" t="s">
        <v>1628</v>
      </c>
      <c r="AV205" s="180" t="s">
        <v>2504</v>
      </c>
      <c r="AW205" s="180"/>
      <c r="AX205" s="180" t="s">
        <v>2096</v>
      </c>
      <c r="AY205" s="180" t="s">
        <v>2505</v>
      </c>
      <c r="AZ205" s="180"/>
      <c r="BA205" s="180" t="s">
        <v>2094</v>
      </c>
      <c r="BB205" s="180" t="s">
        <v>2094</v>
      </c>
      <c r="BC205" s="180"/>
      <c r="BD205" s="180" t="s">
        <v>2099</v>
      </c>
      <c r="BE205" s="180" t="s">
        <v>2100</v>
      </c>
      <c r="BF205" s="180"/>
      <c r="BG205" s="180"/>
      <c r="BH205" s="180" t="s">
        <v>2047</v>
      </c>
      <c r="BI205" s="180" t="s">
        <v>2506</v>
      </c>
      <c r="BJ205" s="180" t="s">
        <v>1623</v>
      </c>
      <c r="BK205" s="180" t="s">
        <v>2105</v>
      </c>
      <c r="BL205" s="180" t="s">
        <v>2019</v>
      </c>
      <c r="BM205" s="180" t="s">
        <v>2107</v>
      </c>
      <c r="BN205" s="180" t="s">
        <v>2108</v>
      </c>
      <c r="BO205" s="180" t="s">
        <v>2109</v>
      </c>
      <c r="BP205" s="180" t="s">
        <v>2507</v>
      </c>
      <c r="BQ205" s="180" t="s">
        <v>2068</v>
      </c>
      <c r="BR205" s="180" t="s">
        <v>2023</v>
      </c>
      <c r="BS205" s="180" t="s">
        <v>2112</v>
      </c>
      <c r="BT205" s="180" t="s">
        <v>2113</v>
      </c>
      <c r="BU205" s="180" t="s">
        <v>2114</v>
      </c>
      <c r="BV205" s="180" t="s">
        <v>432</v>
      </c>
      <c r="BW205" s="180" t="s">
        <v>2025</v>
      </c>
      <c r="BX205" s="180"/>
      <c r="BY205" s="180" t="s">
        <v>2508</v>
      </c>
      <c r="BZ205" s="180" t="s">
        <v>2116</v>
      </c>
      <c r="CA205" s="180" t="s">
        <v>2117</v>
      </c>
      <c r="CB205" s="180"/>
      <c r="CC205" s="180"/>
      <c r="CD205" s="180"/>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948</v>
      </c>
      <c r="B206" s="180" t="s">
        <v>980</v>
      </c>
      <c r="C206" s="180"/>
      <c r="D206" s="180" t="s">
        <v>2048</v>
      </c>
      <c r="E206" s="180" t="s">
        <v>2118</v>
      </c>
      <c r="F206" s="180"/>
      <c r="G206" s="180" t="s">
        <v>2509</v>
      </c>
      <c r="H206" s="180" t="s">
        <v>2121</v>
      </c>
      <c r="I206" s="180" t="s">
        <v>2122</v>
      </c>
      <c r="J206" s="180" t="s">
        <v>2123</v>
      </c>
      <c r="K206" s="180" t="s">
        <v>2124</v>
      </c>
      <c r="L206" s="180" t="s">
        <v>2510</v>
      </c>
      <c r="M206" s="180"/>
      <c r="N206" s="180" t="s">
        <v>2127</v>
      </c>
      <c r="O206" s="180"/>
      <c r="P206" s="180" t="s">
        <v>2128</v>
      </c>
      <c r="Q206" s="180" t="s">
        <v>2129</v>
      </c>
      <c r="R206" s="180" t="s">
        <v>2029</v>
      </c>
      <c r="S206" s="180" t="s">
        <v>2130</v>
      </c>
      <c r="T206" s="180" t="s">
        <v>2027</v>
      </c>
      <c r="U206" s="180" t="s">
        <v>2131</v>
      </c>
      <c r="V206" s="180" t="s">
        <v>2132</v>
      </c>
      <c r="W206" s="180" t="s">
        <v>2133</v>
      </c>
      <c r="X206" s="180" t="s">
        <v>2511</v>
      </c>
      <c r="Y206" s="180" t="s">
        <v>2135</v>
      </c>
      <c r="Z206" s="180" t="s">
        <v>2512</v>
      </c>
      <c r="AA206" s="180" t="s">
        <v>2513</v>
      </c>
      <c r="AB206" s="180" t="s">
        <v>2137</v>
      </c>
      <c r="AC206" s="180" t="s">
        <v>2514</v>
      </c>
      <c r="AD206" s="180" t="s">
        <v>2515</v>
      </c>
      <c r="AE206" s="180" t="s">
        <v>533</v>
      </c>
      <c r="AF206" s="180" t="s">
        <v>2140</v>
      </c>
      <c r="AG206" s="180" t="s">
        <v>2141</v>
      </c>
      <c r="AH206" s="180" t="s">
        <v>2142</v>
      </c>
      <c r="AI206" s="180" t="s">
        <v>2143</v>
      </c>
      <c r="AJ206" s="180" t="s">
        <v>2144</v>
      </c>
      <c r="AK206" s="180" t="s">
        <v>2145</v>
      </c>
      <c r="AL206" s="180" t="s">
        <v>2146</v>
      </c>
      <c r="AM206" s="180" t="s">
        <v>2147</v>
      </c>
      <c r="AN206" s="180" t="s">
        <v>2148</v>
      </c>
      <c r="AO206" s="180"/>
      <c r="AP206" s="180" t="s">
        <v>2149</v>
      </c>
      <c r="AQ206" s="180" t="s">
        <v>2150</v>
      </c>
      <c r="AR206" s="180"/>
      <c r="AS206" s="180"/>
      <c r="AT206" s="180"/>
      <c r="AU206" s="180" t="s">
        <v>2153</v>
      </c>
      <c r="AV206" s="180" t="s">
        <v>2154</v>
      </c>
      <c r="AW206" s="180"/>
      <c r="AX206" s="180" t="s">
        <v>2155</v>
      </c>
      <c r="AY206" s="180" t="s">
        <v>2516</v>
      </c>
      <c r="AZ206" s="180"/>
      <c r="BA206" s="180" t="s">
        <v>2158</v>
      </c>
      <c r="BB206" s="180" t="s">
        <v>2159</v>
      </c>
      <c r="BC206" s="180"/>
      <c r="BD206" s="180" t="s">
        <v>2517</v>
      </c>
      <c r="BE206" s="180" t="s">
        <v>2161</v>
      </c>
      <c r="BF206" s="180"/>
      <c r="BG206" s="180"/>
      <c r="BH206" s="180" t="s">
        <v>2127</v>
      </c>
      <c r="BI206" s="180" t="s">
        <v>2518</v>
      </c>
      <c r="BJ206" s="180" t="s">
        <v>2166</v>
      </c>
      <c r="BK206" s="180" t="s">
        <v>2048</v>
      </c>
      <c r="BL206" s="180" t="s">
        <v>2519</v>
      </c>
      <c r="BM206" s="180" t="s">
        <v>1480</v>
      </c>
      <c r="BN206" s="180" t="s">
        <v>2168</v>
      </c>
      <c r="BO206" s="180" t="s">
        <v>2169</v>
      </c>
      <c r="BP206" s="180" t="s">
        <v>2170</v>
      </c>
      <c r="BQ206" s="180" t="s">
        <v>2171</v>
      </c>
      <c r="BR206" s="180" t="s">
        <v>2520</v>
      </c>
      <c r="BS206" s="180" t="s">
        <v>2173</v>
      </c>
      <c r="BT206" s="180" t="s">
        <v>2174</v>
      </c>
      <c r="BU206" s="180" t="s">
        <v>2175</v>
      </c>
      <c r="BV206" s="180" t="s">
        <v>432</v>
      </c>
      <c r="BW206" s="180" t="s">
        <v>2177</v>
      </c>
      <c r="BX206" s="180"/>
      <c r="BY206" s="180" t="s">
        <v>2521</v>
      </c>
      <c r="BZ206" s="180" t="s">
        <v>2180</v>
      </c>
      <c r="CA206" s="180" t="s">
        <v>2143</v>
      </c>
      <c r="CB206" s="180"/>
      <c r="CC206" s="180"/>
      <c r="CD206" s="180"/>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949</v>
      </c>
      <c r="B207" s="180" t="s">
        <v>981</v>
      </c>
      <c r="C207" s="180"/>
      <c r="D207" s="180" t="s">
        <v>413</v>
      </c>
      <c r="E207" s="180" t="s">
        <v>413</v>
      </c>
      <c r="F207" s="180"/>
      <c r="G207" s="180" t="s">
        <v>413</v>
      </c>
      <c r="H207" s="180" t="s">
        <v>413</v>
      </c>
      <c r="I207" s="180" t="s">
        <v>413</v>
      </c>
      <c r="J207" s="180" t="s">
        <v>413</v>
      </c>
      <c r="K207" s="180" t="s">
        <v>413</v>
      </c>
      <c r="L207" s="180" t="s">
        <v>413</v>
      </c>
      <c r="M207" s="180"/>
      <c r="N207" s="180" t="s">
        <v>413</v>
      </c>
      <c r="O207" s="180"/>
      <c r="P207" s="180" t="s">
        <v>413</v>
      </c>
      <c r="Q207" s="180" t="s">
        <v>413</v>
      </c>
      <c r="R207" s="180" t="s">
        <v>413</v>
      </c>
      <c r="S207" s="180" t="s">
        <v>413</v>
      </c>
      <c r="T207" s="180" t="s">
        <v>413</v>
      </c>
      <c r="U207" s="180" t="s">
        <v>413</v>
      </c>
      <c r="V207" s="180" t="s">
        <v>413</v>
      </c>
      <c r="W207" s="180" t="s">
        <v>413</v>
      </c>
      <c r="X207" s="180" t="s">
        <v>413</v>
      </c>
      <c r="Y207" s="180" t="s">
        <v>413</v>
      </c>
      <c r="Z207" s="180" t="s">
        <v>413</v>
      </c>
      <c r="AA207" s="180" t="s">
        <v>413</v>
      </c>
      <c r="AB207" s="180" t="s">
        <v>413</v>
      </c>
      <c r="AC207" s="180" t="s">
        <v>413</v>
      </c>
      <c r="AD207" s="180" t="s">
        <v>413</v>
      </c>
      <c r="AE207" s="180" t="s">
        <v>413</v>
      </c>
      <c r="AF207" s="180" t="s">
        <v>413</v>
      </c>
      <c r="AG207" s="180" t="s">
        <v>413</v>
      </c>
      <c r="AH207" s="180" t="s">
        <v>413</v>
      </c>
      <c r="AI207" s="180" t="s">
        <v>413</v>
      </c>
      <c r="AJ207" s="180" t="s">
        <v>413</v>
      </c>
      <c r="AK207" s="180" t="s">
        <v>413</v>
      </c>
      <c r="AL207" s="180" t="s">
        <v>413</v>
      </c>
      <c r="AM207" s="180" t="s">
        <v>413</v>
      </c>
      <c r="AN207" s="180" t="s">
        <v>413</v>
      </c>
      <c r="AO207" s="180"/>
      <c r="AP207" s="180" t="s">
        <v>413</v>
      </c>
      <c r="AQ207" s="180" t="s">
        <v>413</v>
      </c>
      <c r="AR207" s="180"/>
      <c r="AS207" s="180"/>
      <c r="AT207" s="180"/>
      <c r="AU207" s="180" t="s">
        <v>413</v>
      </c>
      <c r="AV207" s="180" t="s">
        <v>413</v>
      </c>
      <c r="AW207" s="180"/>
      <c r="AX207" s="180" t="s">
        <v>413</v>
      </c>
      <c r="AY207" s="180" t="s">
        <v>413</v>
      </c>
      <c r="AZ207" s="180"/>
      <c r="BA207" s="180" t="s">
        <v>413</v>
      </c>
      <c r="BB207" s="180" t="s">
        <v>413</v>
      </c>
      <c r="BC207" s="180"/>
      <c r="BD207" s="180" t="s">
        <v>413</v>
      </c>
      <c r="BE207" s="180" t="s">
        <v>413</v>
      </c>
      <c r="BF207" s="180"/>
      <c r="BG207" s="180"/>
      <c r="BH207" s="180" t="s">
        <v>413</v>
      </c>
      <c r="BI207" s="180" t="s">
        <v>413</v>
      </c>
      <c r="BJ207" s="180" t="s">
        <v>413</v>
      </c>
      <c r="BK207" s="180" t="s">
        <v>413</v>
      </c>
      <c r="BL207" s="180" t="s">
        <v>413</v>
      </c>
      <c r="BM207" s="180" t="s">
        <v>413</v>
      </c>
      <c r="BN207" s="180" t="s">
        <v>413</v>
      </c>
      <c r="BO207" s="180" t="s">
        <v>413</v>
      </c>
      <c r="BP207" s="180" t="s">
        <v>413</v>
      </c>
      <c r="BQ207" s="180" t="s">
        <v>413</v>
      </c>
      <c r="BR207" s="180" t="s">
        <v>431</v>
      </c>
      <c r="BS207" s="180" t="s">
        <v>413</v>
      </c>
      <c r="BT207" s="180" t="s">
        <v>413</v>
      </c>
      <c r="BU207" s="180" t="s">
        <v>413</v>
      </c>
      <c r="BV207" s="180" t="s">
        <v>432</v>
      </c>
      <c r="BW207" s="180" t="s">
        <v>413</v>
      </c>
      <c r="BX207" s="180"/>
      <c r="BY207" s="180" t="s">
        <v>413</v>
      </c>
      <c r="BZ207" s="180" t="s">
        <v>413</v>
      </c>
      <c r="CA207" s="180" t="s">
        <v>413</v>
      </c>
      <c r="CB207" s="180"/>
      <c r="CC207" s="180"/>
      <c r="CD207" s="180"/>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950</v>
      </c>
      <c r="B208" s="180" t="s">
        <v>982</v>
      </c>
      <c r="C208" s="180"/>
      <c r="D208" s="180" t="s">
        <v>50</v>
      </c>
      <c r="E208" s="180" t="s">
        <v>50</v>
      </c>
      <c r="F208" s="180"/>
      <c r="G208" s="180" t="s">
        <v>50</v>
      </c>
      <c r="H208" s="180" t="s">
        <v>50</v>
      </c>
      <c r="I208" s="180" t="s">
        <v>50</v>
      </c>
      <c r="J208" s="180" t="s">
        <v>50</v>
      </c>
      <c r="K208" s="180" t="s">
        <v>50</v>
      </c>
      <c r="L208" s="180" t="s">
        <v>50</v>
      </c>
      <c r="M208" s="180"/>
      <c r="N208" s="180" t="s">
        <v>50</v>
      </c>
      <c r="O208" s="180"/>
      <c r="P208" s="180" t="s">
        <v>50</v>
      </c>
      <c r="Q208" s="180" t="s">
        <v>50</v>
      </c>
      <c r="R208" s="180" t="s">
        <v>50</v>
      </c>
      <c r="S208" s="180" t="s">
        <v>50</v>
      </c>
      <c r="T208" s="180" t="s">
        <v>50</v>
      </c>
      <c r="U208" s="180" t="s">
        <v>50</v>
      </c>
      <c r="V208" s="180" t="s">
        <v>50</v>
      </c>
      <c r="W208" s="180" t="s">
        <v>50</v>
      </c>
      <c r="X208" s="180" t="s">
        <v>50</v>
      </c>
      <c r="Y208" s="180" t="s">
        <v>50</v>
      </c>
      <c r="Z208" s="180" t="s">
        <v>50</v>
      </c>
      <c r="AA208" s="180" t="s">
        <v>50</v>
      </c>
      <c r="AB208" s="180" t="s">
        <v>50</v>
      </c>
      <c r="AC208" s="180" t="s">
        <v>50</v>
      </c>
      <c r="AD208" s="180" t="s">
        <v>50</v>
      </c>
      <c r="AE208" s="180" t="s">
        <v>50</v>
      </c>
      <c r="AF208" s="180" t="s">
        <v>50</v>
      </c>
      <c r="AG208" s="180" t="s">
        <v>50</v>
      </c>
      <c r="AH208" s="180" t="s">
        <v>50</v>
      </c>
      <c r="AI208" s="180" t="s">
        <v>50</v>
      </c>
      <c r="AJ208" s="180" t="s">
        <v>50</v>
      </c>
      <c r="AK208" s="180" t="s">
        <v>50</v>
      </c>
      <c r="AL208" s="180" t="s">
        <v>50</v>
      </c>
      <c r="AM208" s="180" t="s">
        <v>50</v>
      </c>
      <c r="AN208" s="180" t="s">
        <v>50</v>
      </c>
      <c r="AO208" s="180"/>
      <c r="AP208" s="180" t="s">
        <v>50</v>
      </c>
      <c r="AQ208" s="180" t="s">
        <v>50</v>
      </c>
      <c r="AR208" s="180"/>
      <c r="AS208" s="180"/>
      <c r="AT208" s="180"/>
      <c r="AU208" s="180" t="s">
        <v>50</v>
      </c>
      <c r="AV208" s="180" t="s">
        <v>50</v>
      </c>
      <c r="AW208" s="180"/>
      <c r="AX208" s="180" t="s">
        <v>50</v>
      </c>
      <c r="AY208" s="180" t="s">
        <v>50</v>
      </c>
      <c r="AZ208" s="180"/>
      <c r="BA208" s="180" t="s">
        <v>50</v>
      </c>
      <c r="BB208" s="180" t="s">
        <v>50</v>
      </c>
      <c r="BC208" s="180"/>
      <c r="BD208" s="180" t="s">
        <v>50</v>
      </c>
      <c r="BE208" s="180" t="s">
        <v>50</v>
      </c>
      <c r="BF208" s="180"/>
      <c r="BG208" s="180"/>
      <c r="BH208" s="180" t="s">
        <v>50</v>
      </c>
      <c r="BI208" s="180" t="s">
        <v>50</v>
      </c>
      <c r="BJ208" s="180" t="s">
        <v>50</v>
      </c>
      <c r="BK208" s="180" t="s">
        <v>50</v>
      </c>
      <c r="BL208" s="180" t="s">
        <v>50</v>
      </c>
      <c r="BM208" s="180" t="s">
        <v>50</v>
      </c>
      <c r="BN208" s="180" t="s">
        <v>50</v>
      </c>
      <c r="BO208" s="180" t="s">
        <v>50</v>
      </c>
      <c r="BP208" s="180" t="s">
        <v>50</v>
      </c>
      <c r="BQ208" s="180" t="s">
        <v>50</v>
      </c>
      <c r="BR208" s="180" t="s">
        <v>50</v>
      </c>
      <c r="BS208" s="180" t="s">
        <v>50</v>
      </c>
      <c r="BT208" s="180" t="s">
        <v>50</v>
      </c>
      <c r="BU208" s="180" t="s">
        <v>50</v>
      </c>
      <c r="BV208" s="180" t="s">
        <v>50</v>
      </c>
      <c r="BW208" s="180" t="s">
        <v>50</v>
      </c>
      <c r="BX208" s="180"/>
      <c r="BY208" s="180" t="s">
        <v>50</v>
      </c>
      <c r="BZ208" s="180" t="s">
        <v>50</v>
      </c>
      <c r="CA208" s="180" t="s">
        <v>50</v>
      </c>
      <c r="CB208" s="180"/>
      <c r="CC208" s="180"/>
      <c r="CD208" s="180"/>
      <c r="CE208" s="180"/>
      <c r="CF208" s="180"/>
      <c r="CG208" s="180"/>
      <c r="CH208" s="180"/>
      <c r="CI208" s="180"/>
      <c r="CJ208" s="180"/>
      <c r="CK208" s="180"/>
      <c r="CL208" s="180"/>
      <c r="CM208" s="180"/>
      <c r="CN208" s="180"/>
      <c r="CO208" s="180"/>
      <c r="CP208" s="180"/>
      <c r="CQ208" s="180"/>
      <c r="CR208" s="180"/>
      <c r="CS208" s="180"/>
      <c r="CT208" s="180"/>
      <c r="CU208" s="180"/>
    </row>
    <row r="209" spans="1:99" s="557" customFormat="1" x14ac:dyDescent="0.3">
      <c r="A209" s="556">
        <v>951</v>
      </c>
      <c r="B209" s="557" t="s">
        <v>983</v>
      </c>
      <c r="D209" s="557">
        <v>2</v>
      </c>
      <c r="E209" s="557">
        <v>2</v>
      </c>
      <c r="G209" s="557">
        <v>2</v>
      </c>
      <c r="H209" s="557">
        <v>2</v>
      </c>
      <c r="I209" s="557">
        <v>2</v>
      </c>
      <c r="J209" s="557">
        <v>2</v>
      </c>
      <c r="K209" s="557">
        <v>2</v>
      </c>
      <c r="L209" s="557">
        <v>2</v>
      </c>
      <c r="N209" s="557">
        <v>2</v>
      </c>
      <c r="P209" s="557">
        <v>2</v>
      </c>
      <c r="Q209" s="557">
        <v>2</v>
      </c>
      <c r="R209" s="557">
        <v>2</v>
      </c>
      <c r="S209" s="557">
        <v>2</v>
      </c>
      <c r="T209" s="557">
        <v>2</v>
      </c>
      <c r="U209" s="557">
        <v>2</v>
      </c>
      <c r="V209" s="557">
        <v>2</v>
      </c>
      <c r="W209" s="557">
        <v>2</v>
      </c>
      <c r="X209" s="557">
        <v>2</v>
      </c>
      <c r="Y209" s="557">
        <v>2</v>
      </c>
      <c r="Z209" s="557">
        <v>2</v>
      </c>
      <c r="AA209" s="557">
        <v>2</v>
      </c>
      <c r="AB209" s="557">
        <v>2</v>
      </c>
      <c r="AC209" s="557">
        <v>2</v>
      </c>
      <c r="AD209" s="557">
        <v>2</v>
      </c>
      <c r="AE209" s="557">
        <v>2</v>
      </c>
      <c r="AF209" s="557">
        <v>1</v>
      </c>
      <c r="AG209" s="557">
        <v>1</v>
      </c>
      <c r="AH209" s="557">
        <v>1</v>
      </c>
      <c r="AI209" s="557">
        <v>2</v>
      </c>
      <c r="AJ209" s="557">
        <v>2</v>
      </c>
      <c r="AK209" s="557">
        <v>2</v>
      </c>
      <c r="AL209" s="557">
        <v>2</v>
      </c>
      <c r="AM209" s="557">
        <v>2</v>
      </c>
      <c r="AN209" s="557">
        <v>2</v>
      </c>
      <c r="AP209" s="557">
        <v>2</v>
      </c>
      <c r="AQ209" s="557">
        <v>2</v>
      </c>
      <c r="AU209" s="557">
        <v>2</v>
      </c>
      <c r="AV209" s="557">
        <v>2</v>
      </c>
      <c r="AX209" s="557">
        <v>2</v>
      </c>
      <c r="AY209" s="557">
        <v>2</v>
      </c>
      <c r="BA209" s="557">
        <v>1</v>
      </c>
      <c r="BB209" s="557">
        <v>2</v>
      </c>
      <c r="BD209" s="557">
        <v>2</v>
      </c>
      <c r="BE209" s="557">
        <v>2</v>
      </c>
      <c r="BH209" s="557">
        <v>2</v>
      </c>
      <c r="BI209" s="557">
        <v>2</v>
      </c>
      <c r="BJ209" s="557">
        <v>2</v>
      </c>
      <c r="BK209" s="557">
        <v>2</v>
      </c>
      <c r="BL209" s="557">
        <v>2</v>
      </c>
      <c r="BM209" s="557">
        <v>2</v>
      </c>
      <c r="BN209" s="557">
        <v>2</v>
      </c>
      <c r="BO209" s="557">
        <v>1</v>
      </c>
      <c r="BP209" s="557">
        <v>2</v>
      </c>
      <c r="BQ209" s="557">
        <v>2</v>
      </c>
      <c r="BR209" s="557">
        <v>2</v>
      </c>
      <c r="BS209" s="557">
        <v>2</v>
      </c>
      <c r="BT209" s="557">
        <v>2</v>
      </c>
      <c r="BU209" s="557">
        <v>1</v>
      </c>
      <c r="BV209" s="557">
        <v>2</v>
      </c>
      <c r="BW209" s="557">
        <v>2</v>
      </c>
      <c r="BY209" s="557">
        <v>1</v>
      </c>
      <c r="BZ209" s="557">
        <v>2</v>
      </c>
      <c r="CA209" s="557">
        <v>2</v>
      </c>
    </row>
    <row r="210" spans="1:99" s="562" customFormat="1" x14ac:dyDescent="0.3">
      <c r="A210" s="561">
        <v>952</v>
      </c>
      <c r="B210" s="562" t="s">
        <v>984</v>
      </c>
      <c r="E210" s="562" t="s">
        <v>2181</v>
      </c>
      <c r="G210" s="562" t="s">
        <v>2522</v>
      </c>
      <c r="H210" s="562" t="s">
        <v>2523</v>
      </c>
      <c r="I210" s="562" t="s">
        <v>2524</v>
      </c>
      <c r="J210" s="562" t="s">
        <v>2185</v>
      </c>
      <c r="K210" s="562" t="s">
        <v>2525</v>
      </c>
      <c r="L210" s="562" t="s">
        <v>2012</v>
      </c>
      <c r="N210" s="562" t="s">
        <v>2032</v>
      </c>
      <c r="Q210" s="562" t="s">
        <v>2187</v>
      </c>
      <c r="R210" s="562" t="s">
        <v>2188</v>
      </c>
      <c r="S210" s="562" t="s">
        <v>2189</v>
      </c>
      <c r="T210" s="562" t="s">
        <v>2526</v>
      </c>
      <c r="U210" s="562" t="s">
        <v>2190</v>
      </c>
      <c r="V210" s="562" t="s">
        <v>2191</v>
      </c>
      <c r="W210" s="562" t="s">
        <v>2192</v>
      </c>
      <c r="Y210" s="562" t="s">
        <v>2194</v>
      </c>
      <c r="Z210" s="562" t="s">
        <v>2195</v>
      </c>
      <c r="AA210" s="562" t="s">
        <v>2527</v>
      </c>
      <c r="AB210" s="562" t="s">
        <v>2049</v>
      </c>
      <c r="AD210" s="562" t="s">
        <v>1997</v>
      </c>
      <c r="AE210" s="562" t="s">
        <v>2198</v>
      </c>
      <c r="AH210" s="562" t="s">
        <v>1995</v>
      </c>
      <c r="AI210" s="562" t="s">
        <v>2199</v>
      </c>
      <c r="AJ210" s="562" t="s">
        <v>2200</v>
      </c>
      <c r="AK210" s="562" t="s">
        <v>1995</v>
      </c>
      <c r="AL210" s="562" t="s">
        <v>2201</v>
      </c>
      <c r="AM210" s="562" t="s">
        <v>1996</v>
      </c>
      <c r="AN210" s="562" t="s">
        <v>2202</v>
      </c>
      <c r="AP210" s="562" t="s">
        <v>2189</v>
      </c>
      <c r="AQ210" s="562" t="s">
        <v>2203</v>
      </c>
      <c r="AU210" s="562" t="s">
        <v>2206</v>
      </c>
      <c r="AY210" s="562" t="s">
        <v>2207</v>
      </c>
      <c r="BB210" s="562" t="s">
        <v>1999</v>
      </c>
      <c r="BE210" s="562" t="s">
        <v>2209</v>
      </c>
      <c r="BI210" s="562" t="s">
        <v>2528</v>
      </c>
      <c r="BJ210" s="562" t="s">
        <v>2212</v>
      </c>
      <c r="BK210" s="562" t="s">
        <v>2031</v>
      </c>
      <c r="BM210" s="562" t="s">
        <v>2049</v>
      </c>
      <c r="BN210" s="562" t="s">
        <v>2214</v>
      </c>
      <c r="BP210" s="562" t="s">
        <v>2216</v>
      </c>
      <c r="BR210" s="562" t="s">
        <v>1687</v>
      </c>
      <c r="BS210" s="562" t="s">
        <v>2217</v>
      </c>
      <c r="BT210" s="562" t="s">
        <v>2049</v>
      </c>
      <c r="BW210" s="562" t="s">
        <v>2220</v>
      </c>
      <c r="BY210" s="562" t="s">
        <v>2529</v>
      </c>
      <c r="BZ210" s="562" t="s">
        <v>2222</v>
      </c>
    </row>
    <row r="211" spans="1:99" s="557" customFormat="1" x14ac:dyDescent="0.3">
      <c r="A211" s="556">
        <v>953</v>
      </c>
      <c r="B211" s="557" t="s">
        <v>987</v>
      </c>
      <c r="D211" s="557">
        <v>2</v>
      </c>
      <c r="E211" s="557">
        <v>2</v>
      </c>
      <c r="G211" s="557">
        <v>2</v>
      </c>
      <c r="H211" s="557">
        <v>2</v>
      </c>
      <c r="I211" s="557">
        <v>2</v>
      </c>
      <c r="J211" s="557">
        <v>2</v>
      </c>
      <c r="K211" s="557">
        <v>2</v>
      </c>
      <c r="L211" s="557">
        <v>2</v>
      </c>
      <c r="N211" s="557">
        <v>2</v>
      </c>
      <c r="P211" s="557">
        <v>2</v>
      </c>
      <c r="Q211" s="557">
        <v>2</v>
      </c>
      <c r="R211" s="557">
        <v>2</v>
      </c>
      <c r="S211" s="557">
        <v>2</v>
      </c>
      <c r="T211" s="557">
        <v>2</v>
      </c>
      <c r="U211" s="557">
        <v>2</v>
      </c>
      <c r="V211" s="557">
        <v>2</v>
      </c>
      <c r="W211" s="557">
        <v>2</v>
      </c>
      <c r="X211" s="557">
        <v>2</v>
      </c>
      <c r="Y211" s="557">
        <v>2</v>
      </c>
      <c r="Z211" s="557">
        <v>2</v>
      </c>
      <c r="AA211" s="557">
        <v>2</v>
      </c>
      <c r="AB211" s="557">
        <v>2</v>
      </c>
      <c r="AC211" s="557">
        <v>2</v>
      </c>
      <c r="AD211" s="557">
        <v>2</v>
      </c>
      <c r="AE211" s="557">
        <v>2</v>
      </c>
      <c r="AF211" s="557">
        <v>2</v>
      </c>
      <c r="AG211" s="557">
        <v>2</v>
      </c>
      <c r="AH211" s="557">
        <v>2</v>
      </c>
      <c r="AI211" s="557">
        <v>2</v>
      </c>
      <c r="AJ211" s="557">
        <v>2</v>
      </c>
      <c r="AK211" s="557">
        <v>2</v>
      </c>
      <c r="AL211" s="557">
        <v>2</v>
      </c>
      <c r="AM211" s="557">
        <v>2</v>
      </c>
      <c r="AN211" s="557">
        <v>2</v>
      </c>
      <c r="AP211" s="557">
        <v>2</v>
      </c>
      <c r="AQ211" s="557">
        <v>2</v>
      </c>
      <c r="AU211" s="557">
        <v>2</v>
      </c>
      <c r="AV211" s="557">
        <v>2</v>
      </c>
      <c r="AX211" s="557">
        <v>2</v>
      </c>
      <c r="AY211" s="557">
        <v>2</v>
      </c>
      <c r="BA211" s="557">
        <v>2</v>
      </c>
      <c r="BB211" s="557">
        <v>2</v>
      </c>
      <c r="BD211" s="557">
        <v>2</v>
      </c>
      <c r="BE211" s="557">
        <v>2</v>
      </c>
      <c r="BH211" s="557">
        <v>2</v>
      </c>
      <c r="BI211" s="557">
        <v>2</v>
      </c>
      <c r="BJ211" s="557">
        <v>2</v>
      </c>
      <c r="BK211" s="557">
        <v>2</v>
      </c>
      <c r="BL211" s="557">
        <v>2</v>
      </c>
      <c r="BM211" s="557">
        <v>2</v>
      </c>
      <c r="BN211" s="557">
        <v>2</v>
      </c>
      <c r="BO211" s="557">
        <v>2</v>
      </c>
      <c r="BP211" s="557">
        <v>2</v>
      </c>
      <c r="BQ211" s="557">
        <v>2</v>
      </c>
      <c r="BR211" s="557">
        <v>2</v>
      </c>
      <c r="BS211" s="557">
        <v>2</v>
      </c>
      <c r="BT211" s="557">
        <v>2</v>
      </c>
      <c r="BU211" s="557">
        <v>2</v>
      </c>
      <c r="BV211" s="557">
        <v>2</v>
      </c>
      <c r="BW211" s="557">
        <v>2</v>
      </c>
      <c r="BY211" s="557">
        <v>2</v>
      </c>
      <c r="BZ211" s="557">
        <v>2</v>
      </c>
      <c r="CA211" s="557">
        <v>2</v>
      </c>
    </row>
    <row r="212" spans="1:99" s="562" customFormat="1" x14ac:dyDescent="0.3">
      <c r="A212" s="561">
        <v>954</v>
      </c>
      <c r="B212" s="562" t="s">
        <v>411</v>
      </c>
      <c r="D212" s="562" t="s">
        <v>50</v>
      </c>
      <c r="E212" s="562" t="s">
        <v>50</v>
      </c>
      <c r="G212" s="562" t="s">
        <v>50</v>
      </c>
      <c r="H212" s="562" t="s">
        <v>50</v>
      </c>
      <c r="I212" s="562" t="s">
        <v>50</v>
      </c>
      <c r="J212" s="562" t="s">
        <v>50</v>
      </c>
      <c r="K212" s="562" t="s">
        <v>50</v>
      </c>
      <c r="L212" s="562" t="s">
        <v>50</v>
      </c>
      <c r="N212" s="562" t="s">
        <v>50</v>
      </c>
      <c r="P212" s="562" t="s">
        <v>50</v>
      </c>
      <c r="Q212" s="562" t="s">
        <v>50</v>
      </c>
      <c r="R212" s="562" t="s">
        <v>50</v>
      </c>
      <c r="S212" s="562" t="s">
        <v>50</v>
      </c>
      <c r="T212" s="562" t="s">
        <v>50</v>
      </c>
      <c r="U212" s="562" t="s">
        <v>50</v>
      </c>
      <c r="V212" s="562" t="s">
        <v>50</v>
      </c>
      <c r="W212" s="562" t="s">
        <v>50</v>
      </c>
      <c r="X212" s="562" t="s">
        <v>50</v>
      </c>
      <c r="Y212" s="562" t="s">
        <v>50</v>
      </c>
      <c r="Z212" s="562" t="s">
        <v>50</v>
      </c>
      <c r="AA212" s="562" t="s">
        <v>50</v>
      </c>
      <c r="AB212" s="562" t="s">
        <v>50</v>
      </c>
      <c r="AC212" s="562" t="s">
        <v>50</v>
      </c>
      <c r="AD212" s="562" t="s">
        <v>50</v>
      </c>
      <c r="AE212" s="562" t="s">
        <v>50</v>
      </c>
      <c r="AF212" s="562" t="s">
        <v>50</v>
      </c>
      <c r="AG212" s="562" t="s">
        <v>50</v>
      </c>
      <c r="AH212" s="562" t="s">
        <v>50</v>
      </c>
      <c r="AI212" s="562" t="s">
        <v>50</v>
      </c>
      <c r="AJ212" s="562" t="s">
        <v>50</v>
      </c>
      <c r="AK212" s="562" t="s">
        <v>50</v>
      </c>
      <c r="AL212" s="562" t="s">
        <v>50</v>
      </c>
      <c r="AM212" s="562" t="s">
        <v>50</v>
      </c>
      <c r="AN212" s="562" t="s">
        <v>50</v>
      </c>
      <c r="AP212" s="562" t="s">
        <v>50</v>
      </c>
      <c r="AQ212" s="562" t="s">
        <v>50</v>
      </c>
      <c r="AU212" s="562" t="s">
        <v>50</v>
      </c>
      <c r="AV212" s="562" t="s">
        <v>50</v>
      </c>
      <c r="AX212" s="562" t="s">
        <v>50</v>
      </c>
      <c r="AY212" s="562" t="s">
        <v>50</v>
      </c>
      <c r="BA212" s="562" t="s">
        <v>50</v>
      </c>
      <c r="BB212" s="562" t="s">
        <v>50</v>
      </c>
      <c r="BD212" s="562" t="s">
        <v>50</v>
      </c>
      <c r="BE212" s="562" t="s">
        <v>50</v>
      </c>
      <c r="BH212" s="562" t="s">
        <v>50</v>
      </c>
      <c r="BI212" s="562" t="s">
        <v>50</v>
      </c>
      <c r="BJ212" s="562" t="s">
        <v>50</v>
      </c>
      <c r="BK212" s="562" t="s">
        <v>50</v>
      </c>
      <c r="BL212" s="562" t="s">
        <v>50</v>
      </c>
      <c r="BM212" s="562" t="s">
        <v>50</v>
      </c>
      <c r="BN212" s="562" t="s">
        <v>50</v>
      </c>
      <c r="BO212" s="562" t="s">
        <v>50</v>
      </c>
      <c r="BP212" s="562" t="s">
        <v>50</v>
      </c>
      <c r="BQ212" s="562" t="s">
        <v>50</v>
      </c>
      <c r="BR212" s="562" t="s">
        <v>50</v>
      </c>
      <c r="BS212" s="562" t="s">
        <v>50</v>
      </c>
      <c r="BT212" s="562" t="s">
        <v>50</v>
      </c>
      <c r="BU212" s="562" t="s">
        <v>50</v>
      </c>
      <c r="BV212" s="562" t="s">
        <v>50</v>
      </c>
      <c r="BW212" s="562" t="s">
        <v>50</v>
      </c>
      <c r="BY212" s="562" t="s">
        <v>50</v>
      </c>
      <c r="BZ212" s="562" t="s">
        <v>50</v>
      </c>
      <c r="CA212" s="562" t="s">
        <v>50</v>
      </c>
    </row>
    <row r="213" spans="1:99" s="557" customFormat="1" x14ac:dyDescent="0.3">
      <c r="A213" s="556">
        <v>955</v>
      </c>
      <c r="B213" s="557" t="s">
        <v>988</v>
      </c>
      <c r="D213" s="557">
        <v>0</v>
      </c>
      <c r="E213" s="557">
        <v>0</v>
      </c>
      <c r="G213" s="557">
        <v>0</v>
      </c>
      <c r="H213" s="557">
        <v>0</v>
      </c>
      <c r="I213" s="557">
        <v>0</v>
      </c>
      <c r="J213" s="557">
        <v>1</v>
      </c>
      <c r="K213" s="557">
        <v>0</v>
      </c>
      <c r="L213" s="557">
        <v>0</v>
      </c>
      <c r="N213" s="557">
        <v>0</v>
      </c>
      <c r="P213" s="557">
        <v>0</v>
      </c>
      <c r="Q213" s="557">
        <v>0</v>
      </c>
      <c r="R213" s="557">
        <v>0</v>
      </c>
      <c r="S213" s="557">
        <v>0</v>
      </c>
      <c r="T213" s="557">
        <v>1</v>
      </c>
      <c r="U213" s="557">
        <v>0</v>
      </c>
      <c r="V213" s="557">
        <v>0</v>
      </c>
      <c r="W213" s="557">
        <v>0</v>
      </c>
      <c r="X213" s="557">
        <v>0</v>
      </c>
      <c r="Y213" s="557">
        <v>0</v>
      </c>
      <c r="Z213" s="557">
        <v>0</v>
      </c>
      <c r="AA213" s="557">
        <v>0</v>
      </c>
      <c r="AB213" s="557">
        <v>0</v>
      </c>
      <c r="AC213" s="557">
        <v>0</v>
      </c>
      <c r="AD213" s="557">
        <v>2</v>
      </c>
      <c r="AE213" s="557">
        <v>0</v>
      </c>
      <c r="AF213" s="557">
        <v>0</v>
      </c>
      <c r="AG213" s="557">
        <v>0</v>
      </c>
      <c r="AH213" s="557">
        <v>2</v>
      </c>
      <c r="AI213" s="557">
        <v>0</v>
      </c>
      <c r="AJ213" s="557">
        <v>1</v>
      </c>
      <c r="AK213" s="557">
        <v>0</v>
      </c>
      <c r="AL213" s="557">
        <v>0</v>
      </c>
      <c r="AM213" s="557">
        <v>1</v>
      </c>
      <c r="AN213" s="557">
        <v>0</v>
      </c>
      <c r="AP213" s="557">
        <v>0</v>
      </c>
      <c r="AQ213" s="557">
        <v>0</v>
      </c>
      <c r="AU213" s="557">
        <v>0</v>
      </c>
      <c r="AV213" s="557">
        <v>0</v>
      </c>
      <c r="AX213" s="557">
        <v>0</v>
      </c>
      <c r="AY213" s="557">
        <v>0</v>
      </c>
      <c r="BA213" s="557">
        <v>1</v>
      </c>
      <c r="BB213" s="557">
        <v>0</v>
      </c>
      <c r="BD213" s="557">
        <v>0</v>
      </c>
      <c r="BE213" s="557">
        <v>0</v>
      </c>
      <c r="BH213" s="557">
        <v>1</v>
      </c>
      <c r="BI213" s="557">
        <v>0</v>
      </c>
      <c r="BJ213" s="557">
        <v>0</v>
      </c>
      <c r="BK213" s="557">
        <v>0</v>
      </c>
      <c r="BL213" s="557">
        <v>0</v>
      </c>
      <c r="BM213" s="557">
        <v>0</v>
      </c>
      <c r="BN213" s="557">
        <v>0</v>
      </c>
      <c r="BO213" s="557">
        <v>0</v>
      </c>
      <c r="BP213" s="557">
        <v>0</v>
      </c>
      <c r="BQ213" s="557">
        <v>0</v>
      </c>
      <c r="BR213" s="557">
        <v>0</v>
      </c>
      <c r="BS213" s="557">
        <v>1</v>
      </c>
      <c r="BT213" s="557">
        <v>0</v>
      </c>
      <c r="BU213" s="557">
        <v>2</v>
      </c>
      <c r="BV213" s="557">
        <v>0</v>
      </c>
      <c r="BW213" s="557">
        <v>0</v>
      </c>
      <c r="BY213" s="557">
        <v>0</v>
      </c>
      <c r="BZ213" s="557">
        <v>0</v>
      </c>
      <c r="CA213" s="557">
        <v>0</v>
      </c>
    </row>
    <row r="214" spans="1:99" s="562" customFormat="1" x14ac:dyDescent="0.3">
      <c r="A214" s="561">
        <v>956</v>
      </c>
      <c r="B214" s="562" t="s">
        <v>412</v>
      </c>
      <c r="D214" s="562" t="s">
        <v>50</v>
      </c>
      <c r="E214" s="562" t="s">
        <v>50</v>
      </c>
      <c r="G214" s="562" t="s">
        <v>50</v>
      </c>
      <c r="H214" s="562" t="s">
        <v>50</v>
      </c>
      <c r="I214" s="562" t="s">
        <v>50</v>
      </c>
      <c r="J214" s="562" t="s">
        <v>50</v>
      </c>
      <c r="K214" s="562" t="s">
        <v>50</v>
      </c>
      <c r="L214" s="562" t="s">
        <v>50</v>
      </c>
      <c r="N214" s="562" t="s">
        <v>50</v>
      </c>
      <c r="P214" s="562" t="s">
        <v>50</v>
      </c>
      <c r="Q214" s="562" t="s">
        <v>50</v>
      </c>
      <c r="R214" s="562" t="s">
        <v>50</v>
      </c>
      <c r="S214" s="562" t="s">
        <v>50</v>
      </c>
      <c r="T214" s="562" t="s">
        <v>50</v>
      </c>
      <c r="U214" s="562" t="s">
        <v>50</v>
      </c>
      <c r="V214" s="562" t="s">
        <v>50</v>
      </c>
      <c r="W214" s="562" t="s">
        <v>50</v>
      </c>
      <c r="X214" s="562" t="s">
        <v>50</v>
      </c>
      <c r="Y214" s="562" t="s">
        <v>50</v>
      </c>
      <c r="Z214" s="562" t="s">
        <v>50</v>
      </c>
      <c r="AA214" s="562" t="s">
        <v>50</v>
      </c>
      <c r="AB214" s="562" t="s">
        <v>50</v>
      </c>
      <c r="AC214" s="562" t="s">
        <v>50</v>
      </c>
      <c r="AD214" s="562" t="s">
        <v>50</v>
      </c>
      <c r="AE214" s="562" t="s">
        <v>50</v>
      </c>
      <c r="AF214" s="562" t="s">
        <v>50</v>
      </c>
      <c r="AG214" s="562" t="s">
        <v>50</v>
      </c>
      <c r="AH214" s="562" t="s">
        <v>50</v>
      </c>
      <c r="AI214" s="562" t="s">
        <v>50</v>
      </c>
      <c r="AJ214" s="562" t="s">
        <v>50</v>
      </c>
      <c r="AK214" s="562" t="s">
        <v>50</v>
      </c>
      <c r="AL214" s="562" t="s">
        <v>50</v>
      </c>
      <c r="AM214" s="562" t="s">
        <v>50</v>
      </c>
      <c r="AN214" s="562" t="s">
        <v>50</v>
      </c>
      <c r="AP214" s="562" t="s">
        <v>50</v>
      </c>
      <c r="AQ214" s="562" t="s">
        <v>50</v>
      </c>
      <c r="AU214" s="562" t="s">
        <v>50</v>
      </c>
      <c r="AV214" s="562" t="s">
        <v>50</v>
      </c>
      <c r="AX214" s="562" t="s">
        <v>50</v>
      </c>
      <c r="AY214" s="562" t="s">
        <v>50</v>
      </c>
      <c r="BA214" s="562" t="s">
        <v>50</v>
      </c>
      <c r="BB214" s="562" t="s">
        <v>50</v>
      </c>
      <c r="BD214" s="562" t="s">
        <v>50</v>
      </c>
      <c r="BE214" s="562" t="s">
        <v>50</v>
      </c>
      <c r="BH214" s="562" t="s">
        <v>50</v>
      </c>
      <c r="BI214" s="562" t="s">
        <v>50</v>
      </c>
      <c r="BJ214" s="562" t="s">
        <v>50</v>
      </c>
      <c r="BK214" s="562" t="s">
        <v>50</v>
      </c>
      <c r="BL214" s="562" t="s">
        <v>50</v>
      </c>
      <c r="BM214" s="562" t="s">
        <v>50</v>
      </c>
      <c r="BN214" s="562" t="s">
        <v>50</v>
      </c>
      <c r="BO214" s="562" t="s">
        <v>50</v>
      </c>
      <c r="BP214" s="562" t="s">
        <v>50</v>
      </c>
      <c r="BQ214" s="562" t="s">
        <v>50</v>
      </c>
      <c r="BR214" s="562" t="s">
        <v>50</v>
      </c>
      <c r="BS214" s="562" t="s">
        <v>50</v>
      </c>
      <c r="BT214" s="562" t="s">
        <v>50</v>
      </c>
      <c r="BU214" s="562" t="s">
        <v>50</v>
      </c>
      <c r="BV214" s="562" t="s">
        <v>50</v>
      </c>
      <c r="BW214" s="562" t="s">
        <v>50</v>
      </c>
      <c r="BY214" s="562" t="s">
        <v>50</v>
      </c>
      <c r="BZ214" s="562" t="s">
        <v>50</v>
      </c>
      <c r="CA214" s="562" t="s">
        <v>50</v>
      </c>
    </row>
    <row r="215" spans="1:99" s="557" customFormat="1" x14ac:dyDescent="0.3">
      <c r="A215" s="556">
        <v>957</v>
      </c>
      <c r="B215" s="557" t="s">
        <v>989</v>
      </c>
      <c r="D215" s="557">
        <v>0</v>
      </c>
      <c r="E215" s="557">
        <v>0</v>
      </c>
      <c r="G215" s="557">
        <v>0</v>
      </c>
      <c r="H215" s="557">
        <v>0</v>
      </c>
      <c r="I215" s="557">
        <v>0</v>
      </c>
      <c r="J215" s="557">
        <v>0</v>
      </c>
      <c r="K215" s="557">
        <v>0</v>
      </c>
      <c r="L215" s="557">
        <v>2</v>
      </c>
      <c r="N215" s="557">
        <v>0</v>
      </c>
      <c r="P215" s="557">
        <v>0</v>
      </c>
      <c r="Q215" s="557">
        <v>0</v>
      </c>
      <c r="R215" s="557">
        <v>0</v>
      </c>
      <c r="S215" s="557">
        <v>0</v>
      </c>
      <c r="T215" s="557">
        <v>0</v>
      </c>
      <c r="U215" s="557">
        <v>0</v>
      </c>
      <c r="V215" s="557">
        <v>0</v>
      </c>
      <c r="W215" s="557">
        <v>0</v>
      </c>
      <c r="X215" s="557">
        <v>0</v>
      </c>
      <c r="Y215" s="557">
        <v>0</v>
      </c>
      <c r="Z215" s="557">
        <v>0</v>
      </c>
      <c r="AA215" s="557">
        <v>3</v>
      </c>
      <c r="AB215" s="557">
        <v>0</v>
      </c>
      <c r="AC215" s="557">
        <v>0</v>
      </c>
      <c r="AD215" s="557">
        <v>2</v>
      </c>
      <c r="AE215" s="557">
        <v>2</v>
      </c>
      <c r="AF215" s="557">
        <v>0</v>
      </c>
      <c r="AG215" s="557">
        <v>0</v>
      </c>
      <c r="AH215" s="557">
        <v>0</v>
      </c>
      <c r="AI215" s="557">
        <v>0</v>
      </c>
      <c r="AJ215" s="557">
        <v>1</v>
      </c>
      <c r="AK215" s="557">
        <v>0</v>
      </c>
      <c r="AL215" s="557">
        <v>0</v>
      </c>
      <c r="AM215" s="557">
        <v>0</v>
      </c>
      <c r="AN215" s="557">
        <v>0</v>
      </c>
      <c r="AP215" s="557">
        <v>0</v>
      </c>
      <c r="AQ215" s="557">
        <v>0</v>
      </c>
      <c r="AU215" s="557">
        <v>0</v>
      </c>
      <c r="AV215" s="557">
        <v>4</v>
      </c>
      <c r="AX215" s="557">
        <v>0</v>
      </c>
      <c r="AY215" s="557">
        <v>0</v>
      </c>
      <c r="BA215" s="557">
        <v>0</v>
      </c>
      <c r="BB215" s="557">
        <v>0</v>
      </c>
      <c r="BD215" s="557">
        <v>0</v>
      </c>
      <c r="BE215" s="557">
        <v>0</v>
      </c>
      <c r="BH215" s="557">
        <v>0</v>
      </c>
      <c r="BI215" s="557">
        <v>0</v>
      </c>
      <c r="BJ215" s="557">
        <v>0</v>
      </c>
      <c r="BK215" s="557">
        <v>0</v>
      </c>
      <c r="BL215" s="557">
        <v>0</v>
      </c>
      <c r="BM215" s="557">
        <v>0</v>
      </c>
      <c r="BN215" s="557">
        <v>0</v>
      </c>
      <c r="BO215" s="557">
        <v>0</v>
      </c>
      <c r="BP215" s="557">
        <v>0</v>
      </c>
      <c r="BQ215" s="557">
        <v>0</v>
      </c>
      <c r="BR215" s="557">
        <v>0</v>
      </c>
      <c r="BS215" s="557">
        <v>1</v>
      </c>
      <c r="BT215" s="557">
        <v>0</v>
      </c>
      <c r="BU215" s="557">
        <v>0</v>
      </c>
      <c r="BV215" s="557">
        <v>0</v>
      </c>
      <c r="BW215" s="557">
        <v>0</v>
      </c>
      <c r="BY215" s="557">
        <v>0</v>
      </c>
      <c r="BZ215" s="557">
        <v>0</v>
      </c>
      <c r="CA215" s="557">
        <v>0</v>
      </c>
    </row>
    <row r="216" spans="1:99" s="562" customFormat="1" x14ac:dyDescent="0.3">
      <c r="A216" s="561">
        <v>958</v>
      </c>
      <c r="B216" s="562" t="s">
        <v>990</v>
      </c>
      <c r="D216" s="562" t="s">
        <v>50</v>
      </c>
      <c r="E216" s="562" t="s">
        <v>50</v>
      </c>
      <c r="G216" s="562" t="s">
        <v>50</v>
      </c>
      <c r="H216" s="562" t="s">
        <v>50</v>
      </c>
      <c r="I216" s="562" t="s">
        <v>50</v>
      </c>
      <c r="J216" s="562" t="s">
        <v>50</v>
      </c>
      <c r="K216" s="562" t="s">
        <v>50</v>
      </c>
      <c r="L216" s="562" t="s">
        <v>50</v>
      </c>
      <c r="N216" s="562" t="s">
        <v>50</v>
      </c>
      <c r="P216" s="562" t="s">
        <v>50</v>
      </c>
      <c r="Q216" s="562" t="s">
        <v>50</v>
      </c>
      <c r="R216" s="562" t="s">
        <v>50</v>
      </c>
      <c r="S216" s="562" t="s">
        <v>50</v>
      </c>
      <c r="T216" s="562" t="s">
        <v>50</v>
      </c>
      <c r="U216" s="562" t="s">
        <v>50</v>
      </c>
      <c r="V216" s="562" t="s">
        <v>50</v>
      </c>
      <c r="W216" s="562" t="s">
        <v>50</v>
      </c>
      <c r="X216" s="562" t="s">
        <v>50</v>
      </c>
      <c r="Y216" s="562" t="s">
        <v>50</v>
      </c>
      <c r="Z216" s="562" t="s">
        <v>50</v>
      </c>
      <c r="AA216" s="562" t="s">
        <v>50</v>
      </c>
      <c r="AB216" s="562" t="s">
        <v>50</v>
      </c>
      <c r="AC216" s="562" t="s">
        <v>50</v>
      </c>
      <c r="AD216" s="562" t="s">
        <v>50</v>
      </c>
      <c r="AE216" s="562" t="s">
        <v>50</v>
      </c>
      <c r="AF216" s="562" t="s">
        <v>50</v>
      </c>
      <c r="AG216" s="562" t="s">
        <v>50</v>
      </c>
      <c r="AH216" s="562" t="s">
        <v>50</v>
      </c>
      <c r="AI216" s="562" t="s">
        <v>50</v>
      </c>
      <c r="AJ216" s="562" t="s">
        <v>50</v>
      </c>
      <c r="AK216" s="562" t="s">
        <v>50</v>
      </c>
      <c r="AL216" s="562" t="s">
        <v>50</v>
      </c>
      <c r="AM216" s="562" t="s">
        <v>50</v>
      </c>
      <c r="AN216" s="562" t="s">
        <v>50</v>
      </c>
      <c r="AP216" s="562" t="s">
        <v>50</v>
      </c>
      <c r="AQ216" s="562" t="s">
        <v>50</v>
      </c>
      <c r="AU216" s="562" t="s">
        <v>50</v>
      </c>
      <c r="AV216" s="562" t="s">
        <v>1682</v>
      </c>
      <c r="AX216" s="562" t="s">
        <v>50</v>
      </c>
      <c r="AY216" s="562" t="s">
        <v>50</v>
      </c>
      <c r="BA216" s="562" t="s">
        <v>50</v>
      </c>
      <c r="BB216" s="562" t="s">
        <v>50</v>
      </c>
      <c r="BD216" s="562" t="s">
        <v>50</v>
      </c>
      <c r="BE216" s="562" t="s">
        <v>50</v>
      </c>
      <c r="BH216" s="562" t="s">
        <v>50</v>
      </c>
      <c r="BI216" s="562" t="s">
        <v>50</v>
      </c>
      <c r="BJ216" s="562" t="s">
        <v>50</v>
      </c>
      <c r="BK216" s="562" t="s">
        <v>50</v>
      </c>
      <c r="BL216" s="562" t="s">
        <v>50</v>
      </c>
      <c r="BM216" s="562" t="s">
        <v>50</v>
      </c>
      <c r="BN216" s="562" t="s">
        <v>50</v>
      </c>
      <c r="BO216" s="562" t="s">
        <v>50</v>
      </c>
      <c r="BP216" s="562" t="s">
        <v>50</v>
      </c>
      <c r="BQ216" s="562" t="s">
        <v>50</v>
      </c>
      <c r="BR216" s="562" t="s">
        <v>50</v>
      </c>
      <c r="BS216" s="562" t="s">
        <v>50</v>
      </c>
      <c r="BT216" s="562" t="s">
        <v>50</v>
      </c>
      <c r="BU216" s="562" t="s">
        <v>50</v>
      </c>
      <c r="BV216" s="562" t="s">
        <v>50</v>
      </c>
      <c r="BW216" s="562" t="s">
        <v>50</v>
      </c>
      <c r="BY216" s="562" t="s">
        <v>50</v>
      </c>
      <c r="BZ216" s="562" t="s">
        <v>50</v>
      </c>
      <c r="CA216" s="562" t="s">
        <v>50</v>
      </c>
    </row>
    <row r="217" spans="1:99" s="557" customFormat="1" x14ac:dyDescent="0.3">
      <c r="A217" s="556">
        <v>959</v>
      </c>
      <c r="B217" s="557" t="s">
        <v>991</v>
      </c>
      <c r="D217" s="557">
        <v>2</v>
      </c>
      <c r="E217" s="557">
        <v>2</v>
      </c>
      <c r="G217" s="557">
        <v>2</v>
      </c>
      <c r="H217" s="557">
        <v>2</v>
      </c>
      <c r="I217" s="557">
        <v>3</v>
      </c>
      <c r="J217" s="557">
        <v>2</v>
      </c>
      <c r="K217" s="557">
        <v>2</v>
      </c>
      <c r="L217" s="557">
        <v>2</v>
      </c>
      <c r="N217" s="557">
        <v>2</v>
      </c>
      <c r="P217" s="557">
        <v>2</v>
      </c>
      <c r="Q217" s="557">
        <v>2</v>
      </c>
      <c r="R217" s="557">
        <v>2</v>
      </c>
      <c r="S217" s="557">
        <v>2</v>
      </c>
      <c r="T217" s="557">
        <v>3</v>
      </c>
      <c r="U217" s="557">
        <v>2</v>
      </c>
      <c r="V217" s="557">
        <v>2</v>
      </c>
      <c r="W217" s="557">
        <v>2</v>
      </c>
      <c r="X217" s="557">
        <v>2</v>
      </c>
      <c r="Y217" s="557">
        <v>2</v>
      </c>
      <c r="Z217" s="557">
        <v>2</v>
      </c>
      <c r="AA217" s="557">
        <v>2</v>
      </c>
      <c r="AB217" s="557">
        <v>3</v>
      </c>
      <c r="AC217" s="557">
        <v>3</v>
      </c>
      <c r="AD217" s="557">
        <v>2</v>
      </c>
      <c r="AE217" s="557">
        <v>2</v>
      </c>
      <c r="AF217" s="557">
        <v>3</v>
      </c>
      <c r="AG217" s="557">
        <v>2</v>
      </c>
      <c r="AH217" s="557">
        <v>3</v>
      </c>
      <c r="AI217" s="557">
        <v>3</v>
      </c>
      <c r="AJ217" s="557">
        <v>2</v>
      </c>
      <c r="AK217" s="557">
        <v>3</v>
      </c>
      <c r="AL217" s="557">
        <v>3</v>
      </c>
      <c r="AM217" s="557">
        <v>3</v>
      </c>
      <c r="AN217" s="557">
        <v>2</v>
      </c>
      <c r="AP217" s="557">
        <v>2</v>
      </c>
      <c r="AQ217" s="557">
        <v>2</v>
      </c>
      <c r="AU217" s="557">
        <v>2</v>
      </c>
      <c r="AV217" s="557">
        <v>3</v>
      </c>
      <c r="AX217" s="557">
        <v>2</v>
      </c>
      <c r="AY217" s="557">
        <v>2</v>
      </c>
      <c r="BA217" s="557">
        <v>3</v>
      </c>
      <c r="BB217" s="557">
        <v>2</v>
      </c>
      <c r="BD217" s="557">
        <v>3</v>
      </c>
      <c r="BE217" s="557">
        <v>2</v>
      </c>
      <c r="BH217" s="557">
        <v>2</v>
      </c>
      <c r="BI217" s="557">
        <v>2</v>
      </c>
      <c r="BJ217" s="557">
        <v>2</v>
      </c>
      <c r="BK217" s="557">
        <v>2</v>
      </c>
      <c r="BL217" s="557">
        <v>2</v>
      </c>
      <c r="BM217" s="557">
        <v>3</v>
      </c>
      <c r="BN217" s="557">
        <v>2</v>
      </c>
      <c r="BO217" s="557">
        <v>2</v>
      </c>
      <c r="BP217" s="557">
        <v>2</v>
      </c>
      <c r="BQ217" s="557">
        <v>2</v>
      </c>
      <c r="BR217" s="557">
        <v>2</v>
      </c>
      <c r="BS217" s="557">
        <v>2</v>
      </c>
      <c r="BT217" s="557">
        <v>2</v>
      </c>
      <c r="BU217" s="557">
        <v>2</v>
      </c>
      <c r="BV217" s="557">
        <v>2</v>
      </c>
      <c r="BW217" s="557">
        <v>3</v>
      </c>
      <c r="BY217" s="557">
        <v>3</v>
      </c>
      <c r="BZ217" s="557">
        <v>2</v>
      </c>
      <c r="CA217" s="557">
        <v>2</v>
      </c>
    </row>
    <row r="218" spans="1:99" x14ac:dyDescent="0.3">
      <c r="A218" s="155">
        <v>960</v>
      </c>
      <c r="B218" s="180" t="s">
        <v>992</v>
      </c>
      <c r="C218" s="180"/>
      <c r="D218" s="180" t="s">
        <v>2530</v>
      </c>
      <c r="E218" s="180" t="s">
        <v>2224</v>
      </c>
      <c r="F218" s="180"/>
      <c r="G218" s="180" t="s">
        <v>2531</v>
      </c>
      <c r="H218" s="180" t="s">
        <v>2226</v>
      </c>
      <c r="I218" s="180" t="s">
        <v>2227</v>
      </c>
      <c r="J218" s="180" t="s">
        <v>2228</v>
      </c>
      <c r="K218" s="180" t="s">
        <v>2229</v>
      </c>
      <c r="L218" s="180" t="s">
        <v>2532</v>
      </c>
      <c r="M218" s="180"/>
      <c r="N218" s="180" t="s">
        <v>2232</v>
      </c>
      <c r="O218" s="180"/>
      <c r="P218" s="180" t="s">
        <v>2234</v>
      </c>
      <c r="Q218" s="180" t="s">
        <v>2235</v>
      </c>
      <c r="R218" s="180" t="s">
        <v>2236</v>
      </c>
      <c r="S218" s="180" t="s">
        <v>2237</v>
      </c>
      <c r="T218" s="180" t="s">
        <v>2533</v>
      </c>
      <c r="U218" s="180" t="s">
        <v>2238</v>
      </c>
      <c r="V218" s="180" t="s">
        <v>2239</v>
      </c>
      <c r="W218" s="180" t="s">
        <v>2534</v>
      </c>
      <c r="X218" s="180" t="s">
        <v>2535</v>
      </c>
      <c r="Y218" s="180" t="s">
        <v>2241</v>
      </c>
      <c r="Z218" s="180" t="s">
        <v>2536</v>
      </c>
      <c r="AA218" s="180" t="s">
        <v>2537</v>
      </c>
      <c r="AB218" s="180" t="s">
        <v>2244</v>
      </c>
      <c r="AC218" s="180" t="s">
        <v>2538</v>
      </c>
      <c r="AD218" s="180" t="s">
        <v>2246</v>
      </c>
      <c r="AE218" s="180" t="s">
        <v>2247</v>
      </c>
      <c r="AF218" s="180" t="s">
        <v>2248</v>
      </c>
      <c r="AG218" s="180" t="s">
        <v>2539</v>
      </c>
      <c r="AH218" s="180" t="s">
        <v>2250</v>
      </c>
      <c r="AI218" s="180" t="s">
        <v>2251</v>
      </c>
      <c r="AJ218" s="180" t="s">
        <v>2540</v>
      </c>
      <c r="AK218" s="180" t="s">
        <v>2253</v>
      </c>
      <c r="AL218" s="180" t="s">
        <v>2254</v>
      </c>
      <c r="AM218" s="180" t="s">
        <v>2255</v>
      </c>
      <c r="AN218" s="180" t="s">
        <v>2256</v>
      </c>
      <c r="AO218" s="180"/>
      <c r="AP218" s="180" t="s">
        <v>2257</v>
      </c>
      <c r="AQ218" s="180" t="s">
        <v>2258</v>
      </c>
      <c r="AR218" s="180"/>
      <c r="AS218" s="180"/>
      <c r="AT218" s="180"/>
      <c r="AU218" s="180" t="s">
        <v>2262</v>
      </c>
      <c r="AV218" s="180" t="s">
        <v>2541</v>
      </c>
      <c r="AW218" s="180"/>
      <c r="AX218" s="180" t="s">
        <v>2542</v>
      </c>
      <c r="AY218" s="180" t="s">
        <v>2543</v>
      </c>
      <c r="AZ218" s="180"/>
      <c r="BA218" s="180" t="s">
        <v>2267</v>
      </c>
      <c r="BB218" s="180" t="s">
        <v>2268</v>
      </c>
      <c r="BC218" s="180"/>
      <c r="BD218" s="180" t="s">
        <v>2544</v>
      </c>
      <c r="BE218" s="180" t="s">
        <v>2270</v>
      </c>
      <c r="BF218" s="180"/>
      <c r="BG218" s="180"/>
      <c r="BH218" s="180" t="s">
        <v>2545</v>
      </c>
      <c r="BI218" s="180" t="s">
        <v>2546</v>
      </c>
      <c r="BJ218" s="180" t="s">
        <v>2547</v>
      </c>
      <c r="BK218" s="180" t="s">
        <v>2276</v>
      </c>
      <c r="BL218" s="180" t="s">
        <v>2548</v>
      </c>
      <c r="BM218" s="180" t="s">
        <v>2278</v>
      </c>
      <c r="BN218" s="180" t="s">
        <v>2279</v>
      </c>
      <c r="BO218" s="180" t="s">
        <v>2280</v>
      </c>
      <c r="BP218" s="180" t="s">
        <v>2281</v>
      </c>
      <c r="BQ218" s="180" t="s">
        <v>2282</v>
      </c>
      <c r="BR218" s="180" t="s">
        <v>2549</v>
      </c>
      <c r="BS218" s="180" t="s">
        <v>2284</v>
      </c>
      <c r="BT218" s="180" t="s">
        <v>2285</v>
      </c>
      <c r="BU218" s="180" t="s">
        <v>2286</v>
      </c>
      <c r="BV218" s="180" t="s">
        <v>432</v>
      </c>
      <c r="BW218" s="180" t="s">
        <v>2288</v>
      </c>
      <c r="BX218" s="180"/>
      <c r="BY218" s="180" t="s">
        <v>2550</v>
      </c>
      <c r="BZ218" s="180" t="s">
        <v>2291</v>
      </c>
      <c r="CA218" s="180" t="s">
        <v>2292</v>
      </c>
      <c r="CB218" s="180"/>
      <c r="CC218" s="180"/>
      <c r="CD218" s="180"/>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962</v>
      </c>
      <c r="B219" s="180" t="s">
        <v>993</v>
      </c>
      <c r="C219" s="180"/>
      <c r="D219" s="180" t="s">
        <v>2293</v>
      </c>
      <c r="E219" s="180" t="s">
        <v>994</v>
      </c>
      <c r="F219" s="180"/>
      <c r="G219" s="180" t="s">
        <v>994</v>
      </c>
      <c r="H219" s="180" t="s">
        <v>994</v>
      </c>
      <c r="I219" s="180" t="s">
        <v>995</v>
      </c>
      <c r="J219" s="180" t="s">
        <v>996</v>
      </c>
      <c r="K219" s="180" t="s">
        <v>2293</v>
      </c>
      <c r="L219" s="180" t="s">
        <v>994</v>
      </c>
      <c r="M219" s="180"/>
      <c r="N219" s="180" t="s">
        <v>995</v>
      </c>
      <c r="O219" s="180"/>
      <c r="P219" s="180" t="s">
        <v>994</v>
      </c>
      <c r="Q219" s="180" t="s">
        <v>994</v>
      </c>
      <c r="R219" s="180" t="s">
        <v>2294</v>
      </c>
      <c r="S219" s="180" t="s">
        <v>994</v>
      </c>
      <c r="T219" s="180" t="s">
        <v>995</v>
      </c>
      <c r="U219" s="180" t="s">
        <v>2551</v>
      </c>
      <c r="V219" s="180" t="s">
        <v>998</v>
      </c>
      <c r="W219" s="180" t="s">
        <v>995</v>
      </c>
      <c r="X219" s="180" t="s">
        <v>994</v>
      </c>
      <c r="Y219" s="180" t="s">
        <v>2295</v>
      </c>
      <c r="Z219" s="180" t="s">
        <v>995</v>
      </c>
      <c r="AA219" s="180" t="s">
        <v>994</v>
      </c>
      <c r="AB219" s="180" t="s">
        <v>995</v>
      </c>
      <c r="AC219" s="180" t="s">
        <v>995</v>
      </c>
      <c r="AD219" s="180" t="s">
        <v>2297</v>
      </c>
      <c r="AE219" s="180" t="s">
        <v>995</v>
      </c>
      <c r="AF219" s="180" t="s">
        <v>995</v>
      </c>
      <c r="AG219" s="180" t="s">
        <v>996</v>
      </c>
      <c r="AH219" s="180" t="s">
        <v>997</v>
      </c>
      <c r="AI219" s="180" t="s">
        <v>995</v>
      </c>
      <c r="AJ219" s="180" t="s">
        <v>2551</v>
      </c>
      <c r="AK219" s="180" t="s">
        <v>997</v>
      </c>
      <c r="AL219" s="180" t="s">
        <v>995</v>
      </c>
      <c r="AM219" s="180" t="s">
        <v>994</v>
      </c>
      <c r="AN219" s="180" t="s">
        <v>995</v>
      </c>
      <c r="AO219" s="180"/>
      <c r="AP219" s="180" t="s">
        <v>995</v>
      </c>
      <c r="AQ219" s="180" t="s">
        <v>994</v>
      </c>
      <c r="AR219" s="180"/>
      <c r="AS219" s="180"/>
      <c r="AT219" s="180"/>
      <c r="AU219" s="180" t="s">
        <v>994</v>
      </c>
      <c r="AV219" s="180" t="s">
        <v>997</v>
      </c>
      <c r="AW219" s="180"/>
      <c r="AX219" s="180" t="s">
        <v>995</v>
      </c>
      <c r="AY219" s="180" t="s">
        <v>995</v>
      </c>
      <c r="AZ219" s="180"/>
      <c r="BA219" s="180" t="s">
        <v>2034</v>
      </c>
      <c r="BB219" s="180" t="s">
        <v>994</v>
      </c>
      <c r="BC219" s="180"/>
      <c r="BD219" s="180" t="s">
        <v>995</v>
      </c>
      <c r="BE219" s="180" t="s">
        <v>994</v>
      </c>
      <c r="BF219" s="180"/>
      <c r="BG219" s="180"/>
      <c r="BH219" s="180" t="s">
        <v>994</v>
      </c>
      <c r="BI219" s="180" t="s">
        <v>994</v>
      </c>
      <c r="BJ219" s="180" t="s">
        <v>2552</v>
      </c>
      <c r="BK219" s="180" t="s">
        <v>995</v>
      </c>
      <c r="BL219" s="180" t="s">
        <v>995</v>
      </c>
      <c r="BM219" s="180" t="s">
        <v>995</v>
      </c>
      <c r="BN219" s="180" t="s">
        <v>994</v>
      </c>
      <c r="BO219" s="180" t="s">
        <v>2305</v>
      </c>
      <c r="BP219" s="180" t="s">
        <v>995</v>
      </c>
      <c r="BQ219" s="180" t="s">
        <v>995</v>
      </c>
      <c r="BR219" s="180" t="s">
        <v>2035</v>
      </c>
      <c r="BS219" s="180" t="s">
        <v>994</v>
      </c>
      <c r="BT219" s="180" t="s">
        <v>995</v>
      </c>
      <c r="BU219" s="180" t="s">
        <v>995</v>
      </c>
      <c r="BV219" s="180" t="s">
        <v>994</v>
      </c>
      <c r="BW219" s="180" t="s">
        <v>998</v>
      </c>
      <c r="BX219" s="180"/>
      <c r="BY219" s="180" t="s">
        <v>2306</v>
      </c>
      <c r="BZ219" s="180" t="s">
        <v>994</v>
      </c>
      <c r="CA219" s="180" t="s">
        <v>995</v>
      </c>
      <c r="CB219" s="180"/>
      <c r="CC219" s="180"/>
      <c r="CD219" s="180"/>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964</v>
      </c>
      <c r="B220" s="180" t="s">
        <v>999</v>
      </c>
      <c r="C220" s="180"/>
      <c r="D220" s="180" t="s">
        <v>2553</v>
      </c>
      <c r="E220" s="180" t="s">
        <v>2056</v>
      </c>
      <c r="F220" s="180"/>
      <c r="G220" s="180" t="s">
        <v>1691</v>
      </c>
      <c r="H220" s="180" t="s">
        <v>2554</v>
      </c>
      <c r="I220" s="180" t="s">
        <v>1702</v>
      </c>
      <c r="J220" s="180" t="s">
        <v>2555</v>
      </c>
      <c r="K220" s="180" t="s">
        <v>1701</v>
      </c>
      <c r="L220" s="180" t="s">
        <v>2554</v>
      </c>
      <c r="M220" s="180"/>
      <c r="N220" s="180" t="s">
        <v>2556</v>
      </c>
      <c r="O220" s="180"/>
      <c r="P220" s="180" t="s">
        <v>1698</v>
      </c>
      <c r="Q220" s="180" t="s">
        <v>1704</v>
      </c>
      <c r="R220" s="180" t="s">
        <v>1690</v>
      </c>
      <c r="S220" s="180" t="s">
        <v>1687</v>
      </c>
      <c r="T220" s="180" t="s">
        <v>1689</v>
      </c>
      <c r="U220" s="180" t="s">
        <v>2051</v>
      </c>
      <c r="V220" s="180" t="s">
        <v>1686</v>
      </c>
      <c r="W220" s="180" t="s">
        <v>1687</v>
      </c>
      <c r="X220" s="180" t="s">
        <v>1689</v>
      </c>
      <c r="Y220" s="180" t="s">
        <v>1687</v>
      </c>
      <c r="Z220" s="180" t="s">
        <v>1692</v>
      </c>
      <c r="AA220" s="180" t="s">
        <v>2557</v>
      </c>
      <c r="AB220" s="180" t="s">
        <v>2558</v>
      </c>
      <c r="AC220" s="180" t="s">
        <v>1687</v>
      </c>
      <c r="AD220" s="180" t="s">
        <v>1693</v>
      </c>
      <c r="AE220" s="180" t="s">
        <v>2559</v>
      </c>
      <c r="AF220" s="180" t="s">
        <v>1690</v>
      </c>
      <c r="AG220" s="180" t="s">
        <v>2560</v>
      </c>
      <c r="AH220" s="180" t="s">
        <v>2561</v>
      </c>
      <c r="AI220" s="180" t="s">
        <v>2000</v>
      </c>
      <c r="AJ220" s="180" t="s">
        <v>2057</v>
      </c>
      <c r="AK220" s="180" t="s">
        <v>2321</v>
      </c>
      <c r="AL220" s="180" t="s">
        <v>2562</v>
      </c>
      <c r="AM220" s="180" t="s">
        <v>1689</v>
      </c>
      <c r="AN220" s="180" t="s">
        <v>1683</v>
      </c>
      <c r="AO220" s="180"/>
      <c r="AP220" s="180" t="s">
        <v>2559</v>
      </c>
      <c r="AQ220" s="180" t="s">
        <v>2563</v>
      </c>
      <c r="AR220" s="180"/>
      <c r="AS220" s="180"/>
      <c r="AT220" s="180"/>
      <c r="AU220" s="180" t="s">
        <v>1688</v>
      </c>
      <c r="AV220" s="180" t="s">
        <v>2564</v>
      </c>
      <c r="AW220" s="180"/>
      <c r="AX220" s="180" t="s">
        <v>1690</v>
      </c>
      <c r="AY220" s="180" t="s">
        <v>1704</v>
      </c>
      <c r="AZ220" s="180"/>
      <c r="BA220" s="180" t="s">
        <v>1685</v>
      </c>
      <c r="BB220" s="180" t="s">
        <v>1704</v>
      </c>
      <c r="BC220" s="180"/>
      <c r="BD220" s="180" t="s">
        <v>2011</v>
      </c>
      <c r="BE220" s="180" t="s">
        <v>1692</v>
      </c>
      <c r="BF220" s="180"/>
      <c r="BG220" s="180"/>
      <c r="BH220" s="180" t="s">
        <v>2565</v>
      </c>
      <c r="BI220" s="180" t="s">
        <v>2050</v>
      </c>
      <c r="BJ220" s="180" t="s">
        <v>1687</v>
      </c>
      <c r="BK220" s="180" t="s">
        <v>1689</v>
      </c>
      <c r="BL220" s="180" t="s">
        <v>2562</v>
      </c>
      <c r="BM220" s="180" t="s">
        <v>1687</v>
      </c>
      <c r="BN220" s="180" t="s">
        <v>1685</v>
      </c>
      <c r="BO220" s="180" t="s">
        <v>2321</v>
      </c>
      <c r="BP220" s="180" t="s">
        <v>1700</v>
      </c>
      <c r="BQ220" s="180" t="s">
        <v>2566</v>
      </c>
      <c r="BR220" s="180" t="s">
        <v>2052</v>
      </c>
      <c r="BS220" s="180" t="s">
        <v>2567</v>
      </c>
      <c r="BT220" s="180" t="s">
        <v>1685</v>
      </c>
      <c r="BU220" s="180" t="s">
        <v>1692</v>
      </c>
      <c r="BV220" s="180" t="s">
        <v>2036</v>
      </c>
      <c r="BW220" s="180" t="s">
        <v>1694</v>
      </c>
      <c r="BX220" s="180"/>
      <c r="BY220" s="180" t="s">
        <v>2054</v>
      </c>
      <c r="BZ220" s="180" t="s">
        <v>1692</v>
      </c>
      <c r="CA220" s="180" t="s">
        <v>1691</v>
      </c>
      <c r="CB220" s="180"/>
      <c r="CC220" s="180"/>
      <c r="CD220" s="180"/>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966</v>
      </c>
      <c r="B221" s="180" t="s">
        <v>1009</v>
      </c>
      <c r="C221" s="180"/>
      <c r="D221" s="180" t="s">
        <v>2568</v>
      </c>
      <c r="E221" s="180" t="s">
        <v>2569</v>
      </c>
      <c r="F221" s="180"/>
      <c r="G221" s="180" t="s">
        <v>2330</v>
      </c>
      <c r="H221" s="180" t="s">
        <v>2331</v>
      </c>
      <c r="I221" s="180" t="s">
        <v>2332</v>
      </c>
      <c r="J221" s="180"/>
      <c r="K221" s="180" t="s">
        <v>2334</v>
      </c>
      <c r="L221" s="180" t="s">
        <v>2570</v>
      </c>
      <c r="M221" s="180"/>
      <c r="N221" s="180" t="s">
        <v>2571</v>
      </c>
      <c r="O221" s="180"/>
      <c r="P221" s="180" t="s">
        <v>2339</v>
      </c>
      <c r="Q221" s="180" t="s">
        <v>2340</v>
      </c>
      <c r="R221" s="180" t="s">
        <v>2341</v>
      </c>
      <c r="S221" s="180" t="s">
        <v>2342</v>
      </c>
      <c r="T221" s="180" t="s">
        <v>2572</v>
      </c>
      <c r="U221" s="180" t="s">
        <v>2343</v>
      </c>
      <c r="V221" s="180" t="s">
        <v>2344</v>
      </c>
      <c r="W221" s="180" t="s">
        <v>2345</v>
      </c>
      <c r="X221" s="180" t="s">
        <v>2346</v>
      </c>
      <c r="Y221" s="180" t="s">
        <v>2347</v>
      </c>
      <c r="Z221" s="180" t="s">
        <v>2348</v>
      </c>
      <c r="AA221" s="180" t="s">
        <v>2573</v>
      </c>
      <c r="AB221" s="180" t="s">
        <v>2350</v>
      </c>
      <c r="AC221" s="180" t="s">
        <v>2574</v>
      </c>
      <c r="AD221" s="180" t="s">
        <v>2352</v>
      </c>
      <c r="AE221" s="180" t="s">
        <v>2575</v>
      </c>
      <c r="AF221" s="180" t="s">
        <v>2354</v>
      </c>
      <c r="AG221" s="180" t="s">
        <v>2355</v>
      </c>
      <c r="AH221" s="180" t="s">
        <v>2356</v>
      </c>
      <c r="AI221" s="180" t="s">
        <v>2357</v>
      </c>
      <c r="AJ221" s="180" t="s">
        <v>2358</v>
      </c>
      <c r="AK221" s="180" t="s">
        <v>2359</v>
      </c>
      <c r="AL221" s="180" t="s">
        <v>2360</v>
      </c>
      <c r="AM221" s="180" t="s">
        <v>2361</v>
      </c>
      <c r="AN221" s="180" t="s">
        <v>2362</v>
      </c>
      <c r="AO221" s="180"/>
      <c r="AP221" s="180" t="s">
        <v>2576</v>
      </c>
      <c r="AQ221" s="180" t="s">
        <v>2577</v>
      </c>
      <c r="AR221" s="180"/>
      <c r="AS221" s="180"/>
      <c r="AT221" s="180"/>
      <c r="AU221" s="180" t="s">
        <v>2578</v>
      </c>
      <c r="AV221" s="180" t="s">
        <v>2368</v>
      </c>
      <c r="AW221" s="180"/>
      <c r="AX221" s="180" t="s">
        <v>2369</v>
      </c>
      <c r="AY221" s="180" t="s">
        <v>2370</v>
      </c>
      <c r="AZ221" s="180"/>
      <c r="BA221" s="180" t="s">
        <v>2372</v>
      </c>
      <c r="BB221" s="180" t="s">
        <v>2373</v>
      </c>
      <c r="BC221" s="180"/>
      <c r="BD221" s="180" t="s">
        <v>2374</v>
      </c>
      <c r="BE221" s="180" t="s">
        <v>2375</v>
      </c>
      <c r="BF221" s="180"/>
      <c r="BG221" s="180"/>
      <c r="BH221" s="180" t="s">
        <v>2579</v>
      </c>
      <c r="BI221" s="180" t="s">
        <v>2580</v>
      </c>
      <c r="BJ221" s="180" t="s">
        <v>2380</v>
      </c>
      <c r="BK221" s="180" t="s">
        <v>2381</v>
      </c>
      <c r="BL221" s="180" t="s">
        <v>2382</v>
      </c>
      <c r="BM221" s="180" t="s">
        <v>2383</v>
      </c>
      <c r="BN221" s="180" t="s">
        <v>2581</v>
      </c>
      <c r="BO221" s="180" t="s">
        <v>2385</v>
      </c>
      <c r="BP221" s="180" t="s">
        <v>2386</v>
      </c>
      <c r="BQ221" s="180" t="s">
        <v>2387</v>
      </c>
      <c r="BR221" s="180" t="s">
        <v>2388</v>
      </c>
      <c r="BS221" s="180" t="s">
        <v>2389</v>
      </c>
      <c r="BT221" s="180" t="s">
        <v>2390</v>
      </c>
      <c r="BU221" s="180" t="s">
        <v>2391</v>
      </c>
      <c r="BV221" s="180" t="s">
        <v>2392</v>
      </c>
      <c r="BW221" s="180" t="s">
        <v>2393</v>
      </c>
      <c r="BX221" s="180"/>
      <c r="BY221" s="180" t="s">
        <v>2395</v>
      </c>
      <c r="BZ221" s="180" t="s">
        <v>2582</v>
      </c>
      <c r="CA221" s="180" t="s">
        <v>2397</v>
      </c>
      <c r="CB221" s="180"/>
      <c r="CC221" s="180"/>
      <c r="CD221" s="180"/>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968</v>
      </c>
      <c r="B222" s="180" t="s">
        <v>1010</v>
      </c>
      <c r="C222" s="180"/>
      <c r="D222" s="180" t="s">
        <v>2583</v>
      </c>
      <c r="E222" s="180" t="s">
        <v>2398</v>
      </c>
      <c r="F222" s="180"/>
      <c r="G222" s="180" t="s">
        <v>2584</v>
      </c>
      <c r="H222" s="180" t="s">
        <v>2401</v>
      </c>
      <c r="I222" s="180" t="s">
        <v>2402</v>
      </c>
      <c r="J222" s="180" t="s">
        <v>2403</v>
      </c>
      <c r="K222" s="180" t="s">
        <v>2404</v>
      </c>
      <c r="L222" s="180" t="s">
        <v>2585</v>
      </c>
      <c r="M222" s="180"/>
      <c r="N222" s="180" t="s">
        <v>2407</v>
      </c>
      <c r="O222" s="180"/>
      <c r="P222" s="180" t="s">
        <v>2409</v>
      </c>
      <c r="Q222" s="180" t="s">
        <v>2410</v>
      </c>
      <c r="R222" s="180" t="s">
        <v>2411</v>
      </c>
      <c r="S222" s="180" t="s">
        <v>2586</v>
      </c>
      <c r="T222" s="180" t="s">
        <v>2587</v>
      </c>
      <c r="U222" s="180" t="s">
        <v>2413</v>
      </c>
      <c r="V222" s="180" t="s">
        <v>2414</v>
      </c>
      <c r="W222" s="180" t="s">
        <v>2588</v>
      </c>
      <c r="X222" s="180" t="s">
        <v>2589</v>
      </c>
      <c r="Y222" s="180" t="s">
        <v>2417</v>
      </c>
      <c r="Z222" s="180" t="s">
        <v>2590</v>
      </c>
      <c r="AA222" s="180" t="s">
        <v>2591</v>
      </c>
      <c r="AB222" s="180" t="s">
        <v>2420</v>
      </c>
      <c r="AC222" s="180" t="s">
        <v>2592</v>
      </c>
      <c r="AD222" s="180" t="s">
        <v>2593</v>
      </c>
      <c r="AE222" s="180" t="s">
        <v>2594</v>
      </c>
      <c r="AF222" s="180" t="s">
        <v>2424</v>
      </c>
      <c r="AG222" s="180" t="s">
        <v>2425</v>
      </c>
      <c r="AH222" s="180" t="s">
        <v>2426</v>
      </c>
      <c r="AI222" s="180" t="s">
        <v>2427</v>
      </c>
      <c r="AJ222" s="180" t="s">
        <v>2428</v>
      </c>
      <c r="AK222" s="180" t="s">
        <v>2429</v>
      </c>
      <c r="AL222" s="180" t="s">
        <v>2595</v>
      </c>
      <c r="AM222" s="180" t="s">
        <v>2431</v>
      </c>
      <c r="AN222" s="180" t="s">
        <v>2432</v>
      </c>
      <c r="AO222" s="180"/>
      <c r="AP222" s="180" t="s">
        <v>2433</v>
      </c>
      <c r="AQ222" s="180" t="s">
        <v>2434</v>
      </c>
      <c r="AR222" s="180"/>
      <c r="AS222" s="180"/>
      <c r="AT222" s="180"/>
      <c r="AU222" s="180" t="s">
        <v>2596</v>
      </c>
      <c r="AV222" s="180" t="s">
        <v>2597</v>
      </c>
      <c r="AW222" s="180"/>
      <c r="AX222" s="180" t="s">
        <v>2598</v>
      </c>
      <c r="AY222" s="180" t="s">
        <v>2599</v>
      </c>
      <c r="AZ222" s="180"/>
      <c r="BA222" s="180" t="s">
        <v>2443</v>
      </c>
      <c r="BB222" s="180" t="s">
        <v>2444</v>
      </c>
      <c r="BC222" s="180"/>
      <c r="BD222" s="180" t="s">
        <v>2445</v>
      </c>
      <c r="BE222" s="180" t="s">
        <v>2446</v>
      </c>
      <c r="BF222" s="180"/>
      <c r="BG222" s="180"/>
      <c r="BH222" s="180" t="s">
        <v>2600</v>
      </c>
      <c r="BI222" s="180" t="s">
        <v>2601</v>
      </c>
      <c r="BJ222" s="180" t="s">
        <v>2602</v>
      </c>
      <c r="BK222" s="180" t="s">
        <v>2452</v>
      </c>
      <c r="BL222" s="180" t="s">
        <v>2603</v>
      </c>
      <c r="BM222" s="180" t="s">
        <v>2604</v>
      </c>
      <c r="BN222" s="180" t="s">
        <v>2455</v>
      </c>
      <c r="BO222" s="180" t="s">
        <v>2456</v>
      </c>
      <c r="BP222" s="180" t="s">
        <v>2457</v>
      </c>
      <c r="BQ222" s="180" t="s">
        <v>2458</v>
      </c>
      <c r="BR222" s="180" t="s">
        <v>2605</v>
      </c>
      <c r="BS222" s="180" t="s">
        <v>2460</v>
      </c>
      <c r="BT222" s="180" t="s">
        <v>2461</v>
      </c>
      <c r="BU222" s="180" t="s">
        <v>2462</v>
      </c>
      <c r="BV222" s="180" t="s">
        <v>432</v>
      </c>
      <c r="BW222" s="180" t="s">
        <v>2464</v>
      </c>
      <c r="BX222" s="180"/>
      <c r="BY222" s="180" t="s">
        <v>2466</v>
      </c>
      <c r="BZ222" s="180" t="s">
        <v>2467</v>
      </c>
      <c r="CA222" s="180" t="s">
        <v>2468</v>
      </c>
      <c r="CB222" s="180"/>
      <c r="CC222" s="180"/>
      <c r="CD222" s="180"/>
      <c r="CE222" s="180"/>
      <c r="CF222" s="180"/>
      <c r="CG222" s="180"/>
      <c r="CH222" s="180"/>
      <c r="CI222" s="180"/>
      <c r="CJ222" s="180"/>
      <c r="CK222" s="180"/>
      <c r="CL222" s="180"/>
      <c r="CM222" s="180"/>
      <c r="CN222" s="180"/>
      <c r="CO222" s="180"/>
      <c r="CP222" s="180"/>
      <c r="CQ222" s="180"/>
      <c r="CR222" s="180"/>
      <c r="CS222" s="180"/>
      <c r="CT222" s="180"/>
      <c r="CU222" s="180"/>
    </row>
    <row r="223" spans="1:99" s="557" customFormat="1" x14ac:dyDescent="0.3">
      <c r="A223" s="556">
        <v>973</v>
      </c>
      <c r="B223" s="557" t="s">
        <v>1697</v>
      </c>
      <c r="D223" s="557">
        <v>0</v>
      </c>
      <c r="E223" s="557">
        <v>0</v>
      </c>
      <c r="G223" s="557">
        <v>0</v>
      </c>
      <c r="H223" s="557">
        <v>0</v>
      </c>
      <c r="I223" s="557">
        <v>0</v>
      </c>
      <c r="J223" s="557">
        <v>1</v>
      </c>
      <c r="K223" s="557">
        <v>0</v>
      </c>
      <c r="L223" s="557">
        <v>0</v>
      </c>
      <c r="N223" s="557">
        <v>0</v>
      </c>
      <c r="P223" s="557">
        <v>0</v>
      </c>
      <c r="Q223" s="557">
        <v>0</v>
      </c>
      <c r="R223" s="557">
        <v>0</v>
      </c>
      <c r="S223" s="557">
        <v>0</v>
      </c>
      <c r="T223" s="557">
        <v>0</v>
      </c>
      <c r="U223" s="557">
        <v>0</v>
      </c>
      <c r="V223" s="557">
        <v>0</v>
      </c>
      <c r="W223" s="557">
        <v>0</v>
      </c>
      <c r="X223" s="557">
        <v>0</v>
      </c>
      <c r="Y223" s="557">
        <v>0</v>
      </c>
      <c r="Z223" s="557">
        <v>0</v>
      </c>
      <c r="AA223" s="557">
        <v>0</v>
      </c>
      <c r="AB223" s="557">
        <v>0</v>
      </c>
      <c r="AC223" s="557">
        <v>0</v>
      </c>
      <c r="AD223" s="557">
        <v>0</v>
      </c>
      <c r="AE223" s="557">
        <v>0</v>
      </c>
      <c r="AF223" s="557">
        <v>0</v>
      </c>
      <c r="AG223" s="557">
        <v>0</v>
      </c>
      <c r="AH223" s="557">
        <v>0</v>
      </c>
      <c r="AI223" s="557">
        <v>0</v>
      </c>
      <c r="AJ223" s="557">
        <v>0</v>
      </c>
      <c r="AK223" s="557">
        <v>0</v>
      </c>
      <c r="AL223" s="557">
        <v>0</v>
      </c>
      <c r="AM223" s="557">
        <v>0</v>
      </c>
      <c r="AN223" s="557">
        <v>0</v>
      </c>
      <c r="AP223" s="557">
        <v>0</v>
      </c>
      <c r="AQ223" s="557">
        <v>0</v>
      </c>
      <c r="AU223" s="557">
        <v>0</v>
      </c>
      <c r="AV223" s="557">
        <v>0</v>
      </c>
      <c r="AX223" s="557">
        <v>0</v>
      </c>
      <c r="AY223" s="557">
        <v>0</v>
      </c>
      <c r="BA223" s="557">
        <v>0</v>
      </c>
      <c r="BB223" s="557">
        <v>0</v>
      </c>
      <c r="BD223" s="557">
        <v>0</v>
      </c>
      <c r="BE223" s="557">
        <v>0</v>
      </c>
      <c r="BH223" s="557">
        <v>0</v>
      </c>
      <c r="BI223" s="557">
        <v>0</v>
      </c>
      <c r="BJ223" s="557">
        <v>0</v>
      </c>
      <c r="BK223" s="557">
        <v>0</v>
      </c>
      <c r="BL223" s="557">
        <v>0</v>
      </c>
      <c r="BM223" s="557">
        <v>0</v>
      </c>
      <c r="BN223" s="557">
        <v>0</v>
      </c>
      <c r="BO223" s="557">
        <v>0</v>
      </c>
      <c r="BP223" s="557">
        <v>0</v>
      </c>
      <c r="BQ223" s="557">
        <v>0</v>
      </c>
      <c r="BR223" s="557">
        <v>0</v>
      </c>
      <c r="BS223" s="557">
        <v>0</v>
      </c>
      <c r="BT223" s="557">
        <v>0</v>
      </c>
      <c r="BU223" s="557">
        <v>0</v>
      </c>
      <c r="BV223" s="557">
        <v>0</v>
      </c>
      <c r="BW223" s="557">
        <v>0</v>
      </c>
      <c r="BY223" s="557">
        <v>0</v>
      </c>
      <c r="BZ223" s="557">
        <v>0</v>
      </c>
      <c r="CA223" s="557">
        <v>0</v>
      </c>
    </row>
    <row r="224" spans="1:99" s="557" customFormat="1" x14ac:dyDescent="0.3">
      <c r="A224" s="556">
        <v>974</v>
      </c>
      <c r="B224" s="557" t="s">
        <v>1011</v>
      </c>
      <c r="D224" s="557">
        <v>3</v>
      </c>
      <c r="E224" s="557">
        <v>2</v>
      </c>
      <c r="G224" s="557">
        <v>2</v>
      </c>
      <c r="H224" s="557">
        <v>2</v>
      </c>
      <c r="I224" s="557">
        <v>3</v>
      </c>
      <c r="J224" s="557">
        <v>2</v>
      </c>
      <c r="K224" s="557">
        <v>2</v>
      </c>
      <c r="L224" s="557">
        <v>2</v>
      </c>
      <c r="N224" s="557">
        <v>2</v>
      </c>
      <c r="P224" s="557">
        <v>2</v>
      </c>
      <c r="Q224" s="557">
        <v>2</v>
      </c>
      <c r="R224" s="557">
        <v>2</v>
      </c>
      <c r="S224" s="557">
        <v>2</v>
      </c>
      <c r="T224" s="557">
        <v>3</v>
      </c>
      <c r="U224" s="557">
        <v>2</v>
      </c>
      <c r="V224" s="557">
        <v>3</v>
      </c>
      <c r="W224" s="557">
        <v>2</v>
      </c>
      <c r="X224" s="557">
        <v>2</v>
      </c>
      <c r="Y224" s="557">
        <v>2</v>
      </c>
      <c r="Z224" s="557">
        <v>2</v>
      </c>
      <c r="AA224" s="557">
        <v>2</v>
      </c>
      <c r="AB224" s="557">
        <v>3</v>
      </c>
      <c r="AC224" s="557">
        <v>2</v>
      </c>
      <c r="AD224" s="557">
        <v>2</v>
      </c>
      <c r="AE224" s="557">
        <v>2</v>
      </c>
      <c r="AF224" s="557">
        <v>3</v>
      </c>
      <c r="AG224" s="557">
        <v>3</v>
      </c>
      <c r="AH224" s="557">
        <v>3</v>
      </c>
      <c r="AI224" s="557">
        <v>3</v>
      </c>
      <c r="AJ224" s="557">
        <v>2</v>
      </c>
      <c r="AK224" s="557">
        <v>3</v>
      </c>
      <c r="AL224" s="557">
        <v>3</v>
      </c>
      <c r="AM224" s="557">
        <v>3</v>
      </c>
      <c r="AN224" s="557">
        <v>2</v>
      </c>
      <c r="AP224" s="557">
        <v>2</v>
      </c>
      <c r="AQ224" s="557">
        <v>2</v>
      </c>
      <c r="AU224" s="557">
        <v>2</v>
      </c>
      <c r="AV224" s="557">
        <v>2</v>
      </c>
      <c r="AX224" s="557">
        <v>2</v>
      </c>
      <c r="AY224" s="557">
        <v>2</v>
      </c>
      <c r="BA224" s="557">
        <v>2</v>
      </c>
      <c r="BB224" s="557">
        <v>2</v>
      </c>
      <c r="BD224" s="557">
        <v>3</v>
      </c>
      <c r="BE224" s="557">
        <v>2</v>
      </c>
      <c r="BH224" s="557">
        <v>2</v>
      </c>
      <c r="BI224" s="557">
        <v>2</v>
      </c>
      <c r="BJ224" s="557">
        <v>2</v>
      </c>
      <c r="BK224" s="557">
        <v>2</v>
      </c>
      <c r="BL224" s="557">
        <v>2</v>
      </c>
      <c r="BM224" s="557">
        <v>3</v>
      </c>
      <c r="BN224" s="557">
        <v>2</v>
      </c>
      <c r="BO224" s="557">
        <v>2</v>
      </c>
      <c r="BP224" s="557">
        <v>2</v>
      </c>
      <c r="BQ224" s="557">
        <v>3</v>
      </c>
      <c r="BR224" s="557">
        <v>2</v>
      </c>
      <c r="BS224" s="557">
        <v>2</v>
      </c>
      <c r="BT224" s="557">
        <v>2</v>
      </c>
      <c r="BU224" s="557">
        <v>2</v>
      </c>
      <c r="BV224" s="557">
        <v>2</v>
      </c>
      <c r="BW224" s="557">
        <v>3</v>
      </c>
      <c r="BY224" s="557">
        <v>3</v>
      </c>
      <c r="BZ224" s="557">
        <v>2</v>
      </c>
      <c r="CA224" s="557">
        <v>2</v>
      </c>
    </row>
    <row r="225" spans="1:99" s="557" customFormat="1" x14ac:dyDescent="0.3">
      <c r="A225" s="556">
        <v>975</v>
      </c>
      <c r="B225" s="557" t="s">
        <v>606</v>
      </c>
      <c r="D225" s="557">
        <v>1</v>
      </c>
      <c r="E225" s="557">
        <v>1</v>
      </c>
      <c r="G225" s="557">
        <v>2</v>
      </c>
      <c r="H225" s="557">
        <v>1</v>
      </c>
      <c r="I225" s="557">
        <v>1</v>
      </c>
      <c r="J225" s="557">
        <v>1</v>
      </c>
      <c r="K225" s="557">
        <v>1</v>
      </c>
      <c r="L225" s="557">
        <v>1</v>
      </c>
      <c r="N225" s="557">
        <v>1</v>
      </c>
      <c r="P225" s="557">
        <v>1</v>
      </c>
      <c r="Q225" s="557">
        <v>2</v>
      </c>
      <c r="R225" s="557">
        <v>2</v>
      </c>
      <c r="S225" s="557">
        <v>1</v>
      </c>
      <c r="T225" s="557">
        <v>1</v>
      </c>
      <c r="U225" s="557">
        <v>1</v>
      </c>
      <c r="V225" s="557">
        <v>2</v>
      </c>
      <c r="W225" s="557">
        <v>2</v>
      </c>
      <c r="X225" s="557">
        <v>2</v>
      </c>
      <c r="Y225" s="557">
        <v>2</v>
      </c>
      <c r="Z225" s="557">
        <v>2</v>
      </c>
      <c r="AA225" s="557">
        <v>1</v>
      </c>
      <c r="AB225" s="557">
        <v>2</v>
      </c>
      <c r="AC225" s="557">
        <v>2</v>
      </c>
      <c r="AD225" s="557">
        <v>1</v>
      </c>
      <c r="AE225" s="557">
        <v>1</v>
      </c>
      <c r="AF225" s="557">
        <v>1</v>
      </c>
      <c r="AG225" s="557">
        <v>1</v>
      </c>
      <c r="AH225" s="557">
        <v>1</v>
      </c>
      <c r="AI225" s="557">
        <v>2</v>
      </c>
      <c r="AJ225" s="557">
        <v>1</v>
      </c>
      <c r="AK225" s="557">
        <v>1</v>
      </c>
      <c r="AL225" s="557">
        <v>2</v>
      </c>
      <c r="AM225" s="557">
        <v>1</v>
      </c>
      <c r="AN225" s="557">
        <v>2</v>
      </c>
      <c r="AP225" s="557">
        <v>2</v>
      </c>
      <c r="AQ225" s="557">
        <v>2</v>
      </c>
      <c r="AU225" s="557">
        <v>1</v>
      </c>
      <c r="AV225" s="557">
        <v>1</v>
      </c>
      <c r="AX225" s="557">
        <v>2</v>
      </c>
      <c r="AY225" s="557">
        <v>2</v>
      </c>
      <c r="BA225" s="557">
        <v>1</v>
      </c>
      <c r="BB225" s="557">
        <v>2</v>
      </c>
      <c r="BD225" s="557">
        <v>1</v>
      </c>
      <c r="BE225" s="557">
        <v>1</v>
      </c>
      <c r="BH225" s="557">
        <v>1</v>
      </c>
      <c r="BI225" s="557">
        <v>2</v>
      </c>
      <c r="BJ225" s="557">
        <v>1</v>
      </c>
      <c r="BK225" s="557">
        <v>1</v>
      </c>
      <c r="BL225" s="557">
        <v>2</v>
      </c>
      <c r="BM225" s="557">
        <v>2</v>
      </c>
      <c r="BN225" s="557">
        <v>1</v>
      </c>
      <c r="BO225" s="557">
        <v>2</v>
      </c>
      <c r="BP225" s="557">
        <v>2</v>
      </c>
      <c r="BQ225" s="557">
        <v>1</v>
      </c>
      <c r="BR225" s="557">
        <v>1</v>
      </c>
      <c r="BS225" s="557">
        <v>1</v>
      </c>
      <c r="BT225" s="557">
        <v>1</v>
      </c>
      <c r="BU225" s="557">
        <v>1</v>
      </c>
      <c r="BV225" s="557">
        <v>1</v>
      </c>
      <c r="BW225" s="557">
        <v>1</v>
      </c>
      <c r="BY225" s="557">
        <v>1</v>
      </c>
      <c r="BZ225" s="557">
        <v>1</v>
      </c>
      <c r="CA225" s="557">
        <v>1</v>
      </c>
    </row>
    <row r="226" spans="1:99" s="557" customFormat="1" x14ac:dyDescent="0.3">
      <c r="A226" s="556">
        <v>979</v>
      </c>
      <c r="B226" s="557" t="s">
        <v>1013</v>
      </c>
      <c r="D226" s="557">
        <v>1</v>
      </c>
      <c r="E226" s="557">
        <v>1</v>
      </c>
      <c r="G226" s="557">
        <v>1</v>
      </c>
      <c r="H226" s="557">
        <v>2</v>
      </c>
      <c r="I226" s="557">
        <v>2</v>
      </c>
      <c r="J226" s="557">
        <v>2</v>
      </c>
      <c r="K226" s="557">
        <v>2</v>
      </c>
      <c r="L226" s="557">
        <v>2</v>
      </c>
      <c r="N226" s="557">
        <v>1</v>
      </c>
      <c r="P226" s="557">
        <v>2</v>
      </c>
      <c r="Q226" s="557">
        <v>1</v>
      </c>
      <c r="R226" s="557">
        <v>1</v>
      </c>
      <c r="S226" s="557">
        <v>1</v>
      </c>
      <c r="T226" s="557">
        <v>1</v>
      </c>
      <c r="U226" s="557">
        <v>2</v>
      </c>
      <c r="V226" s="557">
        <v>1</v>
      </c>
      <c r="W226" s="557">
        <v>1</v>
      </c>
      <c r="X226" s="557">
        <v>1</v>
      </c>
      <c r="Y226" s="557">
        <v>1</v>
      </c>
      <c r="Z226" s="557">
        <v>1</v>
      </c>
      <c r="AA226" s="557">
        <v>2</v>
      </c>
      <c r="AB226" s="557">
        <v>1</v>
      </c>
      <c r="AC226" s="557">
        <v>1</v>
      </c>
      <c r="AD226" s="557">
        <v>2</v>
      </c>
      <c r="AE226" s="557">
        <v>1</v>
      </c>
      <c r="AF226" s="557">
        <v>1</v>
      </c>
      <c r="AG226" s="557">
        <v>1</v>
      </c>
      <c r="AH226" s="557">
        <v>1</v>
      </c>
      <c r="AI226" s="557">
        <v>1</v>
      </c>
      <c r="AJ226" s="557">
        <v>2</v>
      </c>
      <c r="AK226" s="557">
        <v>1</v>
      </c>
      <c r="AL226" s="557">
        <v>1</v>
      </c>
      <c r="AM226" s="557">
        <v>1</v>
      </c>
      <c r="AN226" s="557">
        <v>1</v>
      </c>
      <c r="AP226" s="557">
        <v>1</v>
      </c>
      <c r="AQ226" s="557">
        <v>1</v>
      </c>
      <c r="AU226" s="557">
        <v>2</v>
      </c>
      <c r="AV226" s="557">
        <v>2</v>
      </c>
      <c r="AX226" s="557">
        <v>1</v>
      </c>
      <c r="AY226" s="557">
        <v>1</v>
      </c>
      <c r="BA226" s="557">
        <v>1</v>
      </c>
      <c r="BB226" s="557">
        <v>1</v>
      </c>
      <c r="BD226" s="557">
        <v>2</v>
      </c>
      <c r="BE226" s="557">
        <v>1</v>
      </c>
      <c r="BH226" s="557">
        <v>2</v>
      </c>
      <c r="BI226" s="557">
        <v>1</v>
      </c>
      <c r="BJ226" s="557">
        <v>1</v>
      </c>
      <c r="BK226" s="557">
        <v>1</v>
      </c>
      <c r="BL226" s="557">
        <v>1</v>
      </c>
      <c r="BM226" s="557">
        <v>1</v>
      </c>
      <c r="BN226" s="557">
        <v>1</v>
      </c>
      <c r="BO226" s="557">
        <v>1</v>
      </c>
      <c r="BP226" s="557">
        <v>1</v>
      </c>
      <c r="BQ226" s="557">
        <v>2</v>
      </c>
      <c r="BR226" s="557">
        <v>2</v>
      </c>
      <c r="BS226" s="557">
        <v>2</v>
      </c>
      <c r="BT226" s="557">
        <v>1</v>
      </c>
      <c r="BU226" s="557">
        <v>1</v>
      </c>
      <c r="BV226" s="557">
        <v>2</v>
      </c>
      <c r="BW226" s="557">
        <v>1</v>
      </c>
      <c r="BY226" s="557">
        <v>1</v>
      </c>
      <c r="BZ226" s="557">
        <v>1</v>
      </c>
      <c r="CA226" s="557">
        <v>1</v>
      </c>
    </row>
    <row r="227" spans="1:99" x14ac:dyDescent="0.3">
      <c r="A227" s="155">
        <v>980</v>
      </c>
      <c r="B227" s="180" t="s">
        <v>592</v>
      </c>
      <c r="C227" s="180"/>
      <c r="D227" s="180" t="s">
        <v>1690</v>
      </c>
      <c r="E227" s="180" t="s">
        <v>1699</v>
      </c>
      <c r="F227" s="180"/>
      <c r="G227" s="180" t="s">
        <v>2556</v>
      </c>
      <c r="H227" s="180" t="s">
        <v>2037</v>
      </c>
      <c r="I227" s="180" t="s">
        <v>2046</v>
      </c>
      <c r="J227" s="180" t="s">
        <v>2046</v>
      </c>
      <c r="K227" s="180" t="s">
        <v>1701</v>
      </c>
      <c r="L227" s="180" t="s">
        <v>2606</v>
      </c>
      <c r="M227" s="180"/>
      <c r="N227" s="180" t="s">
        <v>2555</v>
      </c>
      <c r="O227" s="180"/>
      <c r="P227" s="180" t="s">
        <v>2012</v>
      </c>
      <c r="Q227" s="180" t="s">
        <v>1681</v>
      </c>
      <c r="R227" s="180" t="s">
        <v>1681</v>
      </c>
      <c r="S227" s="180" t="s">
        <v>1692</v>
      </c>
      <c r="T227" s="180" t="s">
        <v>2012</v>
      </c>
      <c r="U227" s="180" t="s">
        <v>2607</v>
      </c>
      <c r="V227" s="180" t="s">
        <v>2608</v>
      </c>
      <c r="W227" s="180" t="s">
        <v>1681</v>
      </c>
      <c r="X227" s="180" t="s">
        <v>1696</v>
      </c>
      <c r="Y227" s="180" t="s">
        <v>1681</v>
      </c>
      <c r="Z227" s="180" t="s">
        <v>1702</v>
      </c>
      <c r="AA227" s="180" t="s">
        <v>2609</v>
      </c>
      <c r="AB227" s="180" t="s">
        <v>1681</v>
      </c>
      <c r="AC227" s="180" t="s">
        <v>2608</v>
      </c>
      <c r="AD227" s="180" t="s">
        <v>2610</v>
      </c>
      <c r="AE227" s="180" t="s">
        <v>1684</v>
      </c>
      <c r="AF227" s="180" t="s">
        <v>1699</v>
      </c>
      <c r="AG227" s="180" t="s">
        <v>2004</v>
      </c>
      <c r="AH227" s="180" t="s">
        <v>2470</v>
      </c>
      <c r="AI227" s="180" t="s">
        <v>1700</v>
      </c>
      <c r="AJ227" s="180" t="s">
        <v>2010</v>
      </c>
      <c r="AK227" s="180" t="s">
        <v>2611</v>
      </c>
      <c r="AL227" s="180" t="s">
        <v>1681</v>
      </c>
      <c r="AM227" s="180" t="s">
        <v>1703</v>
      </c>
      <c r="AN227" s="180" t="s">
        <v>2006</v>
      </c>
      <c r="AO227" s="180"/>
      <c r="AP227" s="180" t="s">
        <v>1681</v>
      </c>
      <c r="AQ227" s="180" t="s">
        <v>1681</v>
      </c>
      <c r="AR227" s="180"/>
      <c r="AS227" s="180"/>
      <c r="AT227" s="180"/>
      <c r="AU227" s="180" t="s">
        <v>2008</v>
      </c>
      <c r="AV227" s="180" t="s">
        <v>2612</v>
      </c>
      <c r="AW227" s="180"/>
      <c r="AX227" s="180" t="s">
        <v>1695</v>
      </c>
      <c r="AY227" s="180" t="s">
        <v>1681</v>
      </c>
      <c r="AZ227" s="180"/>
      <c r="BA227" s="180" t="s">
        <v>1688</v>
      </c>
      <c r="BB227" s="180" t="s">
        <v>1681</v>
      </c>
      <c r="BC227" s="180"/>
      <c r="BD227" s="180" t="s">
        <v>2613</v>
      </c>
      <c r="BE227" s="180" t="s">
        <v>2614</v>
      </c>
      <c r="BF227" s="180"/>
      <c r="BG227" s="180"/>
      <c r="BH227" s="180" t="s">
        <v>2615</v>
      </c>
      <c r="BI227" s="180" t="s">
        <v>1681</v>
      </c>
      <c r="BJ227" s="180" t="s">
        <v>2009</v>
      </c>
      <c r="BK227" s="180" t="s">
        <v>2009</v>
      </c>
      <c r="BL227" s="180" t="s">
        <v>2009</v>
      </c>
      <c r="BM227" s="180" t="s">
        <v>1681</v>
      </c>
      <c r="BN227" s="180" t="s">
        <v>1703</v>
      </c>
      <c r="BO227" s="180" t="s">
        <v>1702</v>
      </c>
      <c r="BP227" s="180" t="s">
        <v>2055</v>
      </c>
      <c r="BQ227" s="180" t="s">
        <v>2481</v>
      </c>
      <c r="BR227" s="180" t="s">
        <v>2616</v>
      </c>
      <c r="BS227" s="180" t="s">
        <v>2606</v>
      </c>
      <c r="BT227" s="180" t="s">
        <v>1688</v>
      </c>
      <c r="BU227" s="180" t="s">
        <v>1701</v>
      </c>
      <c r="BV227" s="180" t="s">
        <v>2564</v>
      </c>
      <c r="BW227" s="180" t="s">
        <v>1699</v>
      </c>
      <c r="BX227" s="180"/>
      <c r="BY227" s="180" t="s">
        <v>2607</v>
      </c>
      <c r="BZ227" s="180" t="s">
        <v>2012</v>
      </c>
      <c r="CA227" s="180" t="s">
        <v>1695</v>
      </c>
      <c r="CB227" s="180"/>
      <c r="CC227" s="180"/>
      <c r="CD227" s="180"/>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984</v>
      </c>
      <c r="B228" s="180" t="s">
        <v>1022</v>
      </c>
      <c r="C228" s="180"/>
      <c r="D228" s="180">
        <v>1305246</v>
      </c>
      <c r="E228" s="180">
        <v>10597374</v>
      </c>
      <c r="F228" s="180"/>
      <c r="G228" s="180">
        <v>24564498</v>
      </c>
      <c r="H228" s="180">
        <v>2479498</v>
      </c>
      <c r="I228" s="180">
        <v>139490</v>
      </c>
      <c r="J228" s="180">
        <v>673102</v>
      </c>
      <c r="K228" s="180">
        <v>976292</v>
      </c>
      <c r="L228" s="180">
        <v>34727004</v>
      </c>
      <c r="M228" s="180"/>
      <c r="N228" s="180">
        <v>411089</v>
      </c>
      <c r="O228" s="180"/>
      <c r="P228" s="180">
        <v>21211736</v>
      </c>
      <c r="Q228" s="180">
        <v>10174622</v>
      </c>
      <c r="R228" s="180">
        <v>3470290</v>
      </c>
      <c r="S228" s="180">
        <v>6924772</v>
      </c>
      <c r="T228" s="180">
        <v>108964</v>
      </c>
      <c r="U228" s="180">
        <v>11207178</v>
      </c>
      <c r="V228" s="180">
        <v>9475</v>
      </c>
      <c r="W228" s="180">
        <v>5072733</v>
      </c>
      <c r="X228" s="180">
        <v>10551065</v>
      </c>
      <c r="Y228" s="180">
        <v>3348552</v>
      </c>
      <c r="Z228" s="180">
        <v>700036</v>
      </c>
      <c r="AA228" s="180">
        <v>4510224</v>
      </c>
      <c r="AB228" s="180">
        <v>746490</v>
      </c>
      <c r="AC228" s="180">
        <v>253865</v>
      </c>
      <c r="AD228" s="180">
        <v>567304</v>
      </c>
      <c r="AE228" s="180">
        <v>1946650</v>
      </c>
      <c r="AF228" s="180">
        <v>37269</v>
      </c>
      <c r="AG228" s="180">
        <v>10140</v>
      </c>
      <c r="AH228" s="180">
        <v>45225</v>
      </c>
      <c r="AI228" s="180">
        <v>1952244</v>
      </c>
      <c r="AJ228" s="180">
        <v>3385643</v>
      </c>
      <c r="AK228" s="180">
        <v>86810</v>
      </c>
      <c r="AL228" s="180">
        <v>12151</v>
      </c>
      <c r="AM228" s="180">
        <v>9958406</v>
      </c>
      <c r="AN228" s="180">
        <v>10039257</v>
      </c>
      <c r="AO228" s="180"/>
      <c r="AP228" s="180">
        <v>2881149</v>
      </c>
      <c r="AQ228" s="180">
        <v>11851784</v>
      </c>
      <c r="AR228" s="180"/>
      <c r="AS228" s="180"/>
      <c r="AT228" s="180"/>
      <c r="AU228" s="180">
        <v>5638718</v>
      </c>
      <c r="AV228" s="180">
        <v>31041</v>
      </c>
      <c r="AW228" s="180"/>
      <c r="AX228" s="180">
        <v>2261627</v>
      </c>
      <c r="AY228" s="180">
        <v>1838606</v>
      </c>
      <c r="AZ228" s="180"/>
      <c r="BA228" s="180">
        <v>31514</v>
      </c>
      <c r="BB228" s="180">
        <v>1756002</v>
      </c>
      <c r="BC228" s="180"/>
      <c r="BD228" s="180">
        <v>36646</v>
      </c>
      <c r="BE228" s="180">
        <v>10670865</v>
      </c>
      <c r="BF228" s="180"/>
      <c r="BG228" s="180"/>
      <c r="BH228" s="180">
        <v>1766289</v>
      </c>
      <c r="BI228" s="180">
        <v>2099070</v>
      </c>
      <c r="BJ228" s="180">
        <v>189032</v>
      </c>
      <c r="BK228" s="180">
        <v>8344095</v>
      </c>
      <c r="BL228" s="180">
        <v>2349185</v>
      </c>
      <c r="BM228" s="180">
        <v>48272</v>
      </c>
      <c r="BN228" s="180">
        <v>3039883</v>
      </c>
      <c r="BO228" s="180">
        <v>767802</v>
      </c>
      <c r="BP228" s="180">
        <v>598752</v>
      </c>
      <c r="BQ228" s="180">
        <v>1208365</v>
      </c>
      <c r="BR228" s="180">
        <v>935311</v>
      </c>
      <c r="BS228" s="180">
        <v>15309355</v>
      </c>
      <c r="BT228" s="180">
        <v>869087</v>
      </c>
      <c r="BU228" s="180">
        <v>1656834</v>
      </c>
      <c r="BV228" s="180">
        <v>267478</v>
      </c>
      <c r="BW228" s="180">
        <v>447936</v>
      </c>
      <c r="BX228" s="180"/>
      <c r="BY228" s="180">
        <v>11287</v>
      </c>
      <c r="BZ228" s="180">
        <v>12631940</v>
      </c>
      <c r="CA228" s="180">
        <v>35790</v>
      </c>
      <c r="CB228" s="180"/>
      <c r="CC228" s="180"/>
      <c r="CD228" s="180"/>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985</v>
      </c>
      <c r="B229" s="180" t="s">
        <v>1023</v>
      </c>
      <c r="C229" s="180"/>
      <c r="D229" s="180">
        <v>1304473</v>
      </c>
      <c r="E229" s="180">
        <v>10037235</v>
      </c>
      <c r="F229" s="180"/>
      <c r="G229" s="180">
        <v>24414925</v>
      </c>
      <c r="H229" s="180">
        <v>2448390</v>
      </c>
      <c r="I229" s="180">
        <v>137691</v>
      </c>
      <c r="J229" s="180">
        <v>583000</v>
      </c>
      <c r="K229" s="180">
        <v>970600</v>
      </c>
      <c r="L229" s="180">
        <v>32860158</v>
      </c>
      <c r="M229" s="180"/>
      <c r="N229" s="180">
        <v>403791</v>
      </c>
      <c r="O229" s="180"/>
      <c r="P229" s="180">
        <v>20401961</v>
      </c>
      <c r="Q229" s="180">
        <v>9961049</v>
      </c>
      <c r="R229" s="180">
        <v>3397380</v>
      </c>
      <c r="S229" s="180">
        <v>6860000</v>
      </c>
      <c r="T229" s="180">
        <v>90855</v>
      </c>
      <c r="U229" s="180">
        <v>10836650</v>
      </c>
      <c r="V229" s="180">
        <v>8600</v>
      </c>
      <c r="W229" s="180">
        <v>4890002</v>
      </c>
      <c r="X229" s="180">
        <v>10561463</v>
      </c>
      <c r="Y229" s="180">
        <v>3293500</v>
      </c>
      <c r="Z229" s="180">
        <v>691331</v>
      </c>
      <c r="AA229" s="180">
        <v>4429782</v>
      </c>
      <c r="AB229" s="180">
        <v>735584</v>
      </c>
      <c r="AC229" s="180">
        <v>253625</v>
      </c>
      <c r="AD229" s="180">
        <v>564887</v>
      </c>
      <c r="AE229" s="180">
        <v>1849942</v>
      </c>
      <c r="AF229" s="180">
        <v>36058</v>
      </c>
      <c r="AG229" s="180">
        <v>9900</v>
      </c>
      <c r="AH229" s="180">
        <v>42000</v>
      </c>
      <c r="AI229" s="180">
        <v>1865200</v>
      </c>
      <c r="AJ229" s="180">
        <v>3269190</v>
      </c>
      <c r="AK229" s="180">
        <v>78000</v>
      </c>
      <c r="AL229" s="180">
        <v>11000</v>
      </c>
      <c r="AM229" s="180">
        <v>9675000</v>
      </c>
      <c r="AN229" s="180">
        <v>9389590</v>
      </c>
      <c r="AO229" s="180"/>
      <c r="AP229" s="180">
        <v>2765490</v>
      </c>
      <c r="AQ229" s="180">
        <v>11151500</v>
      </c>
      <c r="AR229" s="180"/>
      <c r="AS229" s="180"/>
      <c r="AT229" s="180"/>
      <c r="AU229" s="180">
        <v>5550000</v>
      </c>
      <c r="AV229" s="180">
        <v>33000</v>
      </c>
      <c r="AW229" s="180"/>
      <c r="AX229" s="180">
        <v>1667000</v>
      </c>
      <c r="AY229" s="180">
        <v>1655750</v>
      </c>
      <c r="AZ229" s="180"/>
      <c r="BA229" s="180">
        <v>24717</v>
      </c>
      <c r="BB229" s="180">
        <v>1682825</v>
      </c>
      <c r="BC229" s="180"/>
      <c r="BD229" s="180">
        <v>37000</v>
      </c>
      <c r="BE229" s="180">
        <v>10740140</v>
      </c>
      <c r="BF229" s="180"/>
      <c r="BG229" s="180"/>
      <c r="BH229" s="180">
        <v>1744000</v>
      </c>
      <c r="BI229" s="180">
        <v>1998091</v>
      </c>
      <c r="BJ229" s="180">
        <v>194700</v>
      </c>
      <c r="BK229" s="180">
        <v>8482312</v>
      </c>
      <c r="BL229" s="180">
        <v>2361393</v>
      </c>
      <c r="BM229" s="180">
        <v>44047</v>
      </c>
      <c r="BN229" s="180">
        <v>2945144</v>
      </c>
      <c r="BO229" s="180">
        <v>704500</v>
      </c>
      <c r="BP229" s="180">
        <v>598258</v>
      </c>
      <c r="BQ229" s="180">
        <v>1089556</v>
      </c>
      <c r="BR229" s="180">
        <v>931082</v>
      </c>
      <c r="BS229" s="180">
        <v>15034323</v>
      </c>
      <c r="BT229" s="180">
        <v>831200</v>
      </c>
      <c r="BU229" s="180">
        <v>1595075</v>
      </c>
      <c r="BV229" s="180">
        <v>257200</v>
      </c>
      <c r="BW229" s="180">
        <v>478000</v>
      </c>
      <c r="BX229" s="180"/>
      <c r="BY229" s="180">
        <v>9862</v>
      </c>
      <c r="BZ229" s="180">
        <v>12569424</v>
      </c>
      <c r="CA229" s="180">
        <v>35000</v>
      </c>
      <c r="CB229" s="180"/>
      <c r="CC229" s="180"/>
      <c r="CD229" s="180"/>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986</v>
      </c>
      <c r="B230" s="180" t="s">
        <v>594</v>
      </c>
      <c r="C230" s="180"/>
      <c r="D230" s="180">
        <v>0</v>
      </c>
      <c r="E230" s="180">
        <v>0</v>
      </c>
      <c r="F230" s="180"/>
      <c r="G230" s="180">
        <v>372310</v>
      </c>
      <c r="H230" s="180">
        <v>0</v>
      </c>
      <c r="I230" s="180">
        <v>0</v>
      </c>
      <c r="J230" s="180">
        <v>0</v>
      </c>
      <c r="K230" s="180">
        <v>0</v>
      </c>
      <c r="L230" s="180">
        <v>0</v>
      </c>
      <c r="M230" s="180"/>
      <c r="N230" s="180">
        <v>0</v>
      </c>
      <c r="O230" s="180"/>
      <c r="P230" s="180">
        <v>0</v>
      </c>
      <c r="Q230" s="180">
        <v>0</v>
      </c>
      <c r="R230" s="180">
        <v>0</v>
      </c>
      <c r="S230" s="180">
        <v>0</v>
      </c>
      <c r="T230" s="180">
        <v>0</v>
      </c>
      <c r="U230" s="180">
        <v>40370</v>
      </c>
      <c r="V230" s="180">
        <v>0</v>
      </c>
      <c r="W230" s="180">
        <v>0</v>
      </c>
      <c r="X230" s="180">
        <v>0</v>
      </c>
      <c r="Y230" s="180">
        <v>0</v>
      </c>
      <c r="Z230" s="180">
        <v>0</v>
      </c>
      <c r="AA230" s="180">
        <v>0</v>
      </c>
      <c r="AB230" s="180">
        <v>0</v>
      </c>
      <c r="AC230" s="180">
        <v>0</v>
      </c>
      <c r="AD230" s="180">
        <v>0</v>
      </c>
      <c r="AE230" s="180">
        <v>0</v>
      </c>
      <c r="AF230" s="180">
        <v>0</v>
      </c>
      <c r="AG230" s="180">
        <v>0</v>
      </c>
      <c r="AH230" s="180">
        <v>0</v>
      </c>
      <c r="AI230" s="180">
        <v>0</v>
      </c>
      <c r="AJ230" s="180">
        <v>0</v>
      </c>
      <c r="AK230" s="180">
        <v>0</v>
      </c>
      <c r="AL230" s="180">
        <v>0</v>
      </c>
      <c r="AM230" s="180">
        <v>0</v>
      </c>
      <c r="AN230" s="180">
        <v>0</v>
      </c>
      <c r="AO230" s="180"/>
      <c r="AP230" s="180">
        <v>0</v>
      </c>
      <c r="AQ230" s="180">
        <v>0</v>
      </c>
      <c r="AR230" s="180"/>
      <c r="AS230" s="180"/>
      <c r="AT230" s="180"/>
      <c r="AU230" s="180">
        <v>0</v>
      </c>
      <c r="AV230" s="180">
        <v>0</v>
      </c>
      <c r="AW230" s="180"/>
      <c r="AX230" s="180">
        <v>0</v>
      </c>
      <c r="AY230" s="180">
        <v>0</v>
      </c>
      <c r="AZ230" s="180"/>
      <c r="BA230" s="180">
        <v>0</v>
      </c>
      <c r="BB230" s="180">
        <v>0</v>
      </c>
      <c r="BC230" s="180"/>
      <c r="BD230" s="180">
        <v>0</v>
      </c>
      <c r="BE230" s="180">
        <v>0</v>
      </c>
      <c r="BF230" s="180"/>
      <c r="BG230" s="180"/>
      <c r="BH230" s="180">
        <v>0</v>
      </c>
      <c r="BI230" s="180">
        <v>0</v>
      </c>
      <c r="BJ230" s="180">
        <v>0</v>
      </c>
      <c r="BK230" s="180">
        <v>0</v>
      </c>
      <c r="BL230" s="180">
        <v>0</v>
      </c>
      <c r="BM230" s="180">
        <v>0</v>
      </c>
      <c r="BN230" s="180">
        <v>249285</v>
      </c>
      <c r="BO230" s="180">
        <v>0</v>
      </c>
      <c r="BP230" s="180">
        <v>0</v>
      </c>
      <c r="BQ230" s="180">
        <v>0</v>
      </c>
      <c r="BR230" s="180">
        <v>0</v>
      </c>
      <c r="BS230" s="180">
        <v>0</v>
      </c>
      <c r="BT230" s="180">
        <v>3258</v>
      </c>
      <c r="BU230" s="180">
        <v>0</v>
      </c>
      <c r="BV230" s="180">
        <v>0</v>
      </c>
      <c r="BW230" s="180">
        <v>0</v>
      </c>
      <c r="BX230" s="180"/>
      <c r="BY230" s="180">
        <v>0</v>
      </c>
      <c r="BZ230" s="180">
        <v>2045130</v>
      </c>
      <c r="CA230" s="180">
        <v>0</v>
      </c>
      <c r="CB230" s="180"/>
      <c r="CC230" s="180"/>
      <c r="CD230" s="180"/>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987</v>
      </c>
      <c r="B231" s="180" t="s">
        <v>1024</v>
      </c>
      <c r="C231" s="180"/>
      <c r="D231" s="180">
        <v>0</v>
      </c>
      <c r="E231" s="180">
        <v>0</v>
      </c>
      <c r="F231" s="180"/>
      <c r="G231" s="180">
        <v>0</v>
      </c>
      <c r="H231" s="180">
        <v>0</v>
      </c>
      <c r="I231" s="180">
        <v>0</v>
      </c>
      <c r="J231" s="180">
        <v>0</v>
      </c>
      <c r="K231" s="180">
        <v>0</v>
      </c>
      <c r="L231" s="180">
        <v>0</v>
      </c>
      <c r="M231" s="180"/>
      <c r="N231" s="180">
        <v>0</v>
      </c>
      <c r="O231" s="180"/>
      <c r="P231" s="180">
        <v>0</v>
      </c>
      <c r="Q231" s="180">
        <v>0</v>
      </c>
      <c r="R231" s="180">
        <v>0</v>
      </c>
      <c r="S231" s="180">
        <v>0</v>
      </c>
      <c r="T231" s="180">
        <v>0</v>
      </c>
      <c r="U231" s="180">
        <v>0</v>
      </c>
      <c r="V231" s="180">
        <v>0</v>
      </c>
      <c r="W231" s="180">
        <v>0</v>
      </c>
      <c r="X231" s="180">
        <v>0</v>
      </c>
      <c r="Y231" s="180">
        <v>0</v>
      </c>
      <c r="Z231" s="180">
        <v>0</v>
      </c>
      <c r="AA231" s="180">
        <v>0</v>
      </c>
      <c r="AB231" s="180">
        <v>0</v>
      </c>
      <c r="AC231" s="180">
        <v>0</v>
      </c>
      <c r="AD231" s="180">
        <v>0</v>
      </c>
      <c r="AE231" s="180">
        <v>0</v>
      </c>
      <c r="AF231" s="180">
        <v>0</v>
      </c>
      <c r="AG231" s="180">
        <v>0</v>
      </c>
      <c r="AH231" s="180">
        <v>0</v>
      </c>
      <c r="AI231" s="180">
        <v>0</v>
      </c>
      <c r="AJ231" s="180">
        <v>0</v>
      </c>
      <c r="AK231" s="180">
        <v>0</v>
      </c>
      <c r="AL231" s="180">
        <v>0</v>
      </c>
      <c r="AM231" s="180">
        <v>0</v>
      </c>
      <c r="AN231" s="180">
        <v>0</v>
      </c>
      <c r="AO231" s="180"/>
      <c r="AP231" s="180">
        <v>0</v>
      </c>
      <c r="AQ231" s="180">
        <v>0</v>
      </c>
      <c r="AR231" s="180"/>
      <c r="AS231" s="180"/>
      <c r="AT231" s="180"/>
      <c r="AU231" s="180">
        <v>0</v>
      </c>
      <c r="AV231" s="180">
        <v>0</v>
      </c>
      <c r="AW231" s="180"/>
      <c r="AX231" s="180">
        <v>0</v>
      </c>
      <c r="AY231" s="180">
        <v>0</v>
      </c>
      <c r="AZ231" s="180"/>
      <c r="BA231" s="180">
        <v>0</v>
      </c>
      <c r="BB231" s="180">
        <v>0</v>
      </c>
      <c r="BC231" s="180"/>
      <c r="BD231" s="180">
        <v>0</v>
      </c>
      <c r="BE231" s="180">
        <v>0</v>
      </c>
      <c r="BF231" s="180"/>
      <c r="BG231" s="180"/>
      <c r="BH231" s="180">
        <v>0</v>
      </c>
      <c r="BI231" s="180">
        <v>0</v>
      </c>
      <c r="BJ231" s="180">
        <v>0</v>
      </c>
      <c r="BK231" s="180">
        <v>0</v>
      </c>
      <c r="BL231" s="180">
        <v>0</v>
      </c>
      <c r="BM231" s="180">
        <v>0</v>
      </c>
      <c r="BN231" s="180">
        <v>0</v>
      </c>
      <c r="BO231" s="180">
        <v>0</v>
      </c>
      <c r="BP231" s="180">
        <v>0</v>
      </c>
      <c r="BQ231" s="180">
        <v>0</v>
      </c>
      <c r="BR231" s="180">
        <v>0</v>
      </c>
      <c r="BS231" s="180">
        <v>0</v>
      </c>
      <c r="BT231" s="180">
        <v>0</v>
      </c>
      <c r="BU231" s="180">
        <v>0</v>
      </c>
      <c r="BV231" s="180">
        <v>0</v>
      </c>
      <c r="BW231" s="180">
        <v>0</v>
      </c>
      <c r="BX231" s="180"/>
      <c r="BY231" s="180">
        <v>0</v>
      </c>
      <c r="BZ231" s="180">
        <v>0</v>
      </c>
      <c r="CA231" s="180">
        <v>0</v>
      </c>
      <c r="CB231" s="180"/>
      <c r="CC231" s="180"/>
      <c r="CD231" s="180"/>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988</v>
      </c>
      <c r="B232" s="180" t="s">
        <v>1025</v>
      </c>
      <c r="C232" s="180"/>
      <c r="D232" s="180">
        <v>2</v>
      </c>
      <c r="E232" s="180">
        <v>2</v>
      </c>
      <c r="F232" s="180"/>
      <c r="G232" s="180">
        <v>2</v>
      </c>
      <c r="H232" s="180">
        <v>2</v>
      </c>
      <c r="I232" s="180">
        <v>2</v>
      </c>
      <c r="J232" s="180">
        <v>2</v>
      </c>
      <c r="K232" s="180">
        <v>2</v>
      </c>
      <c r="L232" s="180">
        <v>2</v>
      </c>
      <c r="M232" s="180"/>
      <c r="N232" s="180">
        <v>2</v>
      </c>
      <c r="O232" s="180"/>
      <c r="P232" s="180">
        <v>0</v>
      </c>
      <c r="Q232" s="180">
        <v>2</v>
      </c>
      <c r="R232" s="180">
        <v>0</v>
      </c>
      <c r="S232" s="180">
        <v>2</v>
      </c>
      <c r="T232" s="180">
        <v>2</v>
      </c>
      <c r="U232" s="180">
        <v>2</v>
      </c>
      <c r="V232" s="180">
        <v>2</v>
      </c>
      <c r="W232" s="180">
        <v>2</v>
      </c>
      <c r="X232" s="180">
        <v>2</v>
      </c>
      <c r="Y232" s="180">
        <v>2</v>
      </c>
      <c r="Z232" s="180">
        <v>2</v>
      </c>
      <c r="AA232" s="180">
        <v>2</v>
      </c>
      <c r="AB232" s="180">
        <v>0</v>
      </c>
      <c r="AC232" s="180">
        <v>2</v>
      </c>
      <c r="AD232" s="180">
        <v>2</v>
      </c>
      <c r="AE232" s="180">
        <v>2</v>
      </c>
      <c r="AF232" s="180">
        <v>2</v>
      </c>
      <c r="AG232" s="180">
        <v>2</v>
      </c>
      <c r="AH232" s="180">
        <v>2</v>
      </c>
      <c r="AI232" s="180">
        <v>2</v>
      </c>
      <c r="AJ232" s="180">
        <v>2</v>
      </c>
      <c r="AK232" s="180">
        <v>2</v>
      </c>
      <c r="AL232" s="180">
        <v>2</v>
      </c>
      <c r="AM232" s="180">
        <v>2</v>
      </c>
      <c r="AN232" s="180">
        <v>2</v>
      </c>
      <c r="AO232" s="180"/>
      <c r="AP232" s="180">
        <v>2</v>
      </c>
      <c r="AQ232" s="180">
        <v>2</v>
      </c>
      <c r="AR232" s="180"/>
      <c r="AS232" s="180"/>
      <c r="AT232" s="180"/>
      <c r="AU232" s="180">
        <v>2</v>
      </c>
      <c r="AV232" s="180">
        <v>2</v>
      </c>
      <c r="AW232" s="180"/>
      <c r="AX232" s="180">
        <v>2</v>
      </c>
      <c r="AY232" s="180">
        <v>2</v>
      </c>
      <c r="AZ232" s="180"/>
      <c r="BA232" s="180">
        <v>2</v>
      </c>
      <c r="BB232" s="180">
        <v>2</v>
      </c>
      <c r="BC232" s="180"/>
      <c r="BD232" s="180">
        <v>2</v>
      </c>
      <c r="BE232" s="180">
        <v>2</v>
      </c>
      <c r="BF232" s="180"/>
      <c r="BG232" s="180"/>
      <c r="BH232" s="180">
        <v>2</v>
      </c>
      <c r="BI232" s="180">
        <v>2</v>
      </c>
      <c r="BJ232" s="180">
        <v>2</v>
      </c>
      <c r="BK232" s="180">
        <v>2</v>
      </c>
      <c r="BL232" s="180">
        <v>2</v>
      </c>
      <c r="BM232" s="180">
        <v>2</v>
      </c>
      <c r="BN232" s="180">
        <v>2</v>
      </c>
      <c r="BO232" s="180">
        <v>2</v>
      </c>
      <c r="BP232" s="180">
        <v>2</v>
      </c>
      <c r="BQ232" s="180">
        <v>2</v>
      </c>
      <c r="BR232" s="180">
        <v>2</v>
      </c>
      <c r="BS232" s="180">
        <v>2</v>
      </c>
      <c r="BT232" s="180">
        <v>2</v>
      </c>
      <c r="BU232" s="180">
        <v>2</v>
      </c>
      <c r="BV232" s="180">
        <v>2</v>
      </c>
      <c r="BW232" s="180">
        <v>2</v>
      </c>
      <c r="BX232" s="180"/>
      <c r="BY232" s="180">
        <v>2</v>
      </c>
      <c r="BZ232" s="180">
        <v>2</v>
      </c>
      <c r="CA232" s="180">
        <v>2</v>
      </c>
      <c r="CB232" s="180"/>
      <c r="CC232" s="180"/>
      <c r="CD232" s="180"/>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989</v>
      </c>
      <c r="B233" s="180" t="s">
        <v>1026</v>
      </c>
      <c r="C233" s="180"/>
      <c r="D233" s="180">
        <v>0</v>
      </c>
      <c r="E233" s="180">
        <v>0</v>
      </c>
      <c r="F233" s="180"/>
      <c r="G233" s="180">
        <v>0</v>
      </c>
      <c r="H233" s="180">
        <v>3</v>
      </c>
      <c r="I233" s="180">
        <v>0</v>
      </c>
      <c r="J233" s="180">
        <v>3</v>
      </c>
      <c r="K233" s="180">
        <v>3</v>
      </c>
      <c r="L233" s="180">
        <v>3</v>
      </c>
      <c r="M233" s="180"/>
      <c r="N233" s="180">
        <v>3</v>
      </c>
      <c r="O233" s="180"/>
      <c r="P233" s="180">
        <v>0</v>
      </c>
      <c r="Q233" s="180">
        <v>0</v>
      </c>
      <c r="R233" s="180">
        <v>0</v>
      </c>
      <c r="S233" s="180">
        <v>3</v>
      </c>
      <c r="T233" s="180">
        <v>0</v>
      </c>
      <c r="U233" s="180">
        <v>3</v>
      </c>
      <c r="V233" s="180">
        <v>0</v>
      </c>
      <c r="W233" s="180">
        <v>0</v>
      </c>
      <c r="X233" s="180">
        <v>3</v>
      </c>
      <c r="Y233" s="180">
        <v>3</v>
      </c>
      <c r="Z233" s="180">
        <v>3</v>
      </c>
      <c r="AA233" s="180">
        <v>3</v>
      </c>
      <c r="AB233" s="180">
        <v>0</v>
      </c>
      <c r="AC233" s="180">
        <v>0</v>
      </c>
      <c r="AD233" s="180">
        <v>3</v>
      </c>
      <c r="AE233" s="180">
        <v>3</v>
      </c>
      <c r="AF233" s="180">
        <v>3</v>
      </c>
      <c r="AG233" s="180">
        <v>0</v>
      </c>
      <c r="AH233" s="180">
        <v>3</v>
      </c>
      <c r="AI233" s="180">
        <v>3</v>
      </c>
      <c r="AJ233" s="180">
        <v>3</v>
      </c>
      <c r="AK233" s="180">
        <v>0</v>
      </c>
      <c r="AL233" s="180">
        <v>0</v>
      </c>
      <c r="AM233" s="180">
        <v>3</v>
      </c>
      <c r="AN233" s="180">
        <v>0</v>
      </c>
      <c r="AO233" s="180"/>
      <c r="AP233" s="180">
        <v>3</v>
      </c>
      <c r="AQ233" s="180">
        <v>3</v>
      </c>
      <c r="AR233" s="180"/>
      <c r="AS233" s="180"/>
      <c r="AT233" s="180"/>
      <c r="AU233" s="180">
        <v>3</v>
      </c>
      <c r="AV233" s="180">
        <v>3</v>
      </c>
      <c r="AW233" s="180"/>
      <c r="AX233" s="180">
        <v>3</v>
      </c>
      <c r="AY233" s="180">
        <v>0</v>
      </c>
      <c r="AZ233" s="180"/>
      <c r="BA233" s="180">
        <v>3</v>
      </c>
      <c r="BB233" s="180">
        <v>3</v>
      </c>
      <c r="BC233" s="180"/>
      <c r="BD233" s="180">
        <v>3</v>
      </c>
      <c r="BE233" s="180">
        <v>3</v>
      </c>
      <c r="BF233" s="180"/>
      <c r="BG233" s="180"/>
      <c r="BH233" s="180">
        <v>3</v>
      </c>
      <c r="BI233" s="180">
        <v>3</v>
      </c>
      <c r="BJ233" s="180">
        <v>3</v>
      </c>
      <c r="BK233" s="180">
        <v>0</v>
      </c>
      <c r="BL233" s="180">
        <v>3</v>
      </c>
      <c r="BM233" s="180">
        <v>0</v>
      </c>
      <c r="BN233" s="180">
        <v>3</v>
      </c>
      <c r="BO233" s="180">
        <v>3</v>
      </c>
      <c r="BP233" s="180">
        <v>3</v>
      </c>
      <c r="BQ233" s="180">
        <v>3</v>
      </c>
      <c r="BR233" s="180">
        <v>3</v>
      </c>
      <c r="BS233" s="180">
        <v>3</v>
      </c>
      <c r="BT233" s="180">
        <v>3</v>
      </c>
      <c r="BU233" s="180">
        <v>0</v>
      </c>
      <c r="BV233" s="180">
        <v>3</v>
      </c>
      <c r="BW233" s="180">
        <v>3</v>
      </c>
      <c r="BX233" s="180"/>
      <c r="BY233" s="180">
        <v>0</v>
      </c>
      <c r="BZ233" s="180">
        <v>3</v>
      </c>
      <c r="CA233" s="180">
        <v>3</v>
      </c>
      <c r="CB233" s="180"/>
      <c r="CC233" s="180"/>
      <c r="CD233" s="180"/>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990</v>
      </c>
      <c r="B234" s="180" t="s">
        <v>583</v>
      </c>
      <c r="C234" s="180"/>
      <c r="D234" s="180">
        <v>0</v>
      </c>
      <c r="E234" s="180">
        <v>0</v>
      </c>
      <c r="F234" s="180"/>
      <c r="G234" s="180">
        <v>0</v>
      </c>
      <c r="H234" s="180">
        <v>0</v>
      </c>
      <c r="I234" s="180">
        <v>0</v>
      </c>
      <c r="J234" s="180">
        <v>0</v>
      </c>
      <c r="K234" s="180">
        <v>0</v>
      </c>
      <c r="L234" s="180">
        <v>0</v>
      </c>
      <c r="M234" s="180"/>
      <c r="N234" s="180">
        <v>0</v>
      </c>
      <c r="O234" s="180"/>
      <c r="P234" s="180">
        <v>0</v>
      </c>
      <c r="Q234" s="180">
        <v>0</v>
      </c>
      <c r="R234" s="180">
        <v>0</v>
      </c>
      <c r="S234" s="180">
        <v>0</v>
      </c>
      <c r="T234" s="180">
        <v>0</v>
      </c>
      <c r="U234" s="180">
        <v>422330</v>
      </c>
      <c r="V234" s="180">
        <v>0</v>
      </c>
      <c r="W234" s="180">
        <v>0</v>
      </c>
      <c r="X234" s="180">
        <v>0</v>
      </c>
      <c r="Y234" s="180">
        <v>0</v>
      </c>
      <c r="Z234" s="180">
        <v>0</v>
      </c>
      <c r="AA234" s="180">
        <v>0</v>
      </c>
      <c r="AB234" s="180">
        <v>0</v>
      </c>
      <c r="AC234" s="180">
        <v>0</v>
      </c>
      <c r="AD234" s="180">
        <v>0</v>
      </c>
      <c r="AE234" s="180">
        <v>0</v>
      </c>
      <c r="AF234" s="180">
        <v>0</v>
      </c>
      <c r="AG234" s="180">
        <v>0</v>
      </c>
      <c r="AH234" s="180">
        <v>0</v>
      </c>
      <c r="AI234" s="180">
        <v>0</v>
      </c>
      <c r="AJ234" s="180">
        <v>87015</v>
      </c>
      <c r="AK234" s="180">
        <v>0</v>
      </c>
      <c r="AL234" s="180">
        <v>0</v>
      </c>
      <c r="AM234" s="180">
        <v>0</v>
      </c>
      <c r="AN234" s="180">
        <v>0</v>
      </c>
      <c r="AO234" s="180"/>
      <c r="AP234" s="180">
        <v>0</v>
      </c>
      <c r="AQ234" s="180">
        <v>0</v>
      </c>
      <c r="AR234" s="180"/>
      <c r="AS234" s="180"/>
      <c r="AT234" s="180"/>
      <c r="AU234" s="180">
        <v>30465</v>
      </c>
      <c r="AV234" s="180">
        <v>0</v>
      </c>
      <c r="AW234" s="180"/>
      <c r="AX234" s="180">
        <v>0</v>
      </c>
      <c r="AY234" s="180">
        <v>0</v>
      </c>
      <c r="AZ234" s="180"/>
      <c r="BA234" s="180">
        <v>0</v>
      </c>
      <c r="BB234" s="180">
        <v>0</v>
      </c>
      <c r="BC234" s="180"/>
      <c r="BD234" s="180">
        <v>0</v>
      </c>
      <c r="BE234" s="180">
        <v>0</v>
      </c>
      <c r="BF234" s="180"/>
      <c r="BG234" s="180"/>
      <c r="BH234" s="180">
        <v>0</v>
      </c>
      <c r="BI234" s="180">
        <v>0</v>
      </c>
      <c r="BJ234" s="180">
        <v>0</v>
      </c>
      <c r="BK234" s="180">
        <v>0</v>
      </c>
      <c r="BL234" s="180">
        <v>0</v>
      </c>
      <c r="BM234" s="180">
        <v>0</v>
      </c>
      <c r="BN234" s="180">
        <v>0</v>
      </c>
      <c r="BO234" s="180">
        <v>0</v>
      </c>
      <c r="BP234" s="180">
        <v>0</v>
      </c>
      <c r="BQ234" s="180">
        <v>0</v>
      </c>
      <c r="BR234" s="180">
        <v>0</v>
      </c>
      <c r="BS234" s="180">
        <v>0</v>
      </c>
      <c r="BT234" s="180">
        <v>0</v>
      </c>
      <c r="BU234" s="180">
        <v>0</v>
      </c>
      <c r="BV234" s="180">
        <v>0</v>
      </c>
      <c r="BW234" s="180">
        <v>0</v>
      </c>
      <c r="BX234" s="180"/>
      <c r="BY234" s="180">
        <v>0</v>
      </c>
      <c r="BZ234" s="180">
        <v>0</v>
      </c>
      <c r="CA234" s="180">
        <v>0</v>
      </c>
      <c r="CB234" s="180"/>
      <c r="CC234" s="180"/>
      <c r="CD234" s="180"/>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991</v>
      </c>
      <c r="B235" s="180" t="s">
        <v>1027</v>
      </c>
      <c r="C235" s="180"/>
      <c r="D235" s="180">
        <v>23</v>
      </c>
      <c r="E235" s="180">
        <v>23</v>
      </c>
      <c r="F235" s="180"/>
      <c r="G235" s="180">
        <v>23</v>
      </c>
      <c r="H235" s="180">
        <v>23</v>
      </c>
      <c r="I235" s="180">
        <v>22</v>
      </c>
      <c r="J235" s="180">
        <v>22</v>
      </c>
      <c r="K235" s="180">
        <v>22</v>
      </c>
      <c r="L235" s="180">
        <v>23</v>
      </c>
      <c r="M235" s="180"/>
      <c r="N235" s="180">
        <v>23</v>
      </c>
      <c r="O235" s="180"/>
      <c r="P235" s="180">
        <v>22</v>
      </c>
      <c r="Q235" s="180">
        <v>23</v>
      </c>
      <c r="R235" s="180">
        <v>23</v>
      </c>
      <c r="S235" s="180">
        <v>23</v>
      </c>
      <c r="T235" s="180">
        <v>23</v>
      </c>
      <c r="U235" s="180">
        <v>23</v>
      </c>
      <c r="V235" s="180">
        <v>23</v>
      </c>
      <c r="W235" s="180">
        <v>0</v>
      </c>
      <c r="X235" s="180">
        <v>23</v>
      </c>
      <c r="Y235" s="180">
        <v>22</v>
      </c>
      <c r="Z235" s="180">
        <v>23</v>
      </c>
      <c r="AA235" s="180">
        <v>20</v>
      </c>
      <c r="AB235" s="180">
        <v>0</v>
      </c>
      <c r="AC235" s="180">
        <v>20</v>
      </c>
      <c r="AD235" s="180">
        <v>22</v>
      </c>
      <c r="AE235" s="180">
        <v>23</v>
      </c>
      <c r="AF235" s="180">
        <v>23</v>
      </c>
      <c r="AG235" s="180">
        <v>20</v>
      </c>
      <c r="AH235" s="180">
        <v>23</v>
      </c>
      <c r="AI235" s="180">
        <v>20</v>
      </c>
      <c r="AJ235" s="180">
        <v>23</v>
      </c>
      <c r="AK235" s="180">
        <v>23</v>
      </c>
      <c r="AL235" s="180">
        <v>23</v>
      </c>
      <c r="AM235" s="180">
        <v>23</v>
      </c>
      <c r="AN235" s="180">
        <v>23</v>
      </c>
      <c r="AO235" s="180"/>
      <c r="AP235" s="180">
        <v>22</v>
      </c>
      <c r="AQ235" s="180">
        <v>23</v>
      </c>
      <c r="AR235" s="180"/>
      <c r="AS235" s="180"/>
      <c r="AT235" s="180"/>
      <c r="AU235" s="180">
        <v>20</v>
      </c>
      <c r="AV235" s="180">
        <v>23</v>
      </c>
      <c r="AW235" s="180"/>
      <c r="AX235" s="180">
        <v>23</v>
      </c>
      <c r="AY235" s="180">
        <v>20</v>
      </c>
      <c r="AZ235" s="180"/>
      <c r="BA235" s="180">
        <v>23</v>
      </c>
      <c r="BB235" s="180">
        <v>23</v>
      </c>
      <c r="BC235" s="180"/>
      <c r="BD235" s="180">
        <v>23</v>
      </c>
      <c r="BE235" s="180">
        <v>23</v>
      </c>
      <c r="BF235" s="180"/>
      <c r="BG235" s="180"/>
      <c r="BH235" s="180">
        <v>23</v>
      </c>
      <c r="BI235" s="180">
        <v>23</v>
      </c>
      <c r="BJ235" s="180">
        <v>23</v>
      </c>
      <c r="BK235" s="180">
        <v>20</v>
      </c>
      <c r="BL235" s="180">
        <v>23</v>
      </c>
      <c r="BM235" s="180">
        <v>0</v>
      </c>
      <c r="BN235" s="180">
        <v>20</v>
      </c>
      <c r="BO235" s="180">
        <v>23</v>
      </c>
      <c r="BP235" s="180">
        <v>23</v>
      </c>
      <c r="BQ235" s="180">
        <v>23</v>
      </c>
      <c r="BR235" s="180">
        <v>23</v>
      </c>
      <c r="BS235" s="180">
        <v>20</v>
      </c>
      <c r="BT235" s="180">
        <v>22</v>
      </c>
      <c r="BU235" s="180">
        <v>22</v>
      </c>
      <c r="BV235" s="180">
        <v>23</v>
      </c>
      <c r="BW235" s="180">
        <v>23</v>
      </c>
      <c r="BX235" s="180"/>
      <c r="BY235" s="180">
        <v>0</v>
      </c>
      <c r="BZ235" s="180">
        <v>20</v>
      </c>
      <c r="CA235" s="180">
        <v>23</v>
      </c>
      <c r="CB235" s="180"/>
      <c r="CC235" s="180"/>
      <c r="CD235" s="180"/>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995</v>
      </c>
      <c r="B236" s="180" t="s">
        <v>275</v>
      </c>
      <c r="C236" s="180"/>
      <c r="D236" s="180">
        <v>0</v>
      </c>
      <c r="E236" s="180">
        <v>0</v>
      </c>
      <c r="F236" s="180">
        <v>0</v>
      </c>
      <c r="G236" s="180">
        <v>0</v>
      </c>
      <c r="H236" s="180">
        <v>0</v>
      </c>
      <c r="I236" s="180">
        <v>0</v>
      </c>
      <c r="J236" s="180">
        <v>0</v>
      </c>
      <c r="K236" s="180">
        <v>0</v>
      </c>
      <c r="L236" s="180">
        <v>0</v>
      </c>
      <c r="M236" s="180">
        <v>0</v>
      </c>
      <c r="N236" s="180">
        <v>0</v>
      </c>
      <c r="O236" s="180">
        <v>0</v>
      </c>
      <c r="P236" s="180">
        <v>0</v>
      </c>
      <c r="Q236" s="180">
        <v>0</v>
      </c>
      <c r="R236" s="180">
        <v>0</v>
      </c>
      <c r="S236" s="180">
        <v>0.09</v>
      </c>
      <c r="T236" s="180">
        <v>0</v>
      </c>
      <c r="U236" s="180">
        <v>0.08</v>
      </c>
      <c r="V236" s="180">
        <v>0</v>
      </c>
      <c r="W236" s="180">
        <v>0</v>
      </c>
      <c r="X236" s="180">
        <v>0</v>
      </c>
      <c r="Y236" s="180">
        <v>0</v>
      </c>
      <c r="Z236" s="180">
        <v>0.08</v>
      </c>
      <c r="AA236" s="180">
        <v>0</v>
      </c>
      <c r="AB236" s="180">
        <v>0</v>
      </c>
      <c r="AC236" s="180">
        <v>0</v>
      </c>
      <c r="AD236" s="180">
        <v>0</v>
      </c>
      <c r="AE236" s="180">
        <v>7.0000000000000007E-2</v>
      </c>
      <c r="AF236" s="180">
        <v>0</v>
      </c>
      <c r="AG236" s="180">
        <v>0</v>
      </c>
      <c r="AH236" s="180">
        <v>0</v>
      </c>
      <c r="AI236" s="180">
        <v>0</v>
      </c>
      <c r="AJ236" s="180">
        <v>0.08</v>
      </c>
      <c r="AK236" s="180">
        <v>0</v>
      </c>
      <c r="AL236" s="180">
        <v>0</v>
      </c>
      <c r="AM236" s="180">
        <v>0</v>
      </c>
      <c r="AN236" s="180">
        <v>0</v>
      </c>
      <c r="AO236" s="180">
        <v>0</v>
      </c>
      <c r="AP236" s="180">
        <v>0</v>
      </c>
      <c r="AQ236" s="180">
        <v>7.0000000000000007E-2</v>
      </c>
      <c r="AR236" s="180">
        <v>0</v>
      </c>
      <c r="AS236" s="180">
        <v>0</v>
      </c>
      <c r="AT236" s="180">
        <v>0</v>
      </c>
      <c r="AU236" s="180">
        <v>7.0000000000000007E-2</v>
      </c>
      <c r="AV236" s="180">
        <v>0</v>
      </c>
      <c r="AW236" s="180">
        <v>0</v>
      </c>
      <c r="AX236" s="180">
        <v>0</v>
      </c>
      <c r="AY236" s="180">
        <v>0</v>
      </c>
      <c r="AZ236" s="180">
        <v>0.08</v>
      </c>
      <c r="BA236" s="180">
        <v>0</v>
      </c>
      <c r="BB236" s="180">
        <v>0</v>
      </c>
      <c r="BC236" s="180">
        <v>0.09</v>
      </c>
      <c r="BD236" s="180">
        <v>0</v>
      </c>
      <c r="BE236" s="180">
        <v>0.08</v>
      </c>
      <c r="BF236" s="180">
        <v>0.09</v>
      </c>
      <c r="BG236" s="180">
        <v>0</v>
      </c>
      <c r="BH236" s="180">
        <v>0</v>
      </c>
      <c r="BI236" s="180">
        <v>0</v>
      </c>
      <c r="BJ236" s="180">
        <v>0</v>
      </c>
      <c r="BK236" s="180">
        <v>7.0000000000000007E-2</v>
      </c>
      <c r="BL236" s="180">
        <v>0</v>
      </c>
      <c r="BM236" s="180">
        <v>0</v>
      </c>
      <c r="BN236" s="180">
        <v>0</v>
      </c>
      <c r="BO236" s="180">
        <v>0</v>
      </c>
      <c r="BP236" s="180">
        <v>0</v>
      </c>
      <c r="BQ236" s="180">
        <v>0</v>
      </c>
      <c r="BR236" s="180">
        <v>0</v>
      </c>
      <c r="BS236" s="180">
        <v>0</v>
      </c>
      <c r="BT236" s="180">
        <v>0</v>
      </c>
      <c r="BU236" s="180">
        <v>0</v>
      </c>
      <c r="BV236" s="180">
        <v>0</v>
      </c>
      <c r="BW236" s="180">
        <v>0</v>
      </c>
      <c r="BX236" s="180">
        <v>0</v>
      </c>
      <c r="BY236" s="180">
        <v>0</v>
      </c>
      <c r="BZ236" s="180">
        <v>0</v>
      </c>
      <c r="CA236" s="180">
        <v>0</v>
      </c>
      <c r="CB236" s="180"/>
      <c r="CC236" s="180"/>
      <c r="CD236" s="180"/>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996</v>
      </c>
      <c r="B237" s="180" t="s">
        <v>276</v>
      </c>
      <c r="C237" s="180"/>
      <c r="D237" s="180">
        <v>0</v>
      </c>
      <c r="E237" s="180">
        <v>0</v>
      </c>
      <c r="F237" s="180">
        <v>0.01</v>
      </c>
      <c r="G237" s="180">
        <v>0.01</v>
      </c>
      <c r="H237" s="180">
        <v>0.01</v>
      </c>
      <c r="I237" s="180">
        <v>0.01</v>
      </c>
      <c r="J237" s="180">
        <v>0.01</v>
      </c>
      <c r="K237" s="180">
        <v>0.01</v>
      </c>
      <c r="L237" s="180">
        <v>0.01</v>
      </c>
      <c r="M237" s="180">
        <v>0</v>
      </c>
      <c r="N237" s="180">
        <v>0.01</v>
      </c>
      <c r="O237" s="180">
        <v>0.01</v>
      </c>
      <c r="P237" s="180">
        <v>0</v>
      </c>
      <c r="Q237" s="180">
        <v>0.01</v>
      </c>
      <c r="R237" s="180">
        <v>0.01</v>
      </c>
      <c r="S237" s="180">
        <v>0.01</v>
      </c>
      <c r="T237" s="180">
        <v>0.01</v>
      </c>
      <c r="U237" s="180">
        <v>0.01</v>
      </c>
      <c r="V237" s="180">
        <v>0</v>
      </c>
      <c r="W237" s="180">
        <v>0</v>
      </c>
      <c r="X237" s="180">
        <v>0</v>
      </c>
      <c r="Y237" s="180">
        <v>0.01</v>
      </c>
      <c r="Z237" s="180">
        <v>0.01</v>
      </c>
      <c r="AA237" s="180">
        <v>0.01</v>
      </c>
      <c r="AB237" s="180">
        <v>0</v>
      </c>
      <c r="AC237" s="180">
        <v>0.01</v>
      </c>
      <c r="AD237" s="180">
        <v>0.01</v>
      </c>
      <c r="AE237" s="180">
        <v>0.01</v>
      </c>
      <c r="AF237" s="180">
        <v>0.01</v>
      </c>
      <c r="AG237" s="180">
        <v>0</v>
      </c>
      <c r="AH237" s="180">
        <v>0</v>
      </c>
      <c r="AI237" s="180">
        <v>0</v>
      </c>
      <c r="AJ237" s="180">
        <v>0.01</v>
      </c>
      <c r="AK237" s="180">
        <v>0.01</v>
      </c>
      <c r="AL237" s="180">
        <v>0</v>
      </c>
      <c r="AM237" s="180">
        <v>0</v>
      </c>
      <c r="AN237" s="180">
        <v>0.01</v>
      </c>
      <c r="AO237" s="180">
        <v>0.01</v>
      </c>
      <c r="AP237" s="180">
        <v>0</v>
      </c>
      <c r="AQ237" s="180">
        <v>0.01</v>
      </c>
      <c r="AR237" s="180">
        <v>0.01</v>
      </c>
      <c r="AS237" s="180">
        <v>0.01</v>
      </c>
      <c r="AT237" s="180">
        <v>0.01</v>
      </c>
      <c r="AU237" s="180">
        <v>0.01</v>
      </c>
      <c r="AV237" s="180">
        <v>0.01</v>
      </c>
      <c r="AW237" s="180">
        <v>0.01</v>
      </c>
      <c r="AX237" s="180">
        <v>0.01</v>
      </c>
      <c r="AY237" s="180">
        <v>0.01</v>
      </c>
      <c r="AZ237" s="180">
        <v>0.01</v>
      </c>
      <c r="BA237" s="180">
        <v>0.01</v>
      </c>
      <c r="BB237" s="180">
        <v>0.01</v>
      </c>
      <c r="BC237" s="180">
        <v>0.01</v>
      </c>
      <c r="BD237" s="180">
        <v>0</v>
      </c>
      <c r="BE237" s="180">
        <v>0.01</v>
      </c>
      <c r="BF237" s="180">
        <v>0.01</v>
      </c>
      <c r="BG237" s="180">
        <v>0</v>
      </c>
      <c r="BH237" s="180">
        <v>0.01</v>
      </c>
      <c r="BI237" s="180">
        <v>0.01</v>
      </c>
      <c r="BJ237" s="180">
        <v>0.01</v>
      </c>
      <c r="BK237" s="180">
        <v>0.01</v>
      </c>
      <c r="BL237" s="180">
        <v>0.01</v>
      </c>
      <c r="BM237" s="180">
        <v>0</v>
      </c>
      <c r="BN237" s="180">
        <v>0.01</v>
      </c>
      <c r="BO237" s="180">
        <v>0.01</v>
      </c>
      <c r="BP237" s="180">
        <v>0.01</v>
      </c>
      <c r="BQ237" s="180">
        <v>0.01</v>
      </c>
      <c r="BR237" s="180">
        <v>0</v>
      </c>
      <c r="BS237" s="180">
        <v>0</v>
      </c>
      <c r="BT237" s="180">
        <v>0.01</v>
      </c>
      <c r="BU237" s="180">
        <v>0.01</v>
      </c>
      <c r="BV237" s="180">
        <v>0.01</v>
      </c>
      <c r="BW237" s="180">
        <v>0.01</v>
      </c>
      <c r="BX237" s="180">
        <v>0</v>
      </c>
      <c r="BY237" s="180">
        <v>0</v>
      </c>
      <c r="BZ237" s="180">
        <v>0.01</v>
      </c>
      <c r="CA237" s="180">
        <v>0</v>
      </c>
      <c r="CB237" s="180"/>
      <c r="CC237" s="180"/>
      <c r="CD237" s="180"/>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998</v>
      </c>
      <c r="B238" s="180" t="s">
        <v>277</v>
      </c>
      <c r="C238" s="180"/>
      <c r="D238" s="180">
        <v>50</v>
      </c>
      <c r="E238" s="180">
        <v>50</v>
      </c>
      <c r="F238" s="180">
        <v>50</v>
      </c>
      <c r="G238" s="180">
        <v>50</v>
      </c>
      <c r="H238" s="180">
        <v>50</v>
      </c>
      <c r="I238" s="180">
        <v>50</v>
      </c>
      <c r="J238" s="180">
        <v>50</v>
      </c>
      <c r="K238" s="180">
        <v>50</v>
      </c>
      <c r="L238" s="180">
        <v>50</v>
      </c>
      <c r="M238" s="180">
        <v>50</v>
      </c>
      <c r="N238" s="180">
        <v>50</v>
      </c>
      <c r="O238" s="180">
        <v>50</v>
      </c>
      <c r="P238" s="180">
        <v>50</v>
      </c>
      <c r="Q238" s="180">
        <v>50</v>
      </c>
      <c r="R238" s="180">
        <v>50</v>
      </c>
      <c r="S238" s="180">
        <v>50</v>
      </c>
      <c r="T238" s="180">
        <v>50</v>
      </c>
      <c r="U238" s="180">
        <v>50</v>
      </c>
      <c r="V238" s="180">
        <v>50</v>
      </c>
      <c r="W238" s="180">
        <v>50</v>
      </c>
      <c r="X238" s="180">
        <v>50</v>
      </c>
      <c r="Y238" s="180">
        <v>50</v>
      </c>
      <c r="Z238" s="180">
        <v>50</v>
      </c>
      <c r="AA238" s="180">
        <v>50</v>
      </c>
      <c r="AB238" s="180">
        <v>50</v>
      </c>
      <c r="AC238" s="180">
        <v>50</v>
      </c>
      <c r="AD238" s="180">
        <v>50</v>
      </c>
      <c r="AE238" s="180">
        <v>50</v>
      </c>
      <c r="AF238" s="180">
        <v>50</v>
      </c>
      <c r="AG238" s="180">
        <v>50</v>
      </c>
      <c r="AH238" s="180">
        <v>50</v>
      </c>
      <c r="AI238" s="180">
        <v>50</v>
      </c>
      <c r="AJ238" s="180">
        <v>50</v>
      </c>
      <c r="AK238" s="180">
        <v>50</v>
      </c>
      <c r="AL238" s="180">
        <v>50</v>
      </c>
      <c r="AM238" s="180">
        <v>50</v>
      </c>
      <c r="AN238" s="180">
        <v>50</v>
      </c>
      <c r="AO238" s="180">
        <v>50</v>
      </c>
      <c r="AP238" s="180">
        <v>50</v>
      </c>
      <c r="AQ238" s="180">
        <v>50</v>
      </c>
      <c r="AR238" s="180">
        <v>50</v>
      </c>
      <c r="AS238" s="180">
        <v>50</v>
      </c>
      <c r="AT238" s="180">
        <v>50</v>
      </c>
      <c r="AU238" s="180">
        <v>50</v>
      </c>
      <c r="AV238" s="180">
        <v>50</v>
      </c>
      <c r="AW238" s="180">
        <v>50</v>
      </c>
      <c r="AX238" s="180">
        <v>50</v>
      </c>
      <c r="AY238" s="180">
        <v>50</v>
      </c>
      <c r="AZ238" s="180">
        <v>50</v>
      </c>
      <c r="BA238" s="180">
        <v>50</v>
      </c>
      <c r="BB238" s="180">
        <v>50</v>
      </c>
      <c r="BC238" s="180">
        <v>50</v>
      </c>
      <c r="BD238" s="180">
        <v>50</v>
      </c>
      <c r="BE238" s="180">
        <v>50</v>
      </c>
      <c r="BF238" s="180">
        <v>50</v>
      </c>
      <c r="BG238" s="180">
        <v>50</v>
      </c>
      <c r="BH238" s="180">
        <v>50</v>
      </c>
      <c r="BI238" s="180">
        <v>50</v>
      </c>
      <c r="BJ238" s="180">
        <v>50</v>
      </c>
      <c r="BK238" s="180">
        <v>50</v>
      </c>
      <c r="BL238" s="180">
        <v>50</v>
      </c>
      <c r="BM238" s="180">
        <v>50</v>
      </c>
      <c r="BN238" s="180">
        <v>50</v>
      </c>
      <c r="BO238" s="180">
        <v>50</v>
      </c>
      <c r="BP238" s="180">
        <v>50</v>
      </c>
      <c r="BQ238" s="180">
        <v>50</v>
      </c>
      <c r="BR238" s="180">
        <v>50</v>
      </c>
      <c r="BS238" s="180">
        <v>50</v>
      </c>
      <c r="BT238" s="180">
        <v>50</v>
      </c>
      <c r="BU238" s="180">
        <v>50</v>
      </c>
      <c r="BV238" s="180">
        <v>50</v>
      </c>
      <c r="BW238" s="180">
        <v>50</v>
      </c>
      <c r="BX238" s="180">
        <v>50</v>
      </c>
      <c r="BY238" s="180">
        <v>50</v>
      </c>
      <c r="BZ238" s="180">
        <v>50</v>
      </c>
      <c r="CA238" s="180">
        <v>50</v>
      </c>
      <c r="CB238" s="180"/>
      <c r="CC238" s="180"/>
      <c r="CD238" s="180"/>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999</v>
      </c>
      <c r="B239" s="180" t="s">
        <v>278</v>
      </c>
      <c r="C239" s="180"/>
      <c r="D239" s="180">
        <v>50476</v>
      </c>
      <c r="E239" s="180">
        <v>50191</v>
      </c>
      <c r="F239" s="180">
        <v>50192</v>
      </c>
      <c r="G239" s="180">
        <v>50193</v>
      </c>
      <c r="H239" s="180">
        <v>50194</v>
      </c>
      <c r="I239" s="180">
        <v>50195</v>
      </c>
      <c r="J239" s="180">
        <v>50196</v>
      </c>
      <c r="K239" s="180">
        <v>50197</v>
      </c>
      <c r="L239" s="180">
        <v>50498</v>
      </c>
      <c r="M239" s="180">
        <v>50198</v>
      </c>
      <c r="N239" s="180">
        <v>50199</v>
      </c>
      <c r="O239" s="180">
        <v>50200</v>
      </c>
      <c r="P239" s="180">
        <v>50201</v>
      </c>
      <c r="Q239" s="180">
        <v>50202</v>
      </c>
      <c r="R239" s="180">
        <v>50493</v>
      </c>
      <c r="S239" s="180">
        <v>50203</v>
      </c>
      <c r="T239" s="180">
        <v>50518</v>
      </c>
      <c r="U239" s="180">
        <v>50204</v>
      </c>
      <c r="V239" s="180">
        <v>50205</v>
      </c>
      <c r="W239" s="180">
        <v>50206</v>
      </c>
      <c r="X239" s="180">
        <v>50207</v>
      </c>
      <c r="Y239" s="180">
        <v>50208</v>
      </c>
      <c r="Z239" s="180">
        <v>50209</v>
      </c>
      <c r="AA239" s="180">
        <v>50210</v>
      </c>
      <c r="AB239" s="180">
        <v>50519</v>
      </c>
      <c r="AC239" s="180">
        <v>50528</v>
      </c>
      <c r="AD239" s="180">
        <v>50211</v>
      </c>
      <c r="AE239" s="180">
        <v>50212</v>
      </c>
      <c r="AF239" s="180">
        <v>50213</v>
      </c>
      <c r="AG239" s="180">
        <v>50214</v>
      </c>
      <c r="AH239" s="180">
        <v>50215</v>
      </c>
      <c r="AI239" s="180">
        <v>50216</v>
      </c>
      <c r="AJ239" s="180">
        <v>50217</v>
      </c>
      <c r="AK239" s="180">
        <v>50218</v>
      </c>
      <c r="AL239" s="180">
        <v>50477</v>
      </c>
      <c r="AM239" s="180">
        <v>50520</v>
      </c>
      <c r="AN239" s="180">
        <v>50219</v>
      </c>
      <c r="AO239" s="180">
        <v>50220</v>
      </c>
      <c r="AP239" s="180">
        <v>50536</v>
      </c>
      <c r="AQ239" s="180">
        <v>50221</v>
      </c>
      <c r="AR239" s="180">
        <v>50222</v>
      </c>
      <c r="AS239" s="180">
        <v>50223</v>
      </c>
      <c r="AT239" s="180">
        <v>50224</v>
      </c>
      <c r="AU239" s="180">
        <v>50225</v>
      </c>
      <c r="AV239" s="180">
        <v>50226</v>
      </c>
      <c r="AW239" s="180">
        <v>50227</v>
      </c>
      <c r="AX239" s="180">
        <v>50455</v>
      </c>
      <c r="AY239" s="180">
        <v>50229</v>
      </c>
      <c r="AZ239" s="180">
        <v>50230</v>
      </c>
      <c r="BA239" s="180">
        <v>50231</v>
      </c>
      <c r="BB239" s="180">
        <v>50232</v>
      </c>
      <c r="BC239" s="180">
        <v>50233</v>
      </c>
      <c r="BD239" s="180">
        <v>50234</v>
      </c>
      <c r="BE239" s="180">
        <v>50235</v>
      </c>
      <c r="BF239" s="180">
        <v>50236</v>
      </c>
      <c r="BG239" s="180">
        <v>50237</v>
      </c>
      <c r="BH239" s="180">
        <v>50238</v>
      </c>
      <c r="BI239" s="180">
        <v>50444</v>
      </c>
      <c r="BJ239" s="180">
        <v>50239</v>
      </c>
      <c r="BK239" s="180">
        <v>50240</v>
      </c>
      <c r="BL239" s="180">
        <v>50241</v>
      </c>
      <c r="BM239" s="180">
        <v>50521</v>
      </c>
      <c r="BN239" s="180">
        <v>50242</v>
      </c>
      <c r="BO239" s="180">
        <v>50244</v>
      </c>
      <c r="BP239" s="180">
        <v>50243</v>
      </c>
      <c r="BQ239" s="180">
        <v>50245</v>
      </c>
      <c r="BR239" s="180">
        <v>50522</v>
      </c>
      <c r="BS239" s="180">
        <v>50246</v>
      </c>
      <c r="BT239" s="180">
        <v>50247</v>
      </c>
      <c r="BU239" s="180">
        <v>50248</v>
      </c>
      <c r="BV239" s="180">
        <v>50249</v>
      </c>
      <c r="BW239" s="180">
        <v>50250</v>
      </c>
      <c r="BX239" s="180">
        <v>50251</v>
      </c>
      <c r="BY239" s="180">
        <v>50252</v>
      </c>
      <c r="BZ239" s="180">
        <v>50253</v>
      </c>
      <c r="CA239" s="180">
        <v>50454</v>
      </c>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1050</v>
      </c>
      <c r="B240" s="180" t="s">
        <v>1509</v>
      </c>
      <c r="C240" s="180"/>
      <c r="D240" s="180">
        <v>0</v>
      </c>
      <c r="E240" s="180">
        <v>1407142</v>
      </c>
      <c r="F240" s="180"/>
      <c r="G240" s="180">
        <v>632807</v>
      </c>
      <c r="H240" s="180">
        <v>0</v>
      </c>
      <c r="I240" s="180">
        <v>15893</v>
      </c>
      <c r="J240" s="180">
        <v>74498</v>
      </c>
      <c r="K240" s="180">
        <v>39473</v>
      </c>
      <c r="L240" s="180">
        <v>1463648</v>
      </c>
      <c r="M240" s="180"/>
      <c r="N240" s="180">
        <v>176720</v>
      </c>
      <c r="O240" s="180"/>
      <c r="P240" s="180">
        <v>748773</v>
      </c>
      <c r="Q240" s="180">
        <v>235026</v>
      </c>
      <c r="R240" s="180">
        <v>200610</v>
      </c>
      <c r="S240" s="180">
        <v>300961</v>
      </c>
      <c r="T240" s="180">
        <v>5924</v>
      </c>
      <c r="U240" s="180">
        <v>632068</v>
      </c>
      <c r="V240" s="180">
        <v>14873</v>
      </c>
      <c r="W240" s="180">
        <v>127997</v>
      </c>
      <c r="X240" s="180">
        <v>375698</v>
      </c>
      <c r="Y240" s="180">
        <v>0</v>
      </c>
      <c r="Z240" s="180">
        <v>91529</v>
      </c>
      <c r="AA240" s="180">
        <v>112500</v>
      </c>
      <c r="AB240" s="180">
        <v>0</v>
      </c>
      <c r="AC240" s="180">
        <v>10350</v>
      </c>
      <c r="AD240" s="180">
        <v>0</v>
      </c>
      <c r="AE240" s="180">
        <v>403</v>
      </c>
      <c r="AF240" s="180">
        <v>5259</v>
      </c>
      <c r="AG240" s="180">
        <v>0</v>
      </c>
      <c r="AH240" s="180">
        <v>15581</v>
      </c>
      <c r="AI240" s="180">
        <v>105897</v>
      </c>
      <c r="AJ240" s="180">
        <v>376768</v>
      </c>
      <c r="AK240" s="180">
        <v>3517</v>
      </c>
      <c r="AL240" s="180">
        <v>0</v>
      </c>
      <c r="AM240" s="180">
        <v>2672029</v>
      </c>
      <c r="AN240" s="180">
        <v>616203</v>
      </c>
      <c r="AO240" s="180"/>
      <c r="AP240" s="180">
        <v>389704</v>
      </c>
      <c r="AQ240" s="180">
        <v>952928</v>
      </c>
      <c r="AR240" s="180"/>
      <c r="AS240" s="180"/>
      <c r="AT240" s="180"/>
      <c r="AU240" s="180">
        <v>271986</v>
      </c>
      <c r="AV240" s="180">
        <v>2255</v>
      </c>
      <c r="AW240" s="180"/>
      <c r="AX240" s="180">
        <v>207446</v>
      </c>
      <c r="AY240" s="180">
        <v>90977</v>
      </c>
      <c r="AZ240" s="180"/>
      <c r="BA240" s="180">
        <v>0</v>
      </c>
      <c r="BB240" s="180">
        <v>0</v>
      </c>
      <c r="BC240" s="180"/>
      <c r="BD240" s="180">
        <v>4079</v>
      </c>
      <c r="BE240" s="180">
        <v>0</v>
      </c>
      <c r="BF240" s="180"/>
      <c r="BG240" s="180"/>
      <c r="BH240" s="180">
        <v>125479</v>
      </c>
      <c r="BI240" s="180">
        <v>53181</v>
      </c>
      <c r="BJ240" s="180">
        <v>71973</v>
      </c>
      <c r="BK240" s="180">
        <v>20278</v>
      </c>
      <c r="BL240" s="180">
        <v>0</v>
      </c>
      <c r="BM240" s="180">
        <v>0</v>
      </c>
      <c r="BN240" s="180">
        <v>62314</v>
      </c>
      <c r="BO240" s="180">
        <v>52662</v>
      </c>
      <c r="BP240" s="180">
        <v>7498</v>
      </c>
      <c r="BQ240" s="180">
        <v>0</v>
      </c>
      <c r="BR240" s="180">
        <v>92450</v>
      </c>
      <c r="BS240" s="180">
        <v>788486</v>
      </c>
      <c r="BT240" s="180">
        <v>42405</v>
      </c>
      <c r="BU240" s="180">
        <v>0</v>
      </c>
      <c r="BV240" s="180">
        <v>75192</v>
      </c>
      <c r="BW240" s="180">
        <v>0</v>
      </c>
      <c r="BX240" s="180"/>
      <c r="BY240" s="180">
        <v>300</v>
      </c>
      <c r="BZ240" s="180">
        <v>0</v>
      </c>
      <c r="CA240" s="180">
        <v>2400</v>
      </c>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1051</v>
      </c>
      <c r="B241" s="180" t="s">
        <v>1705</v>
      </c>
      <c r="C241" s="180"/>
      <c r="D241" s="180">
        <v>0</v>
      </c>
      <c r="E241" s="180">
        <v>0</v>
      </c>
      <c r="F241" s="180"/>
      <c r="G241" s="180">
        <v>0</v>
      </c>
      <c r="H241" s="180">
        <v>0</v>
      </c>
      <c r="I241" s="180">
        <v>0</v>
      </c>
      <c r="J241" s="180">
        <v>0</v>
      </c>
      <c r="K241" s="180">
        <v>0</v>
      </c>
      <c r="L241" s="180">
        <v>0</v>
      </c>
      <c r="M241" s="180"/>
      <c r="N241" s="180">
        <v>0</v>
      </c>
      <c r="O241" s="180"/>
      <c r="P241" s="180">
        <v>0</v>
      </c>
      <c r="Q241" s="180">
        <v>0</v>
      </c>
      <c r="R241" s="180">
        <v>0</v>
      </c>
      <c r="S241" s="180">
        <v>0</v>
      </c>
      <c r="T241" s="180">
        <v>0</v>
      </c>
      <c r="U241" s="180">
        <v>3194573</v>
      </c>
      <c r="V241" s="180">
        <v>0</v>
      </c>
      <c r="W241" s="180">
        <v>0</v>
      </c>
      <c r="X241" s="180">
        <v>0</v>
      </c>
      <c r="Y241" s="180">
        <v>0</v>
      </c>
      <c r="Z241" s="180">
        <v>0</v>
      </c>
      <c r="AA241" s="180">
        <v>0</v>
      </c>
      <c r="AB241" s="180">
        <v>0</v>
      </c>
      <c r="AC241" s="180">
        <v>0</v>
      </c>
      <c r="AD241" s="180">
        <v>0</v>
      </c>
      <c r="AE241" s="180">
        <v>650</v>
      </c>
      <c r="AF241" s="180">
        <v>0</v>
      </c>
      <c r="AG241" s="180">
        <v>0</v>
      </c>
      <c r="AH241" s="180">
        <v>0</v>
      </c>
      <c r="AI241" s="180">
        <v>0</v>
      </c>
      <c r="AJ241" s="180">
        <v>0</v>
      </c>
      <c r="AK241" s="180">
        <v>0</v>
      </c>
      <c r="AL241" s="180">
        <v>0</v>
      </c>
      <c r="AM241" s="180">
        <v>0</v>
      </c>
      <c r="AN241" s="180">
        <v>0</v>
      </c>
      <c r="AO241" s="180"/>
      <c r="AP241" s="180">
        <v>0</v>
      </c>
      <c r="AQ241" s="180">
        <v>0</v>
      </c>
      <c r="AR241" s="180"/>
      <c r="AS241" s="180"/>
      <c r="AT241" s="180"/>
      <c r="AU241" s="180">
        <v>0</v>
      </c>
      <c r="AV241" s="180">
        <v>0</v>
      </c>
      <c r="AW241" s="180"/>
      <c r="AX241" s="180">
        <v>0</v>
      </c>
      <c r="AY241" s="180">
        <v>0</v>
      </c>
      <c r="AZ241" s="180"/>
      <c r="BA241" s="180">
        <v>0</v>
      </c>
      <c r="BB241" s="180">
        <v>0</v>
      </c>
      <c r="BC241" s="180"/>
      <c r="BD241" s="180">
        <v>0</v>
      </c>
      <c r="BE241" s="180">
        <v>0</v>
      </c>
      <c r="BF241" s="180"/>
      <c r="BG241" s="180"/>
      <c r="BH241" s="180">
        <v>0</v>
      </c>
      <c r="BI241" s="180">
        <v>0</v>
      </c>
      <c r="BJ241" s="180">
        <v>0</v>
      </c>
      <c r="BK241" s="180">
        <v>0</v>
      </c>
      <c r="BL241" s="180">
        <v>0</v>
      </c>
      <c r="BM241" s="180">
        <v>0</v>
      </c>
      <c r="BN241" s="180">
        <v>0</v>
      </c>
      <c r="BO241" s="180">
        <v>0</v>
      </c>
      <c r="BP241" s="180">
        <v>0</v>
      </c>
      <c r="BQ241" s="180">
        <v>0</v>
      </c>
      <c r="BR241" s="180">
        <v>0</v>
      </c>
      <c r="BS241" s="180">
        <v>0</v>
      </c>
      <c r="BT241" s="180">
        <v>0</v>
      </c>
      <c r="BU241" s="180">
        <v>0</v>
      </c>
      <c r="BV241" s="180">
        <v>0</v>
      </c>
      <c r="BW241" s="180">
        <v>0</v>
      </c>
      <c r="BX241" s="180"/>
      <c r="BY241" s="180">
        <v>0</v>
      </c>
      <c r="BZ241" s="180">
        <v>0</v>
      </c>
      <c r="CA241" s="180">
        <v>0</v>
      </c>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1052</v>
      </c>
      <c r="B242" s="180" t="s">
        <v>1706</v>
      </c>
      <c r="C242" s="180"/>
      <c r="D242" s="180">
        <v>0</v>
      </c>
      <c r="E242" s="180">
        <v>0</v>
      </c>
      <c r="F242" s="180"/>
      <c r="G242" s="180">
        <v>-183879</v>
      </c>
      <c r="H242" s="180">
        <v>0</v>
      </c>
      <c r="I242" s="180">
        <v>0</v>
      </c>
      <c r="J242" s="180">
        <v>0</v>
      </c>
      <c r="K242" s="180">
        <v>0</v>
      </c>
      <c r="L242" s="180">
        <v>0</v>
      </c>
      <c r="M242" s="180"/>
      <c r="N242" s="180">
        <v>0</v>
      </c>
      <c r="O242" s="180"/>
      <c r="P242" s="180">
        <v>0</v>
      </c>
      <c r="Q242" s="180">
        <v>-878506</v>
      </c>
      <c r="R242" s="180">
        <v>0</v>
      </c>
      <c r="S242" s="180">
        <v>0</v>
      </c>
      <c r="T242" s="180">
        <v>0</v>
      </c>
      <c r="U242" s="180">
        <v>0</v>
      </c>
      <c r="V242" s="180">
        <v>0</v>
      </c>
      <c r="W242" s="180">
        <v>0</v>
      </c>
      <c r="X242" s="180">
        <v>0</v>
      </c>
      <c r="Y242" s="180">
        <v>0</v>
      </c>
      <c r="Z242" s="180">
        <v>0</v>
      </c>
      <c r="AA242" s="180">
        <v>0</v>
      </c>
      <c r="AB242" s="180">
        <v>0</v>
      </c>
      <c r="AC242" s="180">
        <v>0</v>
      </c>
      <c r="AD242" s="180">
        <v>0</v>
      </c>
      <c r="AE242" s="180">
        <v>0</v>
      </c>
      <c r="AF242" s="180">
        <v>0</v>
      </c>
      <c r="AG242" s="180">
        <v>0</v>
      </c>
      <c r="AH242" s="180">
        <v>0</v>
      </c>
      <c r="AI242" s="180">
        <v>0</v>
      </c>
      <c r="AJ242" s="180">
        <v>0</v>
      </c>
      <c r="AK242" s="180">
        <v>0</v>
      </c>
      <c r="AL242" s="180">
        <v>0</v>
      </c>
      <c r="AM242" s="180">
        <v>0</v>
      </c>
      <c r="AN242" s="180">
        <v>0</v>
      </c>
      <c r="AO242" s="180"/>
      <c r="AP242" s="180">
        <v>0</v>
      </c>
      <c r="AQ242" s="180">
        <v>0</v>
      </c>
      <c r="AR242" s="180"/>
      <c r="AS242" s="180"/>
      <c r="AT242" s="180"/>
      <c r="AU242" s="180">
        <v>0</v>
      </c>
      <c r="AV242" s="180">
        <v>0</v>
      </c>
      <c r="AW242" s="180"/>
      <c r="AX242" s="180">
        <v>0</v>
      </c>
      <c r="AY242" s="180">
        <v>0</v>
      </c>
      <c r="AZ242" s="180"/>
      <c r="BA242" s="180">
        <v>0</v>
      </c>
      <c r="BB242" s="180">
        <v>0</v>
      </c>
      <c r="BC242" s="180"/>
      <c r="BD242" s="180">
        <v>0</v>
      </c>
      <c r="BE242" s="180">
        <v>0</v>
      </c>
      <c r="BF242" s="180"/>
      <c r="BG242" s="180"/>
      <c r="BH242" s="180">
        <v>0</v>
      </c>
      <c r="BI242" s="180">
        <v>0</v>
      </c>
      <c r="BJ242" s="180">
        <v>0</v>
      </c>
      <c r="BK242" s="180">
        <v>0</v>
      </c>
      <c r="BL242" s="180">
        <v>0</v>
      </c>
      <c r="BM242" s="180">
        <v>0</v>
      </c>
      <c r="BN242" s="180">
        <v>0</v>
      </c>
      <c r="BO242" s="180">
        <v>0</v>
      </c>
      <c r="BP242" s="180">
        <v>0</v>
      </c>
      <c r="BQ242" s="180">
        <v>0</v>
      </c>
      <c r="BR242" s="180">
        <v>0</v>
      </c>
      <c r="BS242" s="180">
        <v>0</v>
      </c>
      <c r="BT242" s="180">
        <v>0</v>
      </c>
      <c r="BU242" s="180">
        <v>0</v>
      </c>
      <c r="BV242" s="180">
        <v>0</v>
      </c>
      <c r="BW242" s="180">
        <v>0</v>
      </c>
      <c r="BX242" s="180"/>
      <c r="BY242" s="180">
        <v>0</v>
      </c>
      <c r="BZ242" s="180">
        <v>0</v>
      </c>
      <c r="CA242" s="180">
        <v>0</v>
      </c>
      <c r="CB242" s="180"/>
      <c r="CC242" s="180"/>
      <c r="CD242" s="180"/>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1053</v>
      </c>
      <c r="B243" s="180" t="s">
        <v>1707</v>
      </c>
      <c r="C243" s="180"/>
      <c r="D243" s="180">
        <v>0</v>
      </c>
      <c r="E243" s="180">
        <v>0</v>
      </c>
      <c r="F243" s="180"/>
      <c r="G243" s="180">
        <v>-9393</v>
      </c>
      <c r="H243" s="180">
        <v>0</v>
      </c>
      <c r="I243" s="180">
        <v>0</v>
      </c>
      <c r="J243" s="180">
        <v>0</v>
      </c>
      <c r="K243" s="180">
        <v>0</v>
      </c>
      <c r="L243" s="180">
        <v>0</v>
      </c>
      <c r="M243" s="180"/>
      <c r="N243" s="180">
        <v>0</v>
      </c>
      <c r="O243" s="180"/>
      <c r="P243" s="180">
        <v>0</v>
      </c>
      <c r="Q243" s="180">
        <v>-325073</v>
      </c>
      <c r="R243" s="180">
        <v>0</v>
      </c>
      <c r="S243" s="180">
        <v>0</v>
      </c>
      <c r="T243" s="180">
        <v>0</v>
      </c>
      <c r="U243" s="180">
        <v>0</v>
      </c>
      <c r="V243" s="180">
        <v>0</v>
      </c>
      <c r="W243" s="180">
        <v>0</v>
      </c>
      <c r="X243" s="180">
        <v>0</v>
      </c>
      <c r="Y243" s="180">
        <v>0</v>
      </c>
      <c r="Z243" s="180">
        <v>0</v>
      </c>
      <c r="AA243" s="180">
        <v>0</v>
      </c>
      <c r="AB243" s="180">
        <v>0</v>
      </c>
      <c r="AC243" s="180">
        <v>0</v>
      </c>
      <c r="AD243" s="180">
        <v>0</v>
      </c>
      <c r="AE243" s="180">
        <v>0</v>
      </c>
      <c r="AF243" s="180">
        <v>0</v>
      </c>
      <c r="AG243" s="180">
        <v>0</v>
      </c>
      <c r="AH243" s="180">
        <v>0</v>
      </c>
      <c r="AI243" s="180">
        <v>0</v>
      </c>
      <c r="AJ243" s="180">
        <v>0</v>
      </c>
      <c r="AK243" s="180">
        <v>0</v>
      </c>
      <c r="AL243" s="180">
        <v>0</v>
      </c>
      <c r="AM243" s="180">
        <v>0</v>
      </c>
      <c r="AN243" s="180">
        <v>0</v>
      </c>
      <c r="AO243" s="180"/>
      <c r="AP243" s="180">
        <v>0</v>
      </c>
      <c r="AQ243" s="180">
        <v>0</v>
      </c>
      <c r="AR243" s="180"/>
      <c r="AS243" s="180"/>
      <c r="AT243" s="180"/>
      <c r="AU243" s="180">
        <v>0</v>
      </c>
      <c r="AV243" s="180">
        <v>0</v>
      </c>
      <c r="AW243" s="180"/>
      <c r="AX243" s="180">
        <v>0</v>
      </c>
      <c r="AY243" s="180">
        <v>0</v>
      </c>
      <c r="AZ243" s="180"/>
      <c r="BA243" s="180">
        <v>0</v>
      </c>
      <c r="BB243" s="180">
        <v>0</v>
      </c>
      <c r="BC243" s="180"/>
      <c r="BD243" s="180">
        <v>0</v>
      </c>
      <c r="BE243" s="180">
        <v>0</v>
      </c>
      <c r="BF243" s="180"/>
      <c r="BG243" s="180"/>
      <c r="BH243" s="180">
        <v>0</v>
      </c>
      <c r="BI243" s="180">
        <v>0</v>
      </c>
      <c r="BJ243" s="180">
        <v>0</v>
      </c>
      <c r="BK243" s="180">
        <v>0</v>
      </c>
      <c r="BL243" s="180">
        <v>0</v>
      </c>
      <c r="BM243" s="180">
        <v>0</v>
      </c>
      <c r="BN243" s="180">
        <v>0</v>
      </c>
      <c r="BO243" s="180">
        <v>0</v>
      </c>
      <c r="BP243" s="180">
        <v>0</v>
      </c>
      <c r="BQ243" s="180">
        <v>0</v>
      </c>
      <c r="BR243" s="180">
        <v>0</v>
      </c>
      <c r="BS243" s="180">
        <v>0</v>
      </c>
      <c r="BT243" s="180">
        <v>0</v>
      </c>
      <c r="BU243" s="180">
        <v>0</v>
      </c>
      <c r="BV243" s="180">
        <v>0</v>
      </c>
      <c r="BW243" s="180">
        <v>0</v>
      </c>
      <c r="BX243" s="180"/>
      <c r="BY243" s="180">
        <v>0</v>
      </c>
      <c r="BZ243" s="180">
        <v>0</v>
      </c>
      <c r="CA243" s="180">
        <v>0</v>
      </c>
      <c r="CB243" s="180"/>
      <c r="CC243" s="180"/>
      <c r="CD243" s="180"/>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1054</v>
      </c>
      <c r="B244" s="180" t="s">
        <v>1708</v>
      </c>
      <c r="C244" s="180"/>
      <c r="D244" s="180">
        <v>0</v>
      </c>
      <c r="E244" s="180">
        <v>0</v>
      </c>
      <c r="F244" s="180"/>
      <c r="G244" s="180">
        <v>0</v>
      </c>
      <c r="H244" s="180">
        <v>0</v>
      </c>
      <c r="I244" s="180">
        <v>0</v>
      </c>
      <c r="J244" s="180">
        <v>0</v>
      </c>
      <c r="K244" s="180">
        <v>0</v>
      </c>
      <c r="L244" s="180">
        <v>0</v>
      </c>
      <c r="M244" s="180"/>
      <c r="N244" s="180">
        <v>0</v>
      </c>
      <c r="O244" s="180"/>
      <c r="P244" s="180">
        <v>0</v>
      </c>
      <c r="Q244" s="180">
        <v>0</v>
      </c>
      <c r="R244" s="180">
        <v>0</v>
      </c>
      <c r="S244" s="180">
        <v>0</v>
      </c>
      <c r="T244" s="180">
        <v>0</v>
      </c>
      <c r="U244" s="180">
        <v>0</v>
      </c>
      <c r="V244" s="180">
        <v>0</v>
      </c>
      <c r="W244" s="180">
        <v>0</v>
      </c>
      <c r="X244" s="180">
        <v>0</v>
      </c>
      <c r="Y244" s="180">
        <v>0</v>
      </c>
      <c r="Z244" s="180">
        <v>0</v>
      </c>
      <c r="AA244" s="180">
        <v>0</v>
      </c>
      <c r="AB244" s="180">
        <v>0</v>
      </c>
      <c r="AC244" s="180">
        <v>0</v>
      </c>
      <c r="AD244" s="180">
        <v>0</v>
      </c>
      <c r="AE244" s="180">
        <v>0</v>
      </c>
      <c r="AF244" s="180">
        <v>0</v>
      </c>
      <c r="AG244" s="180">
        <v>0</v>
      </c>
      <c r="AH244" s="180">
        <v>0</v>
      </c>
      <c r="AI244" s="180">
        <v>0</v>
      </c>
      <c r="AJ244" s="180">
        <v>0</v>
      </c>
      <c r="AK244" s="180">
        <v>0</v>
      </c>
      <c r="AL244" s="180">
        <v>0</v>
      </c>
      <c r="AM244" s="180">
        <v>0</v>
      </c>
      <c r="AN244" s="180">
        <v>0</v>
      </c>
      <c r="AO244" s="180"/>
      <c r="AP244" s="180">
        <v>0</v>
      </c>
      <c r="AQ244" s="180">
        <v>0</v>
      </c>
      <c r="AR244" s="180"/>
      <c r="AS244" s="180"/>
      <c r="AT244" s="180"/>
      <c r="AU244" s="180">
        <v>0</v>
      </c>
      <c r="AV244" s="180">
        <v>0</v>
      </c>
      <c r="AW244" s="180"/>
      <c r="AX244" s="180">
        <v>0</v>
      </c>
      <c r="AY244" s="180">
        <v>0</v>
      </c>
      <c r="AZ244" s="180"/>
      <c r="BA244" s="180">
        <v>0</v>
      </c>
      <c r="BB244" s="180">
        <v>0</v>
      </c>
      <c r="BC244" s="180"/>
      <c r="BD244" s="180">
        <v>0</v>
      </c>
      <c r="BE244" s="180">
        <v>0</v>
      </c>
      <c r="BF244" s="180"/>
      <c r="BG244" s="180"/>
      <c r="BH244" s="180">
        <v>0</v>
      </c>
      <c r="BI244" s="180">
        <v>0</v>
      </c>
      <c r="BJ244" s="180">
        <v>0</v>
      </c>
      <c r="BK244" s="180">
        <v>0</v>
      </c>
      <c r="BL244" s="180">
        <v>0</v>
      </c>
      <c r="BM244" s="180">
        <v>0</v>
      </c>
      <c r="BN244" s="180">
        <v>0</v>
      </c>
      <c r="BO244" s="180">
        <v>0</v>
      </c>
      <c r="BP244" s="180">
        <v>0</v>
      </c>
      <c r="BQ244" s="180">
        <v>0</v>
      </c>
      <c r="BR244" s="180">
        <v>0</v>
      </c>
      <c r="BS244" s="180">
        <v>0</v>
      </c>
      <c r="BT244" s="180">
        <v>0</v>
      </c>
      <c r="BU244" s="180">
        <v>0</v>
      </c>
      <c r="BV244" s="180">
        <v>0</v>
      </c>
      <c r="BW244" s="180">
        <v>0</v>
      </c>
      <c r="BX244" s="180"/>
      <c r="BY244" s="180">
        <v>0</v>
      </c>
      <c r="BZ244" s="180">
        <v>0</v>
      </c>
      <c r="CA244" s="180">
        <v>0</v>
      </c>
      <c r="CB244" s="180"/>
      <c r="CC244" s="180"/>
      <c r="CD244" s="180"/>
      <c r="CE244" s="180"/>
      <c r="CF244" s="180"/>
      <c r="CG244" s="180"/>
      <c r="CH244" s="180"/>
      <c r="CI244" s="180"/>
      <c r="CJ244" s="180"/>
      <c r="CK244" s="180"/>
      <c r="CL244" s="180"/>
      <c r="CM244" s="180"/>
      <c r="CN244" s="180"/>
      <c r="CO244" s="180"/>
      <c r="CP244" s="180"/>
      <c r="CQ244" s="180"/>
      <c r="CR244" s="180"/>
      <c r="CS244" s="180"/>
      <c r="CT244" s="180"/>
      <c r="CU244" s="180"/>
    </row>
    <row r="245" spans="1:99" s="557" customFormat="1" x14ac:dyDescent="0.3">
      <c r="A245" s="556">
        <v>1055</v>
      </c>
      <c r="B245" s="557" t="s">
        <v>1709</v>
      </c>
      <c r="D245" s="557">
        <v>2</v>
      </c>
      <c r="E245" s="557">
        <v>2</v>
      </c>
      <c r="G245" s="557">
        <v>2</v>
      </c>
      <c r="H245" s="557">
        <v>2</v>
      </c>
      <c r="I245" s="557">
        <v>2</v>
      </c>
      <c r="J245" s="557">
        <v>2</v>
      </c>
      <c r="K245" s="557">
        <v>2</v>
      </c>
      <c r="L245" s="557">
        <v>2</v>
      </c>
      <c r="N245" s="557">
        <v>2</v>
      </c>
      <c r="P245" s="557">
        <v>2</v>
      </c>
      <c r="Q245" s="557">
        <v>2</v>
      </c>
      <c r="R245" s="557">
        <v>2</v>
      </c>
      <c r="S245" s="557">
        <v>2</v>
      </c>
      <c r="T245" s="557">
        <v>2</v>
      </c>
      <c r="U245" s="557">
        <v>2</v>
      </c>
      <c r="V245" s="557">
        <v>2</v>
      </c>
      <c r="W245" s="557">
        <v>2</v>
      </c>
      <c r="X245" s="557">
        <v>2</v>
      </c>
      <c r="Y245" s="557">
        <v>2</v>
      </c>
      <c r="Z245" s="557">
        <v>2</v>
      </c>
      <c r="AA245" s="557">
        <v>1</v>
      </c>
      <c r="AB245" s="557">
        <v>2</v>
      </c>
      <c r="AC245" s="557">
        <v>2</v>
      </c>
      <c r="AD245" s="557">
        <v>1</v>
      </c>
      <c r="AE245" s="557">
        <v>2</v>
      </c>
      <c r="AF245" s="557">
        <v>2</v>
      </c>
      <c r="AG245" s="557">
        <v>2</v>
      </c>
      <c r="AH245" s="557">
        <v>2</v>
      </c>
      <c r="AI245" s="557">
        <v>2</v>
      </c>
      <c r="AJ245" s="557">
        <v>2</v>
      </c>
      <c r="AK245" s="557">
        <v>2</v>
      </c>
      <c r="AL245" s="557">
        <v>2</v>
      </c>
      <c r="AM245" s="557">
        <v>2</v>
      </c>
      <c r="AN245" s="557">
        <v>2</v>
      </c>
      <c r="AP245" s="557">
        <v>2</v>
      </c>
      <c r="AQ245" s="557">
        <v>2</v>
      </c>
      <c r="AU245" s="557">
        <v>2</v>
      </c>
      <c r="AV245" s="557">
        <v>1</v>
      </c>
      <c r="AX245" s="557">
        <v>2</v>
      </c>
      <c r="AY245" s="557">
        <v>2</v>
      </c>
      <c r="BA245" s="557">
        <v>2</v>
      </c>
      <c r="BB245" s="557">
        <v>2</v>
      </c>
      <c r="BD245" s="557">
        <v>2</v>
      </c>
      <c r="BE245" s="557">
        <v>2</v>
      </c>
      <c r="BH245" s="557">
        <v>2</v>
      </c>
      <c r="BI245" s="557">
        <v>2</v>
      </c>
      <c r="BJ245" s="557">
        <v>2</v>
      </c>
      <c r="BK245" s="557">
        <v>2</v>
      </c>
      <c r="BL245" s="557">
        <v>2</v>
      </c>
      <c r="BM245" s="557">
        <v>2</v>
      </c>
      <c r="BN245" s="557">
        <v>2</v>
      </c>
      <c r="BO245" s="557">
        <v>2</v>
      </c>
      <c r="BP245" s="557">
        <v>2</v>
      </c>
      <c r="BQ245" s="557">
        <v>2</v>
      </c>
      <c r="BR245" s="557">
        <v>2</v>
      </c>
      <c r="BS245" s="557">
        <v>2</v>
      </c>
      <c r="BT245" s="557">
        <v>2</v>
      </c>
      <c r="BU245" s="557">
        <v>2</v>
      </c>
      <c r="BV245" s="557">
        <v>2</v>
      </c>
      <c r="BW245" s="557">
        <v>2</v>
      </c>
      <c r="BY245" s="557">
        <v>2</v>
      </c>
      <c r="BZ245" s="557">
        <v>2</v>
      </c>
      <c r="CA245" s="557">
        <v>2</v>
      </c>
    </row>
    <row r="246" spans="1:99" s="557" customFormat="1" x14ac:dyDescent="0.3">
      <c r="A246" s="556">
        <v>1056</v>
      </c>
      <c r="B246" s="557" t="s">
        <v>1710</v>
      </c>
      <c r="D246" s="557">
        <v>2</v>
      </c>
      <c r="E246" s="557">
        <v>2</v>
      </c>
      <c r="G246" s="557">
        <v>2</v>
      </c>
      <c r="H246" s="557">
        <v>2</v>
      </c>
      <c r="I246" s="557">
        <v>2</v>
      </c>
      <c r="J246" s="557">
        <v>2</v>
      </c>
      <c r="K246" s="557">
        <v>2</v>
      </c>
      <c r="L246" s="557">
        <v>1</v>
      </c>
      <c r="N246" s="557">
        <v>2</v>
      </c>
      <c r="P246" s="557">
        <v>2</v>
      </c>
      <c r="Q246" s="557">
        <v>2</v>
      </c>
      <c r="R246" s="557">
        <v>2</v>
      </c>
      <c r="S246" s="557">
        <v>2</v>
      </c>
      <c r="T246" s="557">
        <v>2</v>
      </c>
      <c r="U246" s="557">
        <v>2</v>
      </c>
      <c r="V246" s="557">
        <v>2</v>
      </c>
      <c r="W246" s="557">
        <v>2</v>
      </c>
      <c r="X246" s="557">
        <v>2</v>
      </c>
      <c r="Y246" s="557">
        <v>2</v>
      </c>
      <c r="Z246" s="557">
        <v>2</v>
      </c>
      <c r="AA246" s="557">
        <v>1</v>
      </c>
      <c r="AB246" s="557">
        <v>2</v>
      </c>
      <c r="AC246" s="557">
        <v>2</v>
      </c>
      <c r="AD246" s="557">
        <v>2</v>
      </c>
      <c r="AE246" s="557">
        <v>2</v>
      </c>
      <c r="AF246" s="557">
        <v>2</v>
      </c>
      <c r="AG246" s="557">
        <v>2</v>
      </c>
      <c r="AH246" s="557">
        <v>2</v>
      </c>
      <c r="AI246" s="557">
        <v>2</v>
      </c>
      <c r="AJ246" s="557">
        <v>2</v>
      </c>
      <c r="AK246" s="557">
        <v>2</v>
      </c>
      <c r="AL246" s="557">
        <v>2</v>
      </c>
      <c r="AM246" s="557">
        <v>2</v>
      </c>
      <c r="AN246" s="557">
        <v>2</v>
      </c>
      <c r="AP246" s="557">
        <v>2</v>
      </c>
      <c r="AQ246" s="557">
        <v>2</v>
      </c>
      <c r="AU246" s="557">
        <v>2</v>
      </c>
      <c r="AV246" s="557">
        <v>1</v>
      </c>
      <c r="AX246" s="557">
        <v>2</v>
      </c>
      <c r="AY246" s="557">
        <v>2</v>
      </c>
      <c r="BA246" s="557">
        <v>2</v>
      </c>
      <c r="BB246" s="557">
        <v>2</v>
      </c>
      <c r="BD246" s="557">
        <v>2</v>
      </c>
      <c r="BE246" s="557">
        <v>2</v>
      </c>
      <c r="BH246" s="557">
        <v>2</v>
      </c>
      <c r="BI246" s="557">
        <v>2</v>
      </c>
      <c r="BJ246" s="557">
        <v>2</v>
      </c>
      <c r="BK246" s="557">
        <v>2</v>
      </c>
      <c r="BL246" s="557">
        <v>2</v>
      </c>
      <c r="BM246" s="557">
        <v>2</v>
      </c>
      <c r="BN246" s="557">
        <v>2</v>
      </c>
      <c r="BO246" s="557">
        <v>2</v>
      </c>
      <c r="BP246" s="557">
        <v>2</v>
      </c>
      <c r="BQ246" s="557">
        <v>2</v>
      </c>
      <c r="BR246" s="557">
        <v>2</v>
      </c>
      <c r="BS246" s="557">
        <v>2</v>
      </c>
      <c r="BT246" s="557">
        <v>2</v>
      </c>
      <c r="BU246" s="557">
        <v>2</v>
      </c>
      <c r="BV246" s="557">
        <v>2</v>
      </c>
      <c r="BW246" s="557">
        <v>2</v>
      </c>
      <c r="BY246" s="557">
        <v>2</v>
      </c>
      <c r="BZ246" s="557">
        <v>2</v>
      </c>
      <c r="CA246" s="557">
        <v>2</v>
      </c>
    </row>
    <row r="247" spans="1:99" s="557" customFormat="1" x14ac:dyDescent="0.3">
      <c r="A247" s="556">
        <v>1057</v>
      </c>
      <c r="B247" s="557" t="s">
        <v>1516</v>
      </c>
      <c r="D247" s="557">
        <v>2</v>
      </c>
      <c r="E247" s="557">
        <v>1</v>
      </c>
      <c r="G247" s="557">
        <v>2</v>
      </c>
      <c r="H247" s="557">
        <v>2</v>
      </c>
      <c r="I247" s="557">
        <v>2</v>
      </c>
      <c r="J247" s="557">
        <v>2</v>
      </c>
      <c r="K247" s="557">
        <v>2</v>
      </c>
      <c r="L247" s="557">
        <v>2</v>
      </c>
      <c r="N247" s="557">
        <v>2</v>
      </c>
      <c r="P247" s="557">
        <v>2</v>
      </c>
      <c r="Q247" s="557">
        <v>2</v>
      </c>
      <c r="R247" s="557">
        <v>2</v>
      </c>
      <c r="S247" s="557">
        <v>2</v>
      </c>
      <c r="T247" s="557">
        <v>2</v>
      </c>
      <c r="U247" s="557">
        <v>2</v>
      </c>
      <c r="V247" s="557">
        <v>2</v>
      </c>
      <c r="W247" s="557">
        <v>2</v>
      </c>
      <c r="X247" s="557">
        <v>2</v>
      </c>
      <c r="Y247" s="557">
        <v>2</v>
      </c>
      <c r="Z247" s="557">
        <v>2</v>
      </c>
      <c r="AA247" s="557">
        <v>2</v>
      </c>
      <c r="AB247" s="557">
        <v>2</v>
      </c>
      <c r="AC247" s="557">
        <v>2</v>
      </c>
      <c r="AD247" s="557">
        <v>1</v>
      </c>
      <c r="AE247" s="557">
        <v>2</v>
      </c>
      <c r="AF247" s="557">
        <v>1</v>
      </c>
      <c r="AG247" s="557">
        <v>2</v>
      </c>
      <c r="AH247" s="557">
        <v>1</v>
      </c>
      <c r="AI247" s="557">
        <v>2</v>
      </c>
      <c r="AJ247" s="557">
        <v>1</v>
      </c>
      <c r="AK247" s="557">
        <v>1</v>
      </c>
      <c r="AL247" s="557">
        <v>2</v>
      </c>
      <c r="AM247" s="557">
        <v>1</v>
      </c>
      <c r="AN247" s="557">
        <v>2</v>
      </c>
      <c r="AP247" s="557">
        <v>2</v>
      </c>
      <c r="AQ247" s="557">
        <v>2</v>
      </c>
      <c r="AU247" s="557">
        <v>1</v>
      </c>
      <c r="AV247" s="557">
        <v>1</v>
      </c>
      <c r="AX247" s="557">
        <v>2</v>
      </c>
      <c r="AY247" s="557">
        <v>2</v>
      </c>
      <c r="BA247" s="557">
        <v>2</v>
      </c>
      <c r="BB247" s="557">
        <v>2</v>
      </c>
      <c r="BD247" s="557">
        <v>2</v>
      </c>
      <c r="BE247" s="557">
        <v>2</v>
      </c>
      <c r="BH247" s="557">
        <v>1</v>
      </c>
      <c r="BI247" s="557">
        <v>2</v>
      </c>
      <c r="BJ247" s="557">
        <v>2</v>
      </c>
      <c r="BK247" s="557">
        <v>1</v>
      </c>
      <c r="BL247" s="557">
        <v>2</v>
      </c>
      <c r="BM247" s="557">
        <v>2</v>
      </c>
      <c r="BN247" s="557">
        <v>2</v>
      </c>
      <c r="BO247" s="557">
        <v>2</v>
      </c>
      <c r="BP247" s="557">
        <v>2</v>
      </c>
      <c r="BQ247" s="557">
        <v>2</v>
      </c>
      <c r="BR247" s="557">
        <v>2</v>
      </c>
      <c r="BS247" s="557">
        <v>2</v>
      </c>
      <c r="BT247" s="557">
        <v>2</v>
      </c>
      <c r="BU247" s="557">
        <v>2</v>
      </c>
      <c r="BV247" s="557">
        <v>2</v>
      </c>
      <c r="BW247" s="557">
        <v>2</v>
      </c>
      <c r="BY247" s="557">
        <v>2</v>
      </c>
      <c r="BZ247" s="557">
        <v>2</v>
      </c>
      <c r="CA247" s="557">
        <v>2</v>
      </c>
    </row>
    <row r="248" spans="1:99" s="557" customFormat="1" x14ac:dyDescent="0.3">
      <c r="A248" s="556">
        <v>1058</v>
      </c>
      <c r="B248" s="557" t="s">
        <v>1517</v>
      </c>
      <c r="D248" s="557">
        <v>2</v>
      </c>
      <c r="E248" s="557">
        <v>2</v>
      </c>
      <c r="G248" s="557">
        <v>2</v>
      </c>
      <c r="H248" s="557">
        <v>2</v>
      </c>
      <c r="I248" s="557">
        <v>2</v>
      </c>
      <c r="J248" s="557">
        <v>2</v>
      </c>
      <c r="K248" s="557">
        <v>2</v>
      </c>
      <c r="L248" s="557">
        <v>1</v>
      </c>
      <c r="N248" s="557">
        <v>2</v>
      </c>
      <c r="P248" s="557">
        <v>2</v>
      </c>
      <c r="Q248" s="557">
        <v>2</v>
      </c>
      <c r="R248" s="557">
        <v>2</v>
      </c>
      <c r="S248" s="557">
        <v>2</v>
      </c>
      <c r="T248" s="557">
        <v>2</v>
      </c>
      <c r="U248" s="557">
        <v>2</v>
      </c>
      <c r="V248" s="557">
        <v>2</v>
      </c>
      <c r="W248" s="557">
        <v>2</v>
      </c>
      <c r="X248" s="557">
        <v>2</v>
      </c>
      <c r="Y248" s="557">
        <v>2</v>
      </c>
      <c r="Z248" s="557">
        <v>2</v>
      </c>
      <c r="AA248" s="557">
        <v>1</v>
      </c>
      <c r="AB248" s="557">
        <v>2</v>
      </c>
      <c r="AC248" s="557">
        <v>2</v>
      </c>
      <c r="AD248" s="557">
        <v>2</v>
      </c>
      <c r="AE248" s="557">
        <v>2</v>
      </c>
      <c r="AF248" s="557">
        <v>2</v>
      </c>
      <c r="AG248" s="557">
        <v>2</v>
      </c>
      <c r="AH248" s="557">
        <v>2</v>
      </c>
      <c r="AI248" s="557">
        <v>2</v>
      </c>
      <c r="AJ248" s="557">
        <v>2</v>
      </c>
      <c r="AK248" s="557">
        <v>1</v>
      </c>
      <c r="AL248" s="557">
        <v>2</v>
      </c>
      <c r="AM248" s="557">
        <v>2</v>
      </c>
      <c r="AN248" s="557">
        <v>2</v>
      </c>
      <c r="AP248" s="557">
        <v>2</v>
      </c>
      <c r="AQ248" s="557">
        <v>2</v>
      </c>
      <c r="AU248" s="557">
        <v>2</v>
      </c>
      <c r="AV248" s="557">
        <v>1</v>
      </c>
      <c r="AX248" s="557">
        <v>2</v>
      </c>
      <c r="AY248" s="557">
        <v>2</v>
      </c>
      <c r="BA248" s="557">
        <v>2</v>
      </c>
      <c r="BB248" s="557">
        <v>2</v>
      </c>
      <c r="BD248" s="557">
        <v>2</v>
      </c>
      <c r="BE248" s="557">
        <v>2</v>
      </c>
      <c r="BH248" s="557">
        <v>2</v>
      </c>
      <c r="BI248" s="557">
        <v>2</v>
      </c>
      <c r="BJ248" s="557">
        <v>2</v>
      </c>
      <c r="BK248" s="557">
        <v>2</v>
      </c>
      <c r="BL248" s="557">
        <v>2</v>
      </c>
      <c r="BM248" s="557">
        <v>2</v>
      </c>
      <c r="BN248" s="557">
        <v>2</v>
      </c>
      <c r="BO248" s="557">
        <v>2</v>
      </c>
      <c r="BP248" s="557">
        <v>2</v>
      </c>
      <c r="BQ248" s="557">
        <v>2</v>
      </c>
      <c r="BR248" s="557">
        <v>2</v>
      </c>
      <c r="BS248" s="557">
        <v>1</v>
      </c>
      <c r="BT248" s="557">
        <v>1</v>
      </c>
      <c r="BU248" s="557">
        <v>2</v>
      </c>
      <c r="BV248" s="557">
        <v>2</v>
      </c>
      <c r="BW248" s="557">
        <v>2</v>
      </c>
      <c r="BY248" s="557">
        <v>1</v>
      </c>
      <c r="BZ248" s="557">
        <v>2</v>
      </c>
      <c r="CA248" s="557">
        <v>2</v>
      </c>
    </row>
    <row r="249" spans="1:99" s="557" customFormat="1" x14ac:dyDescent="0.3">
      <c r="A249" s="556">
        <v>1059</v>
      </c>
      <c r="B249" s="557" t="s">
        <v>1711</v>
      </c>
      <c r="D249" s="557">
        <v>1</v>
      </c>
      <c r="E249" s="557">
        <v>1</v>
      </c>
      <c r="G249" s="557">
        <v>1</v>
      </c>
      <c r="H249" s="557">
        <v>1</v>
      </c>
      <c r="I249" s="557">
        <v>1</v>
      </c>
      <c r="J249" s="557">
        <v>1</v>
      </c>
      <c r="K249" s="557">
        <v>2</v>
      </c>
      <c r="L249" s="557">
        <v>1</v>
      </c>
      <c r="N249" s="557">
        <v>1</v>
      </c>
      <c r="P249" s="557">
        <v>1</v>
      </c>
      <c r="Q249" s="557">
        <v>1</v>
      </c>
      <c r="R249" s="557">
        <v>1</v>
      </c>
      <c r="S249" s="557">
        <v>1</v>
      </c>
      <c r="T249" s="557">
        <v>1</v>
      </c>
      <c r="U249" s="557">
        <v>1</v>
      </c>
      <c r="V249" s="557">
        <v>1</v>
      </c>
      <c r="W249" s="557">
        <v>1</v>
      </c>
      <c r="X249" s="557">
        <v>1</v>
      </c>
      <c r="Y249" s="557">
        <v>1</v>
      </c>
      <c r="Z249" s="557">
        <v>1</v>
      </c>
      <c r="AA249" s="557">
        <v>1</v>
      </c>
      <c r="AB249" s="557">
        <v>1</v>
      </c>
      <c r="AC249" s="557">
        <v>1</v>
      </c>
      <c r="AD249" s="557">
        <v>1</v>
      </c>
      <c r="AE249" s="557">
        <v>1</v>
      </c>
      <c r="AF249" s="557">
        <v>1</v>
      </c>
      <c r="AG249" s="557">
        <v>1</v>
      </c>
      <c r="AH249" s="557">
        <v>1</v>
      </c>
      <c r="AI249" s="557">
        <v>1</v>
      </c>
      <c r="AJ249" s="557">
        <v>1</v>
      </c>
      <c r="AK249" s="557">
        <v>1</v>
      </c>
      <c r="AL249" s="557">
        <v>1</v>
      </c>
      <c r="AM249" s="557">
        <v>1</v>
      </c>
      <c r="AN249" s="557">
        <v>1</v>
      </c>
      <c r="AP249" s="557">
        <v>1</v>
      </c>
      <c r="AQ249" s="557">
        <v>1</v>
      </c>
      <c r="AU249" s="557">
        <v>1</v>
      </c>
      <c r="AV249" s="557">
        <v>1</v>
      </c>
      <c r="AX249" s="557">
        <v>1</v>
      </c>
      <c r="AY249" s="557">
        <v>1</v>
      </c>
      <c r="BA249" s="557">
        <v>1</v>
      </c>
      <c r="BB249" s="557">
        <v>1</v>
      </c>
      <c r="BD249" s="557">
        <v>1</v>
      </c>
      <c r="BE249" s="557">
        <v>1</v>
      </c>
      <c r="BH249" s="557">
        <v>1</v>
      </c>
      <c r="BI249" s="557">
        <v>1</v>
      </c>
      <c r="BJ249" s="557">
        <v>1</v>
      </c>
      <c r="BK249" s="557">
        <v>1</v>
      </c>
      <c r="BL249" s="557">
        <v>1</v>
      </c>
      <c r="BM249" s="557">
        <v>1</v>
      </c>
      <c r="BN249" s="557">
        <v>1</v>
      </c>
      <c r="BO249" s="557">
        <v>1</v>
      </c>
      <c r="BP249" s="557">
        <v>1</v>
      </c>
      <c r="BQ249" s="557">
        <v>1</v>
      </c>
      <c r="BR249" s="557">
        <v>1</v>
      </c>
      <c r="BS249" s="557">
        <v>1</v>
      </c>
      <c r="BT249" s="557">
        <v>1</v>
      </c>
      <c r="BU249" s="557">
        <v>1</v>
      </c>
      <c r="BV249" s="557">
        <v>1</v>
      </c>
      <c r="BW249" s="557">
        <v>1</v>
      </c>
      <c r="BY249" s="557">
        <v>1</v>
      </c>
      <c r="BZ249" s="557">
        <v>1</v>
      </c>
      <c r="CA249" s="557">
        <v>1</v>
      </c>
    </row>
    <row r="250" spans="1:99" s="562" customFormat="1" x14ac:dyDescent="0.3">
      <c r="A250" s="561">
        <v>1060</v>
      </c>
      <c r="B250" s="562" t="s">
        <v>1712</v>
      </c>
      <c r="D250" s="562">
        <v>0</v>
      </c>
      <c r="E250" s="562">
        <v>0</v>
      </c>
      <c r="G250" s="562">
        <v>0</v>
      </c>
      <c r="H250" s="562">
        <v>0</v>
      </c>
      <c r="I250" s="562">
        <v>71408</v>
      </c>
      <c r="J250" s="562">
        <v>0</v>
      </c>
      <c r="K250" s="562">
        <v>0</v>
      </c>
      <c r="L250" s="562">
        <v>9352894</v>
      </c>
      <c r="N250" s="562">
        <v>0</v>
      </c>
      <c r="P250" s="562">
        <v>3929955</v>
      </c>
      <c r="Q250" s="562">
        <v>0</v>
      </c>
      <c r="R250" s="562">
        <v>305931</v>
      </c>
      <c r="S250" s="562">
        <v>1749968</v>
      </c>
      <c r="T250" s="562">
        <v>0</v>
      </c>
      <c r="U250" s="562">
        <v>827744</v>
      </c>
      <c r="V250" s="562">
        <v>0</v>
      </c>
      <c r="W250" s="562">
        <v>0</v>
      </c>
      <c r="X250" s="562">
        <v>445364</v>
      </c>
      <c r="Y250" s="562">
        <v>0</v>
      </c>
      <c r="Z250" s="562">
        <v>639580</v>
      </c>
      <c r="AA250" s="562">
        <v>183888</v>
      </c>
      <c r="AB250" s="562">
        <v>0</v>
      </c>
      <c r="AC250" s="562">
        <v>0</v>
      </c>
      <c r="AD250" s="562">
        <v>223088</v>
      </c>
      <c r="AE250" s="562">
        <v>54941</v>
      </c>
      <c r="AF250" s="562">
        <v>24380</v>
      </c>
      <c r="AG250" s="562">
        <v>16891</v>
      </c>
      <c r="AH250" s="562">
        <v>26550</v>
      </c>
      <c r="AI250" s="562">
        <v>0</v>
      </c>
      <c r="AJ250" s="562">
        <v>425000</v>
      </c>
      <c r="AK250" s="562">
        <v>61494</v>
      </c>
      <c r="AL250" s="562">
        <v>0</v>
      </c>
      <c r="AM250" s="562">
        <v>0</v>
      </c>
      <c r="AN250" s="562">
        <v>647423</v>
      </c>
      <c r="AP250" s="562">
        <v>1208168</v>
      </c>
      <c r="AQ250" s="562">
        <v>0</v>
      </c>
      <c r="AU250" s="562">
        <v>784709</v>
      </c>
      <c r="AV250" s="562">
        <v>0</v>
      </c>
      <c r="AX250" s="562">
        <v>92016</v>
      </c>
      <c r="AY250" s="562">
        <v>0</v>
      </c>
      <c r="BA250" s="562">
        <v>0</v>
      </c>
      <c r="BB250" s="562">
        <v>145000</v>
      </c>
      <c r="BD250" s="562">
        <v>0</v>
      </c>
      <c r="BE250" s="562">
        <v>3264099</v>
      </c>
      <c r="BH250" s="562">
        <v>337182</v>
      </c>
      <c r="BI250" s="562">
        <v>0</v>
      </c>
      <c r="BJ250" s="562">
        <v>84083</v>
      </c>
      <c r="BK250" s="562">
        <v>548638</v>
      </c>
      <c r="BL250" s="562">
        <v>0</v>
      </c>
      <c r="BM250" s="562">
        <v>0</v>
      </c>
      <c r="BN250" s="562">
        <v>1257421</v>
      </c>
      <c r="BO250" s="562">
        <v>0</v>
      </c>
      <c r="BP250" s="562">
        <v>144689</v>
      </c>
      <c r="BQ250" s="562">
        <v>0</v>
      </c>
      <c r="BR250" s="562">
        <v>435117</v>
      </c>
      <c r="BS250" s="562">
        <v>5280498</v>
      </c>
      <c r="BT250" s="562">
        <v>0</v>
      </c>
      <c r="BU250" s="562">
        <v>76734</v>
      </c>
      <c r="BV250" s="562">
        <v>0</v>
      </c>
      <c r="BW250" s="562">
        <v>0</v>
      </c>
      <c r="BY250" s="562">
        <v>9472</v>
      </c>
      <c r="BZ250" s="562">
        <v>2045130</v>
      </c>
      <c r="CA250" s="562">
        <v>0</v>
      </c>
    </row>
    <row r="251" spans="1:99" s="562" customFormat="1" x14ac:dyDescent="0.3">
      <c r="A251" s="561">
        <v>1061</v>
      </c>
      <c r="B251" s="562" t="s">
        <v>1713</v>
      </c>
      <c r="D251" s="562">
        <v>18963</v>
      </c>
      <c r="E251" s="562">
        <v>5782494</v>
      </c>
      <c r="G251" s="562">
        <v>0</v>
      </c>
      <c r="H251" s="562">
        <v>714998</v>
      </c>
      <c r="I251" s="562">
        <v>18018</v>
      </c>
      <c r="J251" s="562">
        <v>244282</v>
      </c>
      <c r="K251" s="562">
        <v>0</v>
      </c>
      <c r="L251" s="562">
        <v>0</v>
      </c>
      <c r="N251" s="562">
        <v>0</v>
      </c>
      <c r="P251" s="562">
        <v>0</v>
      </c>
      <c r="Q251" s="562">
        <v>2337008</v>
      </c>
      <c r="R251" s="562">
        <v>0</v>
      </c>
      <c r="S251" s="562">
        <v>0</v>
      </c>
      <c r="T251" s="562">
        <v>0</v>
      </c>
      <c r="U251" s="562">
        <v>645714</v>
      </c>
      <c r="V251" s="562">
        <v>0</v>
      </c>
      <c r="W251" s="562">
        <v>1138069</v>
      </c>
      <c r="X251" s="562">
        <v>0</v>
      </c>
      <c r="Y251" s="562">
        <v>0</v>
      </c>
      <c r="Z251" s="562">
        <v>195088</v>
      </c>
      <c r="AA251" s="562">
        <v>0</v>
      </c>
      <c r="AB251" s="562">
        <v>0</v>
      </c>
      <c r="AC251" s="562">
        <v>0</v>
      </c>
      <c r="AD251" s="562">
        <v>0</v>
      </c>
      <c r="AE251" s="562">
        <v>445109</v>
      </c>
      <c r="AF251" s="562">
        <v>0</v>
      </c>
      <c r="AG251" s="562">
        <v>0</v>
      </c>
      <c r="AH251" s="562">
        <v>0</v>
      </c>
      <c r="AI251" s="562">
        <v>0</v>
      </c>
      <c r="AJ251" s="562">
        <v>0</v>
      </c>
      <c r="AK251" s="562">
        <v>32840</v>
      </c>
      <c r="AL251" s="562">
        <v>0</v>
      </c>
      <c r="AM251" s="562">
        <v>3751706</v>
      </c>
      <c r="AN251" s="562">
        <v>0</v>
      </c>
      <c r="AP251" s="562">
        <v>804068</v>
      </c>
      <c r="AQ251" s="562">
        <v>0</v>
      </c>
      <c r="AU251" s="562">
        <v>0</v>
      </c>
      <c r="AV251" s="562">
        <v>21193</v>
      </c>
      <c r="AX251" s="562">
        <v>0</v>
      </c>
      <c r="AY251" s="562">
        <v>0</v>
      </c>
      <c r="BA251" s="562">
        <v>0</v>
      </c>
      <c r="BB251" s="562">
        <v>0</v>
      </c>
      <c r="BD251" s="562">
        <v>0</v>
      </c>
      <c r="BE251" s="562">
        <v>3264099</v>
      </c>
      <c r="BH251" s="562">
        <v>0</v>
      </c>
      <c r="BI251" s="562">
        <v>0</v>
      </c>
      <c r="BJ251" s="562">
        <v>67617</v>
      </c>
      <c r="BK251" s="562">
        <v>0</v>
      </c>
      <c r="BL251" s="562">
        <v>299</v>
      </c>
      <c r="BM251" s="562">
        <v>0</v>
      </c>
      <c r="BN251" s="562">
        <v>0</v>
      </c>
      <c r="BO251" s="562">
        <v>308977</v>
      </c>
      <c r="BP251" s="562">
        <v>0</v>
      </c>
      <c r="BQ251" s="562">
        <v>0</v>
      </c>
      <c r="BR251" s="562">
        <v>0</v>
      </c>
      <c r="BS251" s="562">
        <v>5280498</v>
      </c>
      <c r="BT251" s="562">
        <v>373801</v>
      </c>
      <c r="BU251" s="562">
        <v>0</v>
      </c>
      <c r="BV251" s="562">
        <v>0</v>
      </c>
      <c r="BW251" s="562">
        <v>0</v>
      </c>
      <c r="BY251" s="562">
        <v>0</v>
      </c>
      <c r="BZ251" s="562">
        <v>2591329</v>
      </c>
      <c r="CA251" s="562">
        <v>0</v>
      </c>
    </row>
    <row r="252" spans="1:99" s="562" customFormat="1" x14ac:dyDescent="0.3">
      <c r="A252" s="561">
        <v>1062</v>
      </c>
      <c r="B252" s="562" t="s">
        <v>1714</v>
      </c>
      <c r="D252" s="562">
        <v>1</v>
      </c>
      <c r="E252" s="562">
        <v>1</v>
      </c>
      <c r="G252" s="562">
        <v>1</v>
      </c>
      <c r="H252" s="562">
        <v>1</v>
      </c>
      <c r="I252" s="562">
        <v>1</v>
      </c>
      <c r="J252" s="562">
        <v>1</v>
      </c>
      <c r="K252" s="562">
        <v>1</v>
      </c>
      <c r="L252" s="562">
        <v>1</v>
      </c>
      <c r="N252" s="562">
        <v>1</v>
      </c>
      <c r="P252" s="562">
        <v>1</v>
      </c>
      <c r="Q252" s="562">
        <v>1</v>
      </c>
      <c r="R252" s="562">
        <v>1</v>
      </c>
      <c r="S252" s="562">
        <v>1</v>
      </c>
      <c r="T252" s="562">
        <v>1</v>
      </c>
      <c r="U252" s="562">
        <v>1</v>
      </c>
      <c r="V252" s="562">
        <v>0</v>
      </c>
      <c r="W252" s="562">
        <v>0</v>
      </c>
      <c r="X252" s="562">
        <v>1</v>
      </c>
      <c r="Y252" s="562">
        <v>1</v>
      </c>
      <c r="Z252" s="562">
        <v>1</v>
      </c>
      <c r="AA252" s="562">
        <v>1</v>
      </c>
      <c r="AB252" s="562">
        <v>1</v>
      </c>
      <c r="AC252" s="562">
        <v>0</v>
      </c>
      <c r="AD252" s="562">
        <v>1</v>
      </c>
      <c r="AE252" s="562">
        <v>1</v>
      </c>
      <c r="AF252" s="562">
        <v>1</v>
      </c>
      <c r="AG252" s="562">
        <v>0</v>
      </c>
      <c r="AH252" s="562">
        <v>1</v>
      </c>
      <c r="AI252" s="562">
        <v>1</v>
      </c>
      <c r="AJ252" s="562">
        <v>1</v>
      </c>
      <c r="AK252" s="562">
        <v>1</v>
      </c>
      <c r="AL252" s="562">
        <v>1</v>
      </c>
      <c r="AM252" s="562">
        <v>1</v>
      </c>
      <c r="AN252" s="562">
        <v>1</v>
      </c>
      <c r="AP252" s="562">
        <v>1</v>
      </c>
      <c r="AQ252" s="562">
        <v>1</v>
      </c>
      <c r="AU252" s="562">
        <v>1</v>
      </c>
      <c r="AV252" s="562">
        <v>1</v>
      </c>
      <c r="AX252" s="562">
        <v>1</v>
      </c>
      <c r="AY252" s="562">
        <v>1</v>
      </c>
      <c r="BA252" s="562">
        <v>1</v>
      </c>
      <c r="BB252" s="562">
        <v>1</v>
      </c>
      <c r="BD252" s="562">
        <v>1</v>
      </c>
      <c r="BE252" s="562">
        <v>1</v>
      </c>
      <c r="BH252" s="562">
        <v>1</v>
      </c>
      <c r="BI252" s="562">
        <v>1</v>
      </c>
      <c r="BJ252" s="562">
        <v>2</v>
      </c>
      <c r="BK252" s="562">
        <v>1</v>
      </c>
      <c r="BL252" s="562">
        <v>0</v>
      </c>
      <c r="BM252" s="562">
        <v>0</v>
      </c>
      <c r="BN252" s="562">
        <v>1</v>
      </c>
      <c r="BO252" s="562">
        <v>1</v>
      </c>
      <c r="BP252" s="562">
        <v>1</v>
      </c>
      <c r="BQ252" s="562">
        <v>1</v>
      </c>
      <c r="BR252" s="562">
        <v>1</v>
      </c>
      <c r="BS252" s="562">
        <v>1</v>
      </c>
      <c r="BT252" s="562">
        <v>1</v>
      </c>
      <c r="BU252" s="562">
        <v>1</v>
      </c>
      <c r="BV252" s="562">
        <v>1</v>
      </c>
      <c r="BW252" s="562">
        <v>0</v>
      </c>
      <c r="BY252" s="562">
        <v>1</v>
      </c>
      <c r="BZ252" s="562">
        <v>1</v>
      </c>
      <c r="CA252" s="562">
        <v>1</v>
      </c>
    </row>
    <row r="253" spans="1:99" s="562" customFormat="1" x14ac:dyDescent="0.3">
      <c r="A253" s="561">
        <v>1063</v>
      </c>
      <c r="B253" s="562" t="s">
        <v>1715</v>
      </c>
      <c r="D253" s="562">
        <v>1</v>
      </c>
      <c r="E253" s="562">
        <v>1</v>
      </c>
      <c r="G253" s="562">
        <v>1</v>
      </c>
      <c r="H253" s="562">
        <v>1</v>
      </c>
      <c r="I253" s="562">
        <v>1</v>
      </c>
      <c r="J253" s="562">
        <v>1</v>
      </c>
      <c r="K253" s="562">
        <v>1</v>
      </c>
      <c r="L253" s="562">
        <v>1</v>
      </c>
      <c r="N253" s="562">
        <v>1</v>
      </c>
      <c r="P253" s="562">
        <v>1</v>
      </c>
      <c r="Q253" s="562">
        <v>1</v>
      </c>
      <c r="R253" s="562">
        <v>1</v>
      </c>
      <c r="S253" s="562">
        <v>1</v>
      </c>
      <c r="T253" s="562">
        <v>1</v>
      </c>
      <c r="U253" s="562">
        <v>1</v>
      </c>
      <c r="V253" s="562">
        <v>0</v>
      </c>
      <c r="W253" s="562">
        <v>1</v>
      </c>
      <c r="X253" s="562">
        <v>1</v>
      </c>
      <c r="Y253" s="562">
        <v>1</v>
      </c>
      <c r="Z253" s="562">
        <v>1</v>
      </c>
      <c r="AA253" s="562">
        <v>1</v>
      </c>
      <c r="AB253" s="562">
        <v>1</v>
      </c>
      <c r="AC253" s="562">
        <v>0</v>
      </c>
      <c r="AD253" s="562">
        <v>1</v>
      </c>
      <c r="AE253" s="562">
        <v>1</v>
      </c>
      <c r="AF253" s="562">
        <v>1</v>
      </c>
      <c r="AG253" s="562">
        <v>0</v>
      </c>
      <c r="AH253" s="562">
        <v>1</v>
      </c>
      <c r="AI253" s="562">
        <v>1</v>
      </c>
      <c r="AJ253" s="562">
        <v>1</v>
      </c>
      <c r="AK253" s="562">
        <v>1</v>
      </c>
      <c r="AL253" s="562">
        <v>1</v>
      </c>
      <c r="AM253" s="562">
        <v>1</v>
      </c>
      <c r="AN253" s="562">
        <v>1</v>
      </c>
      <c r="AP253" s="562">
        <v>1</v>
      </c>
      <c r="AQ253" s="562">
        <v>1</v>
      </c>
      <c r="AU253" s="562">
        <v>1</v>
      </c>
      <c r="AV253" s="562">
        <v>1</v>
      </c>
      <c r="AX253" s="562">
        <v>1</v>
      </c>
      <c r="AY253" s="562">
        <v>1</v>
      </c>
      <c r="BA253" s="562">
        <v>1</v>
      </c>
      <c r="BB253" s="562">
        <v>1</v>
      </c>
      <c r="BD253" s="562">
        <v>1</v>
      </c>
      <c r="BE253" s="562">
        <v>1</v>
      </c>
      <c r="BH253" s="562">
        <v>1</v>
      </c>
      <c r="BI253" s="562">
        <v>1</v>
      </c>
      <c r="BJ253" s="562">
        <v>2</v>
      </c>
      <c r="BK253" s="562">
        <v>1</v>
      </c>
      <c r="BL253" s="562">
        <v>0</v>
      </c>
      <c r="BM253" s="562">
        <v>0</v>
      </c>
      <c r="BN253" s="562">
        <v>1</v>
      </c>
      <c r="BO253" s="562">
        <v>1</v>
      </c>
      <c r="BP253" s="562">
        <v>1</v>
      </c>
      <c r="BQ253" s="562">
        <v>1</v>
      </c>
      <c r="BR253" s="562">
        <v>1</v>
      </c>
      <c r="BS253" s="562">
        <v>1</v>
      </c>
      <c r="BT253" s="562">
        <v>1</v>
      </c>
      <c r="BU253" s="562">
        <v>1</v>
      </c>
      <c r="BV253" s="562">
        <v>1</v>
      </c>
      <c r="BW253" s="562">
        <v>0</v>
      </c>
      <c r="BY253" s="562">
        <v>1</v>
      </c>
      <c r="BZ253" s="562">
        <v>1</v>
      </c>
      <c r="CA253" s="562">
        <v>1</v>
      </c>
    </row>
    <row r="254" spans="1:99" s="555" customFormat="1" x14ac:dyDescent="0.3">
      <c r="A254" s="558">
        <v>1064</v>
      </c>
      <c r="B254" s="555" t="s">
        <v>1716</v>
      </c>
      <c r="E254" s="555">
        <v>0</v>
      </c>
      <c r="G254" s="555">
        <v>190869</v>
      </c>
      <c r="K254" s="555">
        <v>0</v>
      </c>
      <c r="L254" s="555">
        <v>9352894</v>
      </c>
      <c r="P254" s="555">
        <v>3929539</v>
      </c>
      <c r="Q254" s="555">
        <v>0</v>
      </c>
      <c r="S254" s="555">
        <v>0</v>
      </c>
      <c r="U254" s="555">
        <v>2550556</v>
      </c>
      <c r="X254" s="555">
        <v>0</v>
      </c>
      <c r="Y254" s="555">
        <v>0</v>
      </c>
      <c r="AA254" s="555">
        <v>695888</v>
      </c>
      <c r="AJ254" s="555">
        <v>419783</v>
      </c>
      <c r="AM254" s="555">
        <v>0</v>
      </c>
      <c r="AN254" s="555">
        <v>647423</v>
      </c>
      <c r="AQ254" s="555">
        <v>0</v>
      </c>
      <c r="AU254" s="555">
        <v>784706</v>
      </c>
      <c r="BE254" s="555">
        <v>1948640</v>
      </c>
      <c r="BH254" s="555">
        <v>337182</v>
      </c>
      <c r="BJ254" s="555">
        <v>84083</v>
      </c>
      <c r="BN254" s="555">
        <v>1257421</v>
      </c>
      <c r="BS254" s="555">
        <v>5280498</v>
      </c>
      <c r="BZ254" s="555">
        <v>2045130</v>
      </c>
    </row>
    <row r="255" spans="1:99" s="555" customFormat="1" x14ac:dyDescent="0.3">
      <c r="A255" s="558">
        <v>1065</v>
      </c>
      <c r="B255" s="555" t="s">
        <v>1717</v>
      </c>
      <c r="E255" s="555">
        <v>0</v>
      </c>
      <c r="G255" s="555">
        <v>0</v>
      </c>
      <c r="K255" s="555">
        <v>0</v>
      </c>
      <c r="L255" s="555">
        <v>0</v>
      </c>
      <c r="P255" s="555">
        <v>0</v>
      </c>
      <c r="Q255" s="555">
        <v>0</v>
      </c>
      <c r="S255" s="555">
        <v>1906215</v>
      </c>
      <c r="U255" s="555">
        <v>0</v>
      </c>
      <c r="X255" s="555">
        <v>0</v>
      </c>
      <c r="Y255" s="555">
        <v>0</v>
      </c>
      <c r="AA255" s="555">
        <v>0</v>
      </c>
      <c r="AJ255" s="555">
        <v>0</v>
      </c>
      <c r="AM255" s="555">
        <v>0</v>
      </c>
      <c r="AN255" s="555">
        <v>0</v>
      </c>
      <c r="AQ255" s="555">
        <v>0</v>
      </c>
      <c r="AU255" s="555">
        <v>0</v>
      </c>
      <c r="BE255" s="555">
        <v>0</v>
      </c>
      <c r="BH255" s="555">
        <v>0</v>
      </c>
      <c r="BJ255" s="555">
        <v>0</v>
      </c>
      <c r="BN255" s="555">
        <v>0</v>
      </c>
      <c r="BS255" s="555">
        <v>0</v>
      </c>
      <c r="BZ255" s="555">
        <v>0</v>
      </c>
    </row>
    <row r="256" spans="1:99" s="562" customFormat="1" x14ac:dyDescent="0.3">
      <c r="A256" s="561">
        <v>1066</v>
      </c>
      <c r="B256" s="562" t="s">
        <v>1718</v>
      </c>
      <c r="D256" s="562" t="s">
        <v>2060</v>
      </c>
      <c r="E256" s="562" t="s">
        <v>2617</v>
      </c>
      <c r="G256" s="562" t="s">
        <v>2059</v>
      </c>
      <c r="H256" s="562" t="s">
        <v>2618</v>
      </c>
      <c r="I256" s="562" t="s">
        <v>2619</v>
      </c>
      <c r="J256" s="562" t="s">
        <v>2620</v>
      </c>
      <c r="K256" s="562" t="s">
        <v>2621</v>
      </c>
      <c r="L256" s="562" t="s">
        <v>2622</v>
      </c>
      <c r="N256" s="562" t="s">
        <v>2014</v>
      </c>
      <c r="P256" s="562" t="s">
        <v>2623</v>
      </c>
      <c r="Q256" s="562" t="s">
        <v>2624</v>
      </c>
      <c r="R256" s="562" t="s">
        <v>1723</v>
      </c>
      <c r="S256" s="562" t="s">
        <v>2058</v>
      </c>
      <c r="T256" s="562" t="s">
        <v>1723</v>
      </c>
      <c r="U256" s="562" t="s">
        <v>2018</v>
      </c>
      <c r="V256" s="562" t="s">
        <v>2625</v>
      </c>
      <c r="W256" s="562" t="s">
        <v>2617</v>
      </c>
      <c r="X256" s="562" t="s">
        <v>1722</v>
      </c>
      <c r="Y256" s="562" t="s">
        <v>1722</v>
      </c>
      <c r="Z256" s="562" t="s">
        <v>1720</v>
      </c>
      <c r="AA256" s="562" t="s">
        <v>2626</v>
      </c>
      <c r="AB256" s="562" t="s">
        <v>1720</v>
      </c>
      <c r="AC256" s="562" t="s">
        <v>1721</v>
      </c>
      <c r="AD256" s="562" t="s">
        <v>2627</v>
      </c>
      <c r="AE256" s="562" t="s">
        <v>2628</v>
      </c>
      <c r="AF256" s="562" t="s">
        <v>1723</v>
      </c>
      <c r="AG256" s="562" t="s">
        <v>2629</v>
      </c>
      <c r="AH256" s="562" t="s">
        <v>1721</v>
      </c>
      <c r="AI256" s="562" t="s">
        <v>2016</v>
      </c>
      <c r="AJ256" s="562" t="s">
        <v>2017</v>
      </c>
      <c r="AK256" s="562" t="s">
        <v>1723</v>
      </c>
      <c r="AL256" s="562" t="s">
        <v>2630</v>
      </c>
      <c r="AM256" s="562" t="s">
        <v>1723</v>
      </c>
      <c r="AN256" s="562" t="s">
        <v>2062</v>
      </c>
      <c r="AP256" s="562" t="s">
        <v>1721</v>
      </c>
      <c r="AQ256" s="562" t="s">
        <v>2059</v>
      </c>
      <c r="AU256" s="562" t="s">
        <v>2623</v>
      </c>
      <c r="AV256" s="562" t="s">
        <v>2631</v>
      </c>
      <c r="AX256" s="562" t="s">
        <v>1723</v>
      </c>
      <c r="AY256" s="562" t="s">
        <v>2624</v>
      </c>
      <c r="BA256" s="562" t="s">
        <v>1720</v>
      </c>
      <c r="BB256" s="562" t="s">
        <v>2624</v>
      </c>
      <c r="BD256" s="562" t="s">
        <v>2013</v>
      </c>
      <c r="BE256" s="562" t="s">
        <v>1720</v>
      </c>
      <c r="BH256" s="562" t="s">
        <v>2632</v>
      </c>
      <c r="BI256" s="562" t="s">
        <v>2628</v>
      </c>
      <c r="BJ256" s="562" t="s">
        <v>1721</v>
      </c>
      <c r="BK256" s="562" t="s">
        <v>1719</v>
      </c>
      <c r="BL256" s="562" t="s">
        <v>2015</v>
      </c>
      <c r="BM256" s="562" t="s">
        <v>2061</v>
      </c>
      <c r="BN256" s="562" t="s">
        <v>1720</v>
      </c>
      <c r="BO256" s="562" t="s">
        <v>1723</v>
      </c>
      <c r="BP256" s="562" t="s">
        <v>1719</v>
      </c>
      <c r="BQ256" s="562" t="s">
        <v>2633</v>
      </c>
      <c r="BR256" s="562" t="s">
        <v>2634</v>
      </c>
      <c r="BS256" s="562" t="s">
        <v>2622</v>
      </c>
      <c r="BT256" s="562" t="s">
        <v>1720</v>
      </c>
      <c r="BU256" s="562" t="s">
        <v>1720</v>
      </c>
      <c r="BV256" s="562" t="s">
        <v>2018</v>
      </c>
      <c r="BW256" s="562" t="s">
        <v>1721</v>
      </c>
      <c r="BY256" s="562" t="s">
        <v>1720</v>
      </c>
      <c r="BZ256" s="562" t="s">
        <v>1719</v>
      </c>
      <c r="CA256" s="562" t="s">
        <v>2059</v>
      </c>
    </row>
    <row r="257" spans="1:79" s="562" customFormat="1" x14ac:dyDescent="0.3">
      <c r="A257" s="561">
        <v>9000</v>
      </c>
      <c r="B257" s="562" t="s">
        <v>1028</v>
      </c>
      <c r="C257" s="562" t="s">
        <v>351</v>
      </c>
      <c r="D257" s="562">
        <v>42763898.395000003</v>
      </c>
      <c r="E257" s="562">
        <v>711815402.91499996</v>
      </c>
      <c r="F257" s="562">
        <v>50242.01</v>
      </c>
      <c r="G257" s="562">
        <v>2582490673.9520001</v>
      </c>
      <c r="H257" s="562">
        <v>282081941.97500002</v>
      </c>
      <c r="I257" s="562">
        <v>15338496.699999999</v>
      </c>
      <c r="J257" s="562">
        <v>114703334.34999999</v>
      </c>
      <c r="K257" s="562">
        <v>92001057.469999999</v>
      </c>
      <c r="L257" s="562">
        <v>3189180968.8099999</v>
      </c>
      <c r="M257" s="562">
        <v>50248</v>
      </c>
      <c r="N257" s="562">
        <v>49698511.520000003</v>
      </c>
      <c r="O257" s="562">
        <v>50250.01</v>
      </c>
      <c r="P257" s="562">
        <v>1119253967.349</v>
      </c>
      <c r="Q257" s="562">
        <v>775885713.70000005</v>
      </c>
      <c r="R257" s="562">
        <v>355725564.43000001</v>
      </c>
      <c r="S257" s="562">
        <v>912149039.90999997</v>
      </c>
      <c r="T257" s="562">
        <v>18377389.59</v>
      </c>
      <c r="U257" s="562">
        <v>1778946885.3199999</v>
      </c>
      <c r="V257" s="562">
        <v>2180192.4900000002</v>
      </c>
      <c r="W257" s="562">
        <v>296039636.13</v>
      </c>
      <c r="X257" s="562">
        <v>724988789.67999995</v>
      </c>
      <c r="Y257" s="562">
        <v>236116674.6058</v>
      </c>
      <c r="Z257" s="562">
        <v>198985055.542</v>
      </c>
      <c r="AA257" s="562">
        <v>323546744.31999999</v>
      </c>
      <c r="AB257" s="562">
        <v>25035339</v>
      </c>
      <c r="AC257" s="562">
        <v>11613385.463</v>
      </c>
      <c r="AD257" s="562">
        <v>97977874.939999998</v>
      </c>
      <c r="AE257" s="562">
        <v>237964627.78</v>
      </c>
      <c r="AF257" s="562">
        <v>11253973.84</v>
      </c>
      <c r="AG257" s="562">
        <v>1482767.74</v>
      </c>
      <c r="AH257" s="562">
        <v>7388251.5300000003</v>
      </c>
      <c r="AI257" s="562">
        <v>58759005.125</v>
      </c>
      <c r="AJ257" s="562">
        <v>588113677.21000004</v>
      </c>
      <c r="AK257" s="562">
        <v>19944172.370000001</v>
      </c>
      <c r="AL257" s="562">
        <v>1279276.4099999999</v>
      </c>
      <c r="AM257" s="562">
        <v>822923447.35000002</v>
      </c>
      <c r="AN257" s="562">
        <v>920951387.65849996</v>
      </c>
      <c r="AO257" s="562">
        <v>50270.01</v>
      </c>
      <c r="AP257" s="562">
        <v>161635059.507</v>
      </c>
      <c r="AQ257" s="562">
        <v>1719794935.0699999</v>
      </c>
      <c r="AR257" s="562">
        <v>50272.01</v>
      </c>
      <c r="AS257" s="562">
        <v>50273.01</v>
      </c>
      <c r="AT257" s="562">
        <v>50274.01</v>
      </c>
      <c r="AU257" s="562">
        <v>690420009.82000005</v>
      </c>
      <c r="AV257" s="562">
        <v>22610095.690000001</v>
      </c>
      <c r="AW257" s="562">
        <v>50277.01</v>
      </c>
      <c r="AX257" s="562">
        <v>206775832.61000001</v>
      </c>
      <c r="AY257" s="562">
        <v>148718361.33000001</v>
      </c>
      <c r="AZ257" s="562">
        <v>50280.09</v>
      </c>
      <c r="BA257" s="562">
        <v>2337575.5699999998</v>
      </c>
      <c r="BB257" s="562">
        <v>104534255.26000001</v>
      </c>
      <c r="BC257" s="562">
        <v>50283.1</v>
      </c>
      <c r="BD257" s="562">
        <v>3787644.5</v>
      </c>
      <c r="BE257" s="562">
        <v>1352946753.75</v>
      </c>
      <c r="BF257" s="562">
        <v>50286.1</v>
      </c>
      <c r="BG257" s="562">
        <v>50287</v>
      </c>
      <c r="BH257" s="562">
        <v>140054922.09</v>
      </c>
      <c r="BI257" s="562">
        <v>136726865.27000001</v>
      </c>
      <c r="BJ257" s="562">
        <v>51055164.609999999</v>
      </c>
      <c r="BK257" s="562">
        <v>360921930.22000003</v>
      </c>
      <c r="BL257" s="562">
        <v>201460767.34999999</v>
      </c>
      <c r="BM257" s="562">
        <v>2101098</v>
      </c>
      <c r="BN257" s="562">
        <v>310124684.56999999</v>
      </c>
      <c r="BO257" s="562">
        <v>156929623.00999999</v>
      </c>
      <c r="BP257" s="562">
        <v>79315325.569999993</v>
      </c>
      <c r="BQ257" s="562">
        <v>102106690.26000001</v>
      </c>
      <c r="BR257" s="562">
        <v>71997631.939999998</v>
      </c>
      <c r="BS257" s="562">
        <v>1193991271.3199999</v>
      </c>
      <c r="BT257" s="562">
        <v>87334158.629999995</v>
      </c>
      <c r="BU257" s="562">
        <v>183848716.18000001</v>
      </c>
      <c r="BV257" s="562">
        <v>51995901.049999997</v>
      </c>
      <c r="BW257" s="562">
        <v>53651198.719999999</v>
      </c>
      <c r="BX257" s="562">
        <v>50301</v>
      </c>
      <c r="BY257" s="562">
        <v>2124495.38</v>
      </c>
      <c r="BZ257" s="562">
        <v>1112052261.1500001</v>
      </c>
      <c r="CA257" s="562">
        <v>2304809.85</v>
      </c>
    </row>
    <row r="258" spans="1:79" s="564" customFormat="1" x14ac:dyDescent="0.3">
      <c r="A258" s="155">
        <v>9001</v>
      </c>
      <c r="B258" s="564" t="s">
        <v>1029</v>
      </c>
      <c r="C258" s="564" t="s">
        <v>1030</v>
      </c>
      <c r="D258" s="564">
        <v>6907418</v>
      </c>
      <c r="E258" s="564">
        <v>115256806</v>
      </c>
      <c r="F258" s="564">
        <v>0</v>
      </c>
      <c r="G258" s="564">
        <v>180317889</v>
      </c>
      <c r="H258" s="564">
        <v>18940554</v>
      </c>
      <c r="I258" s="564">
        <v>818393</v>
      </c>
      <c r="J258" s="564">
        <v>4349504</v>
      </c>
      <c r="K258" s="564">
        <v>5931555</v>
      </c>
      <c r="L258" s="564">
        <v>371259393</v>
      </c>
      <c r="M258" s="564">
        <v>0</v>
      </c>
      <c r="N258" s="564">
        <v>2505832</v>
      </c>
      <c r="O258" s="564">
        <v>0</v>
      </c>
      <c r="P258" s="564">
        <v>198800343</v>
      </c>
      <c r="Q258" s="564">
        <v>74123689</v>
      </c>
      <c r="R258" s="564">
        <v>18010406</v>
      </c>
      <c r="S258" s="564">
        <v>40480548</v>
      </c>
      <c r="T258" s="564">
        <v>878366</v>
      </c>
      <c r="U258" s="564">
        <v>60962430</v>
      </c>
      <c r="V258" s="564">
        <v>278063</v>
      </c>
      <c r="W258" s="564">
        <v>37621797</v>
      </c>
      <c r="X258" s="564">
        <v>141351324</v>
      </c>
      <c r="Y258" s="564">
        <v>22742424</v>
      </c>
      <c r="Z258" s="564">
        <v>5967610</v>
      </c>
      <c r="AA258" s="564">
        <v>36458646</v>
      </c>
      <c r="AB258" s="564">
        <v>2507307</v>
      </c>
      <c r="AC258" s="564">
        <v>706965</v>
      </c>
      <c r="AD258" s="564">
        <v>4201260</v>
      </c>
      <c r="AE258" s="564">
        <v>11672864</v>
      </c>
      <c r="AF258" s="564">
        <v>1714491</v>
      </c>
      <c r="AG258" s="564">
        <v>185295</v>
      </c>
      <c r="AH258" s="564">
        <v>1270346</v>
      </c>
      <c r="AI258" s="564">
        <v>7175023</v>
      </c>
      <c r="AJ258" s="564">
        <v>24151368</v>
      </c>
      <c r="AK258" s="564">
        <v>1361424</v>
      </c>
      <c r="AL258" s="564">
        <v>159398</v>
      </c>
      <c r="AM258" s="564">
        <v>150929802</v>
      </c>
      <c r="AN258" s="564">
        <v>50907108</v>
      </c>
      <c r="AO258" s="564">
        <v>0</v>
      </c>
      <c r="AP258" s="564">
        <v>25433246</v>
      </c>
      <c r="AQ258" s="564">
        <v>79490346</v>
      </c>
      <c r="AR258" s="564">
        <v>0</v>
      </c>
      <c r="AS258" s="564">
        <v>0</v>
      </c>
      <c r="AT258" s="564">
        <v>0</v>
      </c>
      <c r="AU258" s="564">
        <v>36707965</v>
      </c>
      <c r="AV258" s="564">
        <v>1139957</v>
      </c>
      <c r="AW258" s="564">
        <v>0</v>
      </c>
      <c r="AX258" s="564">
        <v>17185221</v>
      </c>
      <c r="AY258" s="564">
        <v>8535374</v>
      </c>
      <c r="AZ258" s="564">
        <v>0</v>
      </c>
      <c r="BA258" s="564">
        <v>257423</v>
      </c>
      <c r="BB258" s="564">
        <v>7806767</v>
      </c>
      <c r="BC258" s="564">
        <v>0</v>
      </c>
      <c r="BD258" s="564">
        <v>448225</v>
      </c>
      <c r="BE258" s="564">
        <v>66778396</v>
      </c>
      <c r="BF258" s="564">
        <v>0</v>
      </c>
      <c r="BG258" s="564">
        <v>0</v>
      </c>
      <c r="BH258" s="564">
        <v>13203243</v>
      </c>
      <c r="BI258" s="564">
        <v>13452584</v>
      </c>
      <c r="BJ258" s="564">
        <v>1264606</v>
      </c>
      <c r="BK258" s="564">
        <v>18097402</v>
      </c>
      <c r="BL258" s="564">
        <v>16925786</v>
      </c>
      <c r="BM258" s="564">
        <v>237783</v>
      </c>
      <c r="BN258" s="564">
        <v>20054096</v>
      </c>
      <c r="BO258" s="564">
        <v>9837493</v>
      </c>
      <c r="BP258" s="564">
        <v>2548726</v>
      </c>
      <c r="BQ258" s="564">
        <v>5802420</v>
      </c>
      <c r="BR258" s="564">
        <v>15686236</v>
      </c>
      <c r="BS258" s="564">
        <v>289168054</v>
      </c>
      <c r="BT258" s="564">
        <v>6001654</v>
      </c>
      <c r="BU258" s="564">
        <v>8268115</v>
      </c>
      <c r="BV258" s="564">
        <v>2629744</v>
      </c>
      <c r="BW258" s="564">
        <v>5087501</v>
      </c>
      <c r="BX258" s="564">
        <v>0</v>
      </c>
      <c r="BY258" s="564">
        <v>262073</v>
      </c>
      <c r="BZ258" s="564">
        <v>97289750</v>
      </c>
      <c r="CA258" s="564">
        <v>379794</v>
      </c>
    </row>
    <row r="259" spans="1:79" s="564" customFormat="1" x14ac:dyDescent="0.3">
      <c r="A259" s="155">
        <v>9002</v>
      </c>
      <c r="B259" s="564" t="s">
        <v>1031</v>
      </c>
      <c r="C259" s="564" t="s">
        <v>1032</v>
      </c>
      <c r="D259" s="564">
        <v>125753</v>
      </c>
      <c r="E259" s="564">
        <v>9636713</v>
      </c>
      <c r="F259" s="564">
        <v>0</v>
      </c>
      <c r="G259" s="564">
        <v>8106811</v>
      </c>
      <c r="H259" s="564">
        <v>617572</v>
      </c>
      <c r="I259" s="564">
        <v>16822</v>
      </c>
      <c r="J259" s="564">
        <v>49695</v>
      </c>
      <c r="K259" s="564">
        <v>495399</v>
      </c>
      <c r="L259" s="564">
        <v>17536164</v>
      </c>
      <c r="M259" s="564">
        <v>0</v>
      </c>
      <c r="N259" s="564">
        <v>185264</v>
      </c>
      <c r="O259" s="564">
        <v>0</v>
      </c>
      <c r="P259" s="564">
        <v>8676254</v>
      </c>
      <c r="Q259" s="564">
        <v>10019177</v>
      </c>
      <c r="R259" s="564">
        <v>1516557</v>
      </c>
      <c r="S259" s="564">
        <v>2808783</v>
      </c>
      <c r="T259" s="564">
        <v>116694</v>
      </c>
      <c r="U259" s="564">
        <v>3584679</v>
      </c>
      <c r="V259" s="564">
        <v>2859</v>
      </c>
      <c r="W259" s="564">
        <v>2557460</v>
      </c>
      <c r="X259" s="564">
        <v>3538860</v>
      </c>
      <c r="Y259" s="564">
        <v>1198770</v>
      </c>
      <c r="Z259" s="564">
        <v>153385</v>
      </c>
      <c r="AA259" s="564">
        <v>17263989</v>
      </c>
      <c r="AB259" s="564">
        <v>540012</v>
      </c>
      <c r="AC259" s="564">
        <v>4905</v>
      </c>
      <c r="AD259" s="564">
        <v>46051</v>
      </c>
      <c r="AE259" s="564">
        <v>750033</v>
      </c>
      <c r="AF259" s="564">
        <v>253779</v>
      </c>
      <c r="AG259" s="564">
        <v>1204</v>
      </c>
      <c r="AH259" s="564">
        <v>11358</v>
      </c>
      <c r="AI259" s="564">
        <v>451332</v>
      </c>
      <c r="AJ259" s="564">
        <v>3901246</v>
      </c>
      <c r="AK259" s="564">
        <v>81028</v>
      </c>
      <c r="AL259" s="564">
        <v>13107</v>
      </c>
      <c r="AM259" s="564">
        <v>10671786</v>
      </c>
      <c r="AN259" s="564">
        <v>4629352</v>
      </c>
      <c r="AO259" s="564">
        <v>0</v>
      </c>
      <c r="AP259" s="564">
        <v>1609692</v>
      </c>
      <c r="AQ259" s="564">
        <v>6871878</v>
      </c>
      <c r="AR259" s="564">
        <v>0</v>
      </c>
      <c r="AS259" s="564">
        <v>0</v>
      </c>
      <c r="AT259" s="564">
        <v>0</v>
      </c>
      <c r="AU259" s="564">
        <v>2609064</v>
      </c>
      <c r="AV259" s="564">
        <v>4993</v>
      </c>
      <c r="AW259" s="564">
        <v>0</v>
      </c>
      <c r="AX259" s="564">
        <v>567409</v>
      </c>
      <c r="AY259" s="564">
        <v>1071497</v>
      </c>
      <c r="AZ259" s="564">
        <v>0</v>
      </c>
      <c r="BA259" s="564">
        <v>0</v>
      </c>
      <c r="BB259" s="564">
        <v>878514</v>
      </c>
      <c r="BC259" s="564">
        <v>0</v>
      </c>
      <c r="BD259" s="564">
        <v>1038</v>
      </c>
      <c r="BE259" s="564">
        <v>4203560</v>
      </c>
      <c r="BF259" s="564">
        <v>0</v>
      </c>
      <c r="BG259" s="564">
        <v>0</v>
      </c>
      <c r="BH259" s="564">
        <v>56836</v>
      </c>
      <c r="BI259" s="564">
        <v>452069</v>
      </c>
      <c r="BJ259" s="564">
        <v>48085</v>
      </c>
      <c r="BK259" s="564">
        <v>253703</v>
      </c>
      <c r="BL259" s="564">
        <v>440329</v>
      </c>
      <c r="BM259" s="564">
        <v>0</v>
      </c>
      <c r="BN259" s="564">
        <v>1147176</v>
      </c>
      <c r="BO259" s="564">
        <v>419698</v>
      </c>
      <c r="BP259" s="564">
        <v>34342</v>
      </c>
      <c r="BQ259" s="564">
        <v>102774</v>
      </c>
      <c r="BR259" s="564">
        <v>183128</v>
      </c>
      <c r="BS259" s="564">
        <v>3251311</v>
      </c>
      <c r="BT259" s="564">
        <v>117767</v>
      </c>
      <c r="BU259" s="564">
        <v>6173152</v>
      </c>
      <c r="BV259" s="564">
        <v>123767</v>
      </c>
      <c r="BW259" s="564">
        <v>111777</v>
      </c>
      <c r="BX259" s="564">
        <v>0</v>
      </c>
      <c r="BY259" s="564">
        <v>7738</v>
      </c>
      <c r="BZ259" s="564">
        <v>4707904</v>
      </c>
      <c r="CA259" s="564">
        <v>35549</v>
      </c>
    </row>
    <row r="260" spans="1:79" s="564" customFormat="1" x14ac:dyDescent="0.3">
      <c r="A260" s="155">
        <v>9003</v>
      </c>
      <c r="B260" s="564" t="s">
        <v>1033</v>
      </c>
      <c r="C260" s="564" t="s">
        <v>1034</v>
      </c>
      <c r="D260" s="564">
        <v>2280032</v>
      </c>
      <c r="E260" s="564">
        <v>28283431</v>
      </c>
      <c r="F260" s="564">
        <v>0</v>
      </c>
      <c r="G260" s="564">
        <v>43325465</v>
      </c>
      <c r="H260" s="564">
        <v>3047660</v>
      </c>
      <c r="I260" s="564">
        <v>493391</v>
      </c>
      <c r="J260" s="564">
        <v>579301</v>
      </c>
      <c r="K260" s="564">
        <v>2897573</v>
      </c>
      <c r="L260" s="564">
        <v>239772225</v>
      </c>
      <c r="M260" s="564">
        <v>0</v>
      </c>
      <c r="N260" s="564">
        <v>1198822</v>
      </c>
      <c r="O260" s="564">
        <v>0</v>
      </c>
      <c r="P260" s="564">
        <v>51640196</v>
      </c>
      <c r="Q260" s="564">
        <v>30158114</v>
      </c>
      <c r="R260" s="564">
        <v>6211314</v>
      </c>
      <c r="S260" s="564">
        <v>21538319</v>
      </c>
      <c r="T260" s="564">
        <v>116694</v>
      </c>
      <c r="U260" s="564">
        <v>28342942</v>
      </c>
      <c r="V260" s="564">
        <v>17433</v>
      </c>
      <c r="W260" s="564">
        <v>13463099</v>
      </c>
      <c r="X260" s="564">
        <v>31320062</v>
      </c>
      <c r="Y260" s="564">
        <v>10207832</v>
      </c>
      <c r="Z260" s="564">
        <v>413955</v>
      </c>
      <c r="AA260" s="564">
        <v>24411646</v>
      </c>
      <c r="AB260" s="564">
        <v>540102</v>
      </c>
      <c r="AC260" s="564">
        <v>4905</v>
      </c>
      <c r="AD260" s="564">
        <v>404363</v>
      </c>
      <c r="AE260" s="564">
        <v>2405930</v>
      </c>
      <c r="AF260" s="564">
        <v>253779</v>
      </c>
      <c r="AG260" s="564">
        <v>1204</v>
      </c>
      <c r="AH260" s="564">
        <v>11358</v>
      </c>
      <c r="AI260" s="564">
        <v>1378198</v>
      </c>
      <c r="AJ260" s="564">
        <v>14866020</v>
      </c>
      <c r="AK260" s="564">
        <v>81028</v>
      </c>
      <c r="AL260" s="564">
        <v>13107</v>
      </c>
      <c r="AM260" s="564">
        <v>30660290</v>
      </c>
      <c r="AN260" s="564">
        <v>17537366</v>
      </c>
      <c r="AO260" s="564">
        <v>0</v>
      </c>
      <c r="AP260" s="564">
        <v>3454924</v>
      </c>
      <c r="AQ260" s="564">
        <v>40649356</v>
      </c>
      <c r="AR260" s="564">
        <v>0</v>
      </c>
      <c r="AS260" s="564">
        <v>0</v>
      </c>
      <c r="AT260" s="564">
        <v>0</v>
      </c>
      <c r="AU260" s="564">
        <v>19597035</v>
      </c>
      <c r="AV260" s="564">
        <v>28915</v>
      </c>
      <c r="AW260" s="564">
        <v>0</v>
      </c>
      <c r="AX260" s="564">
        <v>1924282</v>
      </c>
      <c r="AY260" s="564">
        <v>3965853</v>
      </c>
      <c r="AZ260" s="564">
        <v>0</v>
      </c>
      <c r="BA260" s="564">
        <v>17847</v>
      </c>
      <c r="BB260" s="564">
        <v>2504560</v>
      </c>
      <c r="BC260" s="564">
        <v>0</v>
      </c>
      <c r="BD260" s="564">
        <v>15060</v>
      </c>
      <c r="BE260" s="564">
        <v>69878214</v>
      </c>
      <c r="BF260" s="564">
        <v>0</v>
      </c>
      <c r="BG260" s="564">
        <v>0</v>
      </c>
      <c r="BH260" s="564">
        <v>10124261</v>
      </c>
      <c r="BI260" s="564">
        <v>1761880</v>
      </c>
      <c r="BJ260" s="564">
        <v>221445</v>
      </c>
      <c r="BK260" s="564">
        <v>3381122</v>
      </c>
      <c r="BL260" s="564">
        <v>4263548</v>
      </c>
      <c r="BM260" s="564">
        <v>15750</v>
      </c>
      <c r="BN260" s="564">
        <v>5907043</v>
      </c>
      <c r="BO260" s="564">
        <v>1073763</v>
      </c>
      <c r="BP260" s="564">
        <v>294980</v>
      </c>
      <c r="BQ260" s="564">
        <v>2575934</v>
      </c>
      <c r="BR260" s="564">
        <v>1498317</v>
      </c>
      <c r="BS260" s="564">
        <v>17249500</v>
      </c>
      <c r="BT260" s="564">
        <v>1871975</v>
      </c>
      <c r="BU260" s="564">
        <v>7577548</v>
      </c>
      <c r="BV260" s="564">
        <v>671473</v>
      </c>
      <c r="BW260" s="564">
        <v>163119</v>
      </c>
      <c r="BX260" s="564">
        <v>0</v>
      </c>
      <c r="BY260" s="564">
        <v>7738</v>
      </c>
      <c r="BZ260" s="564">
        <v>28622198</v>
      </c>
      <c r="CA260" s="564">
        <v>61592</v>
      </c>
    </row>
    <row r="261" spans="1:79" s="562" customFormat="1" x14ac:dyDescent="0.3">
      <c r="A261" s="561">
        <v>9004</v>
      </c>
      <c r="B261" s="562" t="s">
        <v>1035</v>
      </c>
      <c r="C261" s="562" t="s">
        <v>1036</v>
      </c>
      <c r="D261" s="562" t="s">
        <v>351</v>
      </c>
      <c r="E261" s="562" t="s">
        <v>351</v>
      </c>
      <c r="F261" s="562" t="s">
        <v>1037</v>
      </c>
      <c r="G261" s="562" t="s">
        <v>1037</v>
      </c>
      <c r="H261" s="562" t="s">
        <v>1037</v>
      </c>
      <c r="I261" s="562" t="s">
        <v>1037</v>
      </c>
      <c r="J261" s="562" t="s">
        <v>1037</v>
      </c>
      <c r="K261" s="562" t="s">
        <v>1037</v>
      </c>
      <c r="L261" s="562" t="s">
        <v>1037</v>
      </c>
      <c r="M261" s="562" t="s">
        <v>351</v>
      </c>
      <c r="N261" s="562" t="s">
        <v>1037</v>
      </c>
      <c r="O261" s="562" t="s">
        <v>1037</v>
      </c>
      <c r="P261" s="562" t="s">
        <v>351</v>
      </c>
      <c r="Q261" s="562" t="s">
        <v>1037</v>
      </c>
      <c r="R261" s="562" t="s">
        <v>1037</v>
      </c>
      <c r="S261" s="562" t="s">
        <v>1037</v>
      </c>
      <c r="T261" s="562" t="s">
        <v>1037</v>
      </c>
      <c r="U261" s="562" t="s">
        <v>1037</v>
      </c>
      <c r="V261" s="562" t="s">
        <v>351</v>
      </c>
      <c r="W261" s="562" t="s">
        <v>351</v>
      </c>
      <c r="X261" s="562" t="s">
        <v>351</v>
      </c>
      <c r="Y261" s="562" t="s">
        <v>1037</v>
      </c>
      <c r="Z261" s="562" t="s">
        <v>1037</v>
      </c>
      <c r="AA261" s="562" t="s">
        <v>1037</v>
      </c>
      <c r="AB261" s="562" t="s">
        <v>351</v>
      </c>
      <c r="AC261" s="562" t="s">
        <v>1037</v>
      </c>
      <c r="AD261" s="562" t="s">
        <v>1037</v>
      </c>
      <c r="AE261" s="562" t="s">
        <v>1037</v>
      </c>
      <c r="AF261" s="562" t="s">
        <v>1037</v>
      </c>
      <c r="AG261" s="562" t="s">
        <v>351</v>
      </c>
      <c r="AH261" s="562" t="s">
        <v>351</v>
      </c>
      <c r="AI261" s="562" t="s">
        <v>351</v>
      </c>
      <c r="AJ261" s="562" t="s">
        <v>1037</v>
      </c>
      <c r="AK261" s="562" t="s">
        <v>1037</v>
      </c>
      <c r="AL261" s="562" t="s">
        <v>351</v>
      </c>
      <c r="AM261" s="562" t="s">
        <v>351</v>
      </c>
      <c r="AN261" s="562" t="s">
        <v>1037</v>
      </c>
      <c r="AO261" s="562" t="s">
        <v>1037</v>
      </c>
      <c r="AP261" s="562" t="s">
        <v>351</v>
      </c>
      <c r="AQ261" s="562" t="s">
        <v>1037</v>
      </c>
      <c r="AR261" s="562" t="s">
        <v>1037</v>
      </c>
      <c r="AS261" s="562" t="s">
        <v>1037</v>
      </c>
      <c r="AT261" s="562" t="s">
        <v>1037</v>
      </c>
      <c r="AU261" s="562" t="s">
        <v>1037</v>
      </c>
      <c r="AV261" s="562" t="s">
        <v>1037</v>
      </c>
      <c r="AW261" s="562" t="s">
        <v>1037</v>
      </c>
      <c r="AX261" s="562" t="s">
        <v>1037</v>
      </c>
      <c r="AY261" s="562" t="s">
        <v>1037</v>
      </c>
      <c r="AZ261" s="562" t="s">
        <v>1037</v>
      </c>
      <c r="BA261" s="562" t="s">
        <v>1037</v>
      </c>
      <c r="BB261" s="562" t="s">
        <v>1037</v>
      </c>
      <c r="BC261" s="562" t="s">
        <v>1037</v>
      </c>
      <c r="BD261" s="562" t="s">
        <v>351</v>
      </c>
      <c r="BE261" s="562" t="s">
        <v>1037</v>
      </c>
      <c r="BF261" s="562" t="s">
        <v>1037</v>
      </c>
      <c r="BG261" s="562" t="s">
        <v>351</v>
      </c>
      <c r="BH261" s="562" t="s">
        <v>1037</v>
      </c>
      <c r="BI261" s="562" t="s">
        <v>1037</v>
      </c>
      <c r="BJ261" s="562" t="s">
        <v>1037</v>
      </c>
      <c r="BK261" s="562" t="s">
        <v>1037</v>
      </c>
      <c r="BL261" s="562" t="s">
        <v>1037</v>
      </c>
      <c r="BM261" s="562" t="s">
        <v>351</v>
      </c>
      <c r="BN261" s="562" t="s">
        <v>1037</v>
      </c>
      <c r="BO261" s="562" t="s">
        <v>1037</v>
      </c>
      <c r="BP261" s="562" t="s">
        <v>1037</v>
      </c>
      <c r="BQ261" s="562" t="s">
        <v>1037</v>
      </c>
      <c r="BR261" s="562" t="s">
        <v>351</v>
      </c>
      <c r="BS261" s="562" t="s">
        <v>351</v>
      </c>
      <c r="BT261" s="562" t="s">
        <v>1037</v>
      </c>
      <c r="BU261" s="562" t="s">
        <v>1037</v>
      </c>
      <c r="BV261" s="562" t="s">
        <v>1037</v>
      </c>
      <c r="BW261" s="562" t="s">
        <v>1037</v>
      </c>
      <c r="BX261" s="562" t="s">
        <v>351</v>
      </c>
      <c r="BY261" s="562" t="s">
        <v>351</v>
      </c>
      <c r="BZ261" s="562" t="s">
        <v>1037</v>
      </c>
      <c r="CA261" s="562" t="s">
        <v>351</v>
      </c>
    </row>
    <row r="262" spans="1:79" s="180" customFormat="1" x14ac:dyDescent="0.3">
      <c r="A262" s="155">
        <v>9005</v>
      </c>
      <c r="B262" s="572" t="s">
        <v>1038</v>
      </c>
      <c r="C262" s="572" t="s">
        <v>1039</v>
      </c>
      <c r="D262" s="180">
        <v>405992</v>
      </c>
      <c r="E262" s="180">
        <v>24233714</v>
      </c>
      <c r="F262" s="180">
        <v>0</v>
      </c>
      <c r="G262" s="180">
        <v>28354123</v>
      </c>
      <c r="H262" s="180">
        <v>3018436</v>
      </c>
      <c r="I262" s="180">
        <v>442740</v>
      </c>
      <c r="J262" s="180">
        <v>2532951</v>
      </c>
      <c r="K262" s="180">
        <v>1133336</v>
      </c>
      <c r="L262" s="180">
        <v>45766412</v>
      </c>
      <c r="M262" s="180">
        <v>0</v>
      </c>
      <c r="N262" s="180">
        <v>758381</v>
      </c>
      <c r="O262" s="180">
        <v>0</v>
      </c>
      <c r="P262" s="180">
        <v>18978439</v>
      </c>
      <c r="Q262" s="180">
        <v>21460538</v>
      </c>
      <c r="R262" s="180">
        <v>3159866</v>
      </c>
      <c r="S262" s="180">
        <v>9956237</v>
      </c>
      <c r="T262" s="180">
        <v>209247</v>
      </c>
      <c r="U262" s="180">
        <v>9742169</v>
      </c>
      <c r="V262" s="180">
        <v>163852</v>
      </c>
      <c r="W262" s="180">
        <v>12436176</v>
      </c>
      <c r="X262" s="180">
        <v>8523173</v>
      </c>
      <c r="Y262" s="180">
        <v>6363844</v>
      </c>
      <c r="Z262" s="180">
        <v>2211311</v>
      </c>
      <c r="AA262" s="180">
        <v>3948100</v>
      </c>
      <c r="AB262" s="180">
        <v>1342053</v>
      </c>
      <c r="AC262" s="180">
        <v>320903</v>
      </c>
      <c r="AD262" s="180">
        <v>1601574</v>
      </c>
      <c r="AE262" s="180">
        <v>1798887</v>
      </c>
      <c r="AF262" s="180">
        <v>116656</v>
      </c>
      <c r="AG262" s="180">
        <v>75700</v>
      </c>
      <c r="AH262" s="180">
        <v>167417</v>
      </c>
      <c r="AI262" s="180">
        <v>2432956</v>
      </c>
      <c r="AJ262" s="180">
        <v>2555756</v>
      </c>
      <c r="AK262" s="180">
        <v>340881</v>
      </c>
      <c r="AL262" s="180">
        <v>123374</v>
      </c>
      <c r="AM262" s="180">
        <v>11037166</v>
      </c>
      <c r="AN262" s="180">
        <v>15040128</v>
      </c>
      <c r="AO262" s="180">
        <v>0</v>
      </c>
      <c r="AP262" s="180">
        <v>7457553</v>
      </c>
      <c r="AQ262" s="180">
        <v>7595139</v>
      </c>
      <c r="AR262" s="180">
        <v>0</v>
      </c>
      <c r="AS262" s="180">
        <v>0</v>
      </c>
      <c r="AT262" s="180">
        <v>0</v>
      </c>
      <c r="AU262" s="180">
        <v>5413848</v>
      </c>
      <c r="AV262" s="180">
        <v>229332</v>
      </c>
      <c r="AW262" s="180">
        <v>0</v>
      </c>
      <c r="AX262" s="180">
        <v>3590224</v>
      </c>
      <c r="AY262" s="180">
        <v>3009193</v>
      </c>
      <c r="AZ262" s="180">
        <v>0</v>
      </c>
      <c r="BA262" s="180">
        <v>160381</v>
      </c>
      <c r="BB262" s="180">
        <v>2107230</v>
      </c>
      <c r="BC262" s="180">
        <v>0</v>
      </c>
      <c r="BD262" s="180">
        <v>398159</v>
      </c>
      <c r="BE262" s="180">
        <v>5137178</v>
      </c>
      <c r="BF262" s="180">
        <v>0</v>
      </c>
      <c r="BG262" s="180">
        <v>0</v>
      </c>
      <c r="BH262" s="180">
        <v>3188425</v>
      </c>
      <c r="BI262" s="180">
        <v>4391827</v>
      </c>
      <c r="BJ262" s="180">
        <v>368979</v>
      </c>
      <c r="BK262" s="180">
        <v>4394873</v>
      </c>
      <c r="BL262" s="180">
        <v>6948333</v>
      </c>
      <c r="BM262" s="180">
        <v>176865</v>
      </c>
      <c r="BN262" s="180">
        <v>3879375</v>
      </c>
      <c r="BO262" s="180">
        <v>4883877</v>
      </c>
      <c r="BP262" s="180">
        <v>1562064</v>
      </c>
      <c r="BQ262" s="180">
        <v>2077848</v>
      </c>
      <c r="BR262" s="180">
        <v>2547531</v>
      </c>
      <c r="BS262" s="180">
        <v>16762851</v>
      </c>
      <c r="BT262" s="180">
        <v>2248179</v>
      </c>
      <c r="BU262" s="180">
        <v>2142058</v>
      </c>
      <c r="BV262" s="180">
        <v>869519</v>
      </c>
      <c r="BW262" s="180">
        <v>1102030</v>
      </c>
      <c r="BX262" s="180">
        <v>0</v>
      </c>
      <c r="BY262" s="180">
        <v>188656</v>
      </c>
      <c r="BZ262" s="180">
        <v>16604540</v>
      </c>
      <c r="CA262" s="180">
        <v>86892</v>
      </c>
    </row>
    <row r="263" spans="1:79" s="180" customFormat="1" x14ac:dyDescent="0.3">
      <c r="A263" s="155">
        <v>9006</v>
      </c>
      <c r="B263" s="572" t="s">
        <v>1040</v>
      </c>
      <c r="C263" s="572" t="s">
        <v>1041</v>
      </c>
      <c r="D263" s="180">
        <v>2264796</v>
      </c>
      <c r="E263" s="180">
        <v>18528094</v>
      </c>
      <c r="F263" s="180">
        <v>0</v>
      </c>
      <c r="G263" s="180">
        <v>53938717</v>
      </c>
      <c r="H263" s="180">
        <v>5841156</v>
      </c>
      <c r="I263" s="180">
        <v>327825</v>
      </c>
      <c r="J263" s="180">
        <v>1547626</v>
      </c>
      <c r="K263" s="180">
        <v>2151209</v>
      </c>
      <c r="L263" s="180">
        <v>55856120</v>
      </c>
      <c r="M263" s="180">
        <v>0</v>
      </c>
      <c r="N263" s="180">
        <v>996559</v>
      </c>
      <c r="O263" s="180">
        <v>0</v>
      </c>
      <c r="P263" s="180">
        <v>32981963</v>
      </c>
      <c r="Q263" s="180">
        <v>20160549</v>
      </c>
      <c r="R263" s="180">
        <v>7524117</v>
      </c>
      <c r="S263" s="180">
        <v>17221560</v>
      </c>
      <c r="T263" s="180">
        <v>120535</v>
      </c>
      <c r="U263" s="180">
        <v>20981122</v>
      </c>
      <c r="V263" s="180">
        <v>39102</v>
      </c>
      <c r="W263" s="180">
        <v>12826279</v>
      </c>
      <c r="X263" s="180">
        <v>21702833</v>
      </c>
      <c r="Y263" s="180">
        <v>6955720</v>
      </c>
      <c r="Z263" s="180">
        <v>1775722</v>
      </c>
      <c r="AA263" s="180">
        <v>8882742</v>
      </c>
      <c r="AB263" s="180">
        <v>1305966</v>
      </c>
      <c r="AC263" s="180">
        <v>343294</v>
      </c>
      <c r="AD263" s="180">
        <v>1287678</v>
      </c>
      <c r="AE263" s="180">
        <v>4136404</v>
      </c>
      <c r="AF263" s="180">
        <v>164684</v>
      </c>
      <c r="AG263" s="180">
        <v>59360</v>
      </c>
      <c r="AH263" s="180">
        <v>111396</v>
      </c>
      <c r="AI263" s="180">
        <v>4383687</v>
      </c>
      <c r="AJ263" s="180">
        <v>8686282</v>
      </c>
      <c r="AK263" s="180">
        <v>432049</v>
      </c>
      <c r="AL263" s="180">
        <v>27311</v>
      </c>
      <c r="AM263" s="180">
        <v>29837023</v>
      </c>
      <c r="AN263" s="180">
        <v>18817607</v>
      </c>
      <c r="AO263" s="180">
        <v>0</v>
      </c>
      <c r="AP263" s="180">
        <v>4810551</v>
      </c>
      <c r="AQ263" s="180">
        <v>26991010</v>
      </c>
      <c r="AR263" s="180">
        <v>0</v>
      </c>
      <c r="AS263" s="180">
        <v>0</v>
      </c>
      <c r="AT263" s="180">
        <v>0</v>
      </c>
      <c r="AU263" s="180">
        <v>13715882</v>
      </c>
      <c r="AV263" s="180">
        <v>119936</v>
      </c>
      <c r="AW263" s="180">
        <v>0</v>
      </c>
      <c r="AX263" s="180">
        <v>4994130</v>
      </c>
      <c r="AY263" s="180">
        <v>4271535</v>
      </c>
      <c r="AZ263" s="180">
        <v>0</v>
      </c>
      <c r="BA263" s="180">
        <v>51201</v>
      </c>
      <c r="BB263" s="180">
        <v>2817720</v>
      </c>
      <c r="BC263" s="180">
        <v>0</v>
      </c>
      <c r="BD263" s="180">
        <v>74524</v>
      </c>
      <c r="BE263" s="180">
        <v>26939480</v>
      </c>
      <c r="BF263" s="180">
        <v>0</v>
      </c>
      <c r="BG263" s="180">
        <v>0</v>
      </c>
      <c r="BH263" s="180">
        <v>3573030</v>
      </c>
      <c r="BI263" s="180">
        <v>2634877</v>
      </c>
      <c r="BJ263" s="180">
        <v>714789</v>
      </c>
      <c r="BK263" s="180">
        <v>11272647</v>
      </c>
      <c r="BL263" s="180">
        <v>5219744</v>
      </c>
      <c r="BM263" s="180">
        <v>32081</v>
      </c>
      <c r="BN263" s="180">
        <v>8764021</v>
      </c>
      <c r="BO263" s="180">
        <v>2068894</v>
      </c>
      <c r="BP263" s="180">
        <v>1054719</v>
      </c>
      <c r="BQ263" s="180">
        <v>1496936</v>
      </c>
      <c r="BR263" s="180">
        <v>1563854</v>
      </c>
      <c r="BS263" s="180">
        <v>25801549</v>
      </c>
      <c r="BT263" s="180">
        <v>2264581</v>
      </c>
      <c r="BU263" s="180">
        <v>3052327</v>
      </c>
      <c r="BV263" s="180">
        <v>915482</v>
      </c>
      <c r="BW263" s="180">
        <v>843313</v>
      </c>
      <c r="BX263" s="180">
        <v>0</v>
      </c>
      <c r="BY263" s="180">
        <v>44298</v>
      </c>
      <c r="BZ263" s="180">
        <v>20162064</v>
      </c>
      <c r="CA263" s="180">
        <v>67913</v>
      </c>
    </row>
    <row r="264" spans="1:79" s="180" customFormat="1" x14ac:dyDescent="0.3">
      <c r="A264" s="155">
        <v>9007</v>
      </c>
      <c r="B264" s="572" t="s">
        <v>1607</v>
      </c>
      <c r="C264" s="572" t="s">
        <v>1042</v>
      </c>
      <c r="D264" s="180">
        <v>0.17929999999999999</v>
      </c>
      <c r="E264" s="180">
        <v>1.3079000000000001</v>
      </c>
      <c r="F264" s="180">
        <v>0</v>
      </c>
      <c r="G264" s="180">
        <v>0.52569999999999995</v>
      </c>
      <c r="H264" s="180">
        <v>0.51680000000000004</v>
      </c>
      <c r="I264" s="180">
        <v>1.3505</v>
      </c>
      <c r="J264" s="180">
        <v>1.6367</v>
      </c>
      <c r="K264" s="180">
        <v>0.52680000000000005</v>
      </c>
      <c r="L264" s="180">
        <v>0.81940000000000002</v>
      </c>
      <c r="M264" s="180">
        <v>0</v>
      </c>
      <c r="N264" s="180">
        <v>0.76100000000000001</v>
      </c>
      <c r="O264" s="180">
        <v>0</v>
      </c>
      <c r="P264" s="180">
        <v>0.57540000000000002</v>
      </c>
      <c r="Q264" s="180">
        <v>1.0645</v>
      </c>
      <c r="R264" s="180">
        <v>0.42</v>
      </c>
      <c r="S264" s="180">
        <v>0.57809999999999995</v>
      </c>
      <c r="T264" s="180">
        <v>1.736</v>
      </c>
      <c r="U264" s="180">
        <v>0.46429999999999999</v>
      </c>
      <c r="V264" s="180">
        <v>4.1904000000000003</v>
      </c>
      <c r="W264" s="180">
        <v>0.96960000000000002</v>
      </c>
      <c r="X264" s="180">
        <v>0.39269999999999999</v>
      </c>
      <c r="Y264" s="180">
        <v>0.91490000000000005</v>
      </c>
      <c r="Z264" s="180">
        <v>1.2453000000000001</v>
      </c>
      <c r="AA264" s="180">
        <v>0.44450000000000001</v>
      </c>
      <c r="AB264" s="180">
        <v>1.0276000000000001</v>
      </c>
      <c r="AC264" s="180">
        <v>0.93479999999999996</v>
      </c>
      <c r="AD264" s="180">
        <v>1.2438</v>
      </c>
      <c r="AE264" s="180">
        <v>0.43490000000000001</v>
      </c>
      <c r="AF264" s="180">
        <v>0.70840000000000003</v>
      </c>
      <c r="AG264" s="180">
        <v>1.2753000000000001</v>
      </c>
      <c r="AH264" s="180">
        <v>1.5028999999999999</v>
      </c>
      <c r="AI264" s="180">
        <v>0.55500000000000005</v>
      </c>
      <c r="AJ264" s="180">
        <v>0.29420000000000002</v>
      </c>
      <c r="AK264" s="180">
        <v>0.78900000000000003</v>
      </c>
      <c r="AL264" s="180">
        <v>4.5174000000000003</v>
      </c>
      <c r="AM264" s="180">
        <v>0.36990000000000001</v>
      </c>
      <c r="AN264" s="180">
        <v>0.79930000000000001</v>
      </c>
      <c r="AO264" s="180">
        <v>0</v>
      </c>
      <c r="AP264" s="180">
        <v>1.5502</v>
      </c>
      <c r="AQ264" s="180">
        <v>0.28139999999999998</v>
      </c>
      <c r="AR264" s="180">
        <v>0</v>
      </c>
      <c r="AS264" s="180">
        <v>0</v>
      </c>
      <c r="AT264" s="180">
        <v>0</v>
      </c>
      <c r="AU264" s="180">
        <v>0.3947</v>
      </c>
      <c r="AV264" s="180">
        <v>1.9120999999999999</v>
      </c>
      <c r="AW264" s="180">
        <v>0</v>
      </c>
      <c r="AX264" s="180">
        <v>0.71889999999999998</v>
      </c>
      <c r="AY264" s="180">
        <v>0.70450000000000002</v>
      </c>
      <c r="AZ264" s="180">
        <v>0</v>
      </c>
      <c r="BA264" s="180">
        <v>3.1324000000000001</v>
      </c>
      <c r="BB264" s="180">
        <v>0.74780000000000002</v>
      </c>
      <c r="BC264" s="180">
        <v>0</v>
      </c>
      <c r="BD264" s="180">
        <v>5.3426999999999998</v>
      </c>
      <c r="BE264" s="180">
        <v>0.19070000000000001</v>
      </c>
      <c r="BF264" s="180">
        <v>0</v>
      </c>
      <c r="BG264" s="180">
        <v>0</v>
      </c>
      <c r="BH264" s="180">
        <v>0.89239999999999997</v>
      </c>
      <c r="BI264" s="180">
        <v>1.6668000000000001</v>
      </c>
      <c r="BJ264" s="180">
        <v>0.51619999999999999</v>
      </c>
      <c r="BK264" s="180">
        <v>0.38990000000000002</v>
      </c>
      <c r="BL264" s="180">
        <v>1.3311999999999999</v>
      </c>
      <c r="BM264" s="180">
        <v>5.5130999999999997</v>
      </c>
      <c r="BN264" s="180">
        <v>0.44259999999999999</v>
      </c>
      <c r="BO264" s="180">
        <v>2.3605999999999998</v>
      </c>
      <c r="BP264" s="180">
        <v>1.4810000000000001</v>
      </c>
      <c r="BQ264" s="180">
        <v>1.3880999999999999</v>
      </c>
      <c r="BR264" s="180">
        <v>1.629</v>
      </c>
      <c r="BS264" s="180">
        <v>0.64970000000000006</v>
      </c>
      <c r="BT264" s="180">
        <v>0.99280000000000002</v>
      </c>
      <c r="BU264" s="180">
        <v>0.70179999999999998</v>
      </c>
      <c r="BV264" s="180">
        <v>0.94979999999999998</v>
      </c>
      <c r="BW264" s="180">
        <v>1.3068</v>
      </c>
      <c r="BX264" s="180">
        <v>0</v>
      </c>
      <c r="BY264" s="180">
        <v>4.2587999999999999</v>
      </c>
      <c r="BZ264" s="180">
        <v>0.8236</v>
      </c>
      <c r="CA264" s="180">
        <v>1.2795000000000001</v>
      </c>
    </row>
    <row r="265" spans="1:79" s="180" customFormat="1" x14ac:dyDescent="0.3">
      <c r="A265" s="155">
        <v>9008</v>
      </c>
      <c r="B265" s="572" t="s">
        <v>1043</v>
      </c>
      <c r="C265" s="180" t="s">
        <v>351</v>
      </c>
      <c r="D265" s="180">
        <v>0</v>
      </c>
      <c r="E265" s="180">
        <v>0</v>
      </c>
      <c r="F265" s="180">
        <v>0</v>
      </c>
      <c r="G265" s="180">
        <v>0</v>
      </c>
      <c r="H265" s="180">
        <v>0</v>
      </c>
      <c r="I265" s="180">
        <v>0</v>
      </c>
      <c r="J265" s="180">
        <v>0</v>
      </c>
      <c r="K265" s="180">
        <v>0</v>
      </c>
      <c r="L265" s="180">
        <v>0</v>
      </c>
      <c r="M265" s="180">
        <v>0</v>
      </c>
      <c r="N265" s="180">
        <v>0</v>
      </c>
      <c r="O265" s="180">
        <v>0</v>
      </c>
      <c r="P265" s="180">
        <v>0</v>
      </c>
      <c r="Q265" s="180">
        <v>0</v>
      </c>
      <c r="R265" s="180">
        <v>0</v>
      </c>
      <c r="S265" s="180">
        <v>0</v>
      </c>
      <c r="T265" s="180">
        <v>0</v>
      </c>
      <c r="U265" s="180">
        <v>0</v>
      </c>
      <c r="V265" s="180">
        <v>0</v>
      </c>
      <c r="W265" s="180">
        <v>0</v>
      </c>
      <c r="X265" s="180">
        <v>0</v>
      </c>
      <c r="Y265" s="180">
        <v>0</v>
      </c>
      <c r="Z265" s="180">
        <v>0</v>
      </c>
      <c r="AA265" s="180">
        <v>0</v>
      </c>
      <c r="AB265" s="180">
        <v>0</v>
      </c>
      <c r="AC265" s="180">
        <v>0</v>
      </c>
      <c r="AD265" s="180">
        <v>0</v>
      </c>
      <c r="AE265" s="180">
        <v>0</v>
      </c>
      <c r="AF265" s="180">
        <v>0</v>
      </c>
      <c r="AG265" s="180">
        <v>0</v>
      </c>
      <c r="AH265" s="180">
        <v>0</v>
      </c>
      <c r="AI265" s="180">
        <v>0</v>
      </c>
      <c r="AJ265" s="180">
        <v>0</v>
      </c>
      <c r="AK265" s="180">
        <v>0</v>
      </c>
      <c r="AL265" s="180">
        <v>0</v>
      </c>
      <c r="AM265" s="180">
        <v>0</v>
      </c>
      <c r="AN265" s="180">
        <v>0</v>
      </c>
      <c r="AO265" s="180">
        <v>0</v>
      </c>
      <c r="AP265" s="180">
        <v>0</v>
      </c>
      <c r="AQ265" s="180">
        <v>0</v>
      </c>
      <c r="AR265" s="180">
        <v>0</v>
      </c>
      <c r="AS265" s="180">
        <v>0</v>
      </c>
      <c r="AT265" s="180">
        <v>0</v>
      </c>
      <c r="AU265" s="180">
        <v>0</v>
      </c>
      <c r="AV265" s="180">
        <v>0</v>
      </c>
      <c r="AW265" s="180">
        <v>0</v>
      </c>
      <c r="AX265" s="180">
        <v>0</v>
      </c>
      <c r="AY265" s="180">
        <v>0</v>
      </c>
      <c r="AZ265" s="180">
        <v>0</v>
      </c>
      <c r="BA265" s="180">
        <v>0</v>
      </c>
      <c r="BB265" s="180">
        <v>0</v>
      </c>
      <c r="BC265" s="180">
        <v>0</v>
      </c>
      <c r="BD265" s="180">
        <v>0</v>
      </c>
      <c r="BE265" s="180">
        <v>0</v>
      </c>
      <c r="BF265" s="180">
        <v>0</v>
      </c>
      <c r="BG265" s="180">
        <v>0</v>
      </c>
      <c r="BH265" s="180">
        <v>0</v>
      </c>
      <c r="BI265" s="180">
        <v>0</v>
      </c>
      <c r="BJ265" s="180">
        <v>0</v>
      </c>
      <c r="BK265" s="180">
        <v>0</v>
      </c>
      <c r="BL265" s="180">
        <v>0</v>
      </c>
      <c r="BM265" s="180">
        <v>0</v>
      </c>
      <c r="BN265" s="180">
        <v>0</v>
      </c>
      <c r="BO265" s="180">
        <v>0</v>
      </c>
      <c r="BP265" s="180">
        <v>0</v>
      </c>
      <c r="BQ265" s="180">
        <v>0</v>
      </c>
      <c r="BR265" s="180">
        <v>0</v>
      </c>
      <c r="BS265" s="180">
        <v>0</v>
      </c>
      <c r="BT265" s="180">
        <v>0</v>
      </c>
      <c r="BU265" s="180">
        <v>0</v>
      </c>
      <c r="BV265" s="180">
        <v>0</v>
      </c>
      <c r="BW265" s="180">
        <v>0</v>
      </c>
      <c r="BX265" s="180">
        <v>0</v>
      </c>
      <c r="BY265" s="180">
        <v>0</v>
      </c>
      <c r="BZ265" s="180">
        <v>0</v>
      </c>
      <c r="CA265" s="180">
        <v>0</v>
      </c>
    </row>
    <row r="266" spans="1:79" s="180" customFormat="1" x14ac:dyDescent="0.3">
      <c r="A266" s="155">
        <v>9010</v>
      </c>
      <c r="B266" s="572" t="s">
        <v>1044</v>
      </c>
      <c r="C266" s="572" t="s">
        <v>1045</v>
      </c>
      <c r="D266" s="180">
        <v>0</v>
      </c>
      <c r="E266" s="180">
        <v>0</v>
      </c>
      <c r="F266" s="180">
        <v>0</v>
      </c>
      <c r="G266" s="180">
        <v>3.78</v>
      </c>
      <c r="H266" s="180">
        <v>31.74</v>
      </c>
      <c r="I266" s="180">
        <v>7</v>
      </c>
      <c r="J266" s="180">
        <v>670.7</v>
      </c>
      <c r="K266" s="180">
        <v>3.3</v>
      </c>
      <c r="L266" s="180">
        <v>3.18</v>
      </c>
      <c r="M266" s="180">
        <v>0</v>
      </c>
      <c r="N266" s="180">
        <v>87.92</v>
      </c>
      <c r="O266" s="180">
        <v>0</v>
      </c>
      <c r="P266" s="180">
        <v>0</v>
      </c>
      <c r="Q266" s="180">
        <v>8.68</v>
      </c>
      <c r="R266" s="180">
        <v>9.25</v>
      </c>
      <c r="S266" s="180">
        <v>3.98</v>
      </c>
      <c r="T266" s="180">
        <v>0.55000000000000004</v>
      </c>
      <c r="U266" s="180">
        <v>6.05</v>
      </c>
      <c r="V266" s="180">
        <v>0</v>
      </c>
      <c r="W266" s="180">
        <v>0</v>
      </c>
      <c r="X266" s="180">
        <v>0</v>
      </c>
      <c r="Y266" s="180">
        <v>5.1100000000000003</v>
      </c>
      <c r="Z266" s="180">
        <v>26.41</v>
      </c>
      <c r="AA266" s="180">
        <v>2.3199999999999998</v>
      </c>
      <c r="AB266" s="180">
        <v>0</v>
      </c>
      <c r="AC266" s="180">
        <v>3.54</v>
      </c>
      <c r="AD266" s="180">
        <v>12.61</v>
      </c>
      <c r="AE266" s="180">
        <v>8.8699999999999992</v>
      </c>
      <c r="AF266" s="180">
        <v>6.83</v>
      </c>
      <c r="AG266" s="180">
        <v>0</v>
      </c>
      <c r="AH266" s="180">
        <v>0</v>
      </c>
      <c r="AI266" s="180">
        <v>0</v>
      </c>
      <c r="AJ266" s="180">
        <v>2.67</v>
      </c>
      <c r="AK266" s="180">
        <v>2.98</v>
      </c>
      <c r="AL266" s="180">
        <v>0</v>
      </c>
      <c r="AM266" s="180">
        <v>0</v>
      </c>
      <c r="AN266" s="180">
        <v>6.4</v>
      </c>
      <c r="AO266" s="180">
        <v>0</v>
      </c>
      <c r="AP266" s="180">
        <v>0</v>
      </c>
      <c r="AQ266" s="180">
        <v>7.16</v>
      </c>
      <c r="AR266" s="180">
        <v>0</v>
      </c>
      <c r="AS266" s="180">
        <v>0</v>
      </c>
      <c r="AT266" s="180">
        <v>0</v>
      </c>
      <c r="AU266" s="180">
        <v>6.67</v>
      </c>
      <c r="AV266" s="180">
        <v>39.18</v>
      </c>
      <c r="AW266" s="180">
        <v>0</v>
      </c>
      <c r="AX266" s="180">
        <v>42.44</v>
      </c>
      <c r="AY266" s="180">
        <v>15.86</v>
      </c>
      <c r="AZ266" s="180">
        <v>0</v>
      </c>
      <c r="BA266" s="180">
        <v>0.14000000000000001</v>
      </c>
      <c r="BB266" s="180">
        <v>4.82</v>
      </c>
      <c r="BC266" s="180">
        <v>0</v>
      </c>
      <c r="BD266" s="180">
        <v>0</v>
      </c>
      <c r="BE266" s="180">
        <v>2.38</v>
      </c>
      <c r="BF266" s="180">
        <v>0</v>
      </c>
      <c r="BG266" s="180">
        <v>0</v>
      </c>
      <c r="BH266" s="180">
        <v>2.5</v>
      </c>
      <c r="BI266" s="180">
        <v>13.84</v>
      </c>
      <c r="BJ266" s="180">
        <v>1.57</v>
      </c>
      <c r="BK266" s="180">
        <v>35.450000000000003</v>
      </c>
      <c r="BL266" s="180">
        <v>17.100000000000001</v>
      </c>
      <c r="BM266" s="180">
        <v>0</v>
      </c>
      <c r="BN266" s="180">
        <v>8.36</v>
      </c>
      <c r="BO266" s="180">
        <v>81.790000000000006</v>
      </c>
      <c r="BP266" s="180">
        <v>40.56</v>
      </c>
      <c r="BQ266" s="180">
        <v>13.97</v>
      </c>
      <c r="BR266" s="180">
        <v>0</v>
      </c>
      <c r="BS266" s="180">
        <v>0</v>
      </c>
      <c r="BT266" s="180">
        <v>9.01</v>
      </c>
      <c r="BU266" s="180">
        <v>7.52</v>
      </c>
      <c r="BV266" s="180">
        <v>8.15</v>
      </c>
      <c r="BW266" s="180">
        <v>13.95</v>
      </c>
      <c r="BX266" s="180">
        <v>0</v>
      </c>
      <c r="BY266" s="180">
        <v>0</v>
      </c>
      <c r="BZ266" s="180">
        <v>2.98</v>
      </c>
      <c r="CA266" s="180">
        <v>0</v>
      </c>
    </row>
    <row r="267" spans="1:79" s="180" customFormat="1" x14ac:dyDescent="0.3">
      <c r="A267" s="155">
        <v>9011</v>
      </c>
      <c r="B267" s="572" t="s">
        <v>1724</v>
      </c>
      <c r="C267" s="572" t="s">
        <v>1046</v>
      </c>
      <c r="D267" s="180">
        <v>0</v>
      </c>
      <c r="E267" s="180">
        <v>0</v>
      </c>
      <c r="F267" s="180">
        <v>0</v>
      </c>
      <c r="G267" s="180">
        <v>5910529</v>
      </c>
      <c r="H267" s="180">
        <v>1293140</v>
      </c>
      <c r="I267" s="180">
        <v>151006</v>
      </c>
      <c r="J267" s="180">
        <v>123043</v>
      </c>
      <c r="K267" s="180">
        <v>123059</v>
      </c>
      <c r="L267" s="180">
        <v>3562892</v>
      </c>
      <c r="M267" s="180">
        <v>0</v>
      </c>
      <c r="N267" s="180">
        <v>-36140</v>
      </c>
      <c r="O267" s="180">
        <v>0</v>
      </c>
      <c r="P267" s="180">
        <v>0</v>
      </c>
      <c r="Q267" s="180">
        <v>2615060</v>
      </c>
      <c r="R267" s="180">
        <v>720984</v>
      </c>
      <c r="S267" s="180">
        <v>407660</v>
      </c>
      <c r="T267" s="180">
        <v>5489</v>
      </c>
      <c r="U267" s="180">
        <v>4826212</v>
      </c>
      <c r="V267" s="180">
        <v>0</v>
      </c>
      <c r="W267" s="180">
        <v>0</v>
      </c>
      <c r="X267" s="180">
        <v>-144421</v>
      </c>
      <c r="Y267" s="180">
        <v>399283</v>
      </c>
      <c r="Z267" s="180">
        <v>325035</v>
      </c>
      <c r="AA267" s="180">
        <v>206378</v>
      </c>
      <c r="AB267" s="180">
        <v>0</v>
      </c>
      <c r="AC267" s="180">
        <v>24036</v>
      </c>
      <c r="AD267" s="180">
        <v>470682</v>
      </c>
      <c r="AE267" s="180">
        <v>536175</v>
      </c>
      <c r="AF267" s="180">
        <v>-4736</v>
      </c>
      <c r="AG267" s="180">
        <v>0</v>
      </c>
      <c r="AH267" s="180">
        <v>0</v>
      </c>
      <c r="AI267" s="180">
        <v>-1497</v>
      </c>
      <c r="AJ267" s="180">
        <v>264238</v>
      </c>
      <c r="AK267" s="180">
        <v>-89213</v>
      </c>
      <c r="AL267" s="180">
        <v>0</v>
      </c>
      <c r="AM267" s="180">
        <v>0</v>
      </c>
      <c r="AN267" s="180">
        <v>1471646</v>
      </c>
      <c r="AO267" s="180">
        <v>0</v>
      </c>
      <c r="AP267" s="180">
        <v>0</v>
      </c>
      <c r="AQ267" s="180">
        <v>1265290</v>
      </c>
      <c r="AR267" s="180">
        <v>0</v>
      </c>
      <c r="AS267" s="180">
        <v>0</v>
      </c>
      <c r="AT267" s="180">
        <v>0</v>
      </c>
      <c r="AU267" s="180">
        <v>3165302</v>
      </c>
      <c r="AV267" s="180">
        <v>124332</v>
      </c>
      <c r="AW267" s="180">
        <v>0</v>
      </c>
      <c r="AX267" s="180">
        <v>1567022</v>
      </c>
      <c r="AY267" s="180">
        <v>179568</v>
      </c>
      <c r="AZ267" s="180">
        <v>0</v>
      </c>
      <c r="BA267" s="180">
        <v>-6335</v>
      </c>
      <c r="BB267" s="180">
        <v>162197</v>
      </c>
      <c r="BC267" s="180">
        <v>0</v>
      </c>
      <c r="BD267" s="180">
        <v>0</v>
      </c>
      <c r="BE267" s="180">
        <v>2090715</v>
      </c>
      <c r="BF267" s="180">
        <v>0</v>
      </c>
      <c r="BG267" s="180">
        <v>0</v>
      </c>
      <c r="BH267" s="180">
        <v>-245725</v>
      </c>
      <c r="BI267" s="180">
        <v>316590</v>
      </c>
      <c r="BJ267" s="180">
        <v>8876</v>
      </c>
      <c r="BK267" s="180">
        <v>-19139</v>
      </c>
      <c r="BL267" s="180">
        <v>292636</v>
      </c>
      <c r="BM267" s="180">
        <v>0</v>
      </c>
      <c r="BN267" s="180">
        <v>239842</v>
      </c>
      <c r="BO267" s="180">
        <v>330853</v>
      </c>
      <c r="BP267" s="180">
        <v>253331</v>
      </c>
      <c r="BQ267" s="180">
        <v>408969</v>
      </c>
      <c r="BR267" s="180">
        <v>0</v>
      </c>
      <c r="BS267" s="180">
        <v>0</v>
      </c>
      <c r="BT267" s="180">
        <v>-54972</v>
      </c>
      <c r="BU267" s="180">
        <v>1214313</v>
      </c>
      <c r="BV267" s="180">
        <v>27997</v>
      </c>
      <c r="BW267" s="180">
        <v>249518</v>
      </c>
      <c r="BX267" s="180">
        <v>0</v>
      </c>
      <c r="BY267" s="180">
        <v>0</v>
      </c>
      <c r="BZ267" s="180">
        <v>270376</v>
      </c>
      <c r="CA267" s="180">
        <v>0</v>
      </c>
    </row>
    <row r="268" spans="1:79" s="180" customFormat="1" x14ac:dyDescent="0.3">
      <c r="A268" s="155">
        <v>9012</v>
      </c>
      <c r="B268" s="572" t="s">
        <v>1725</v>
      </c>
      <c r="C268" s="572" t="s">
        <v>1046</v>
      </c>
      <c r="D268" s="180">
        <v>0</v>
      </c>
      <c r="E268" s="180">
        <v>0</v>
      </c>
      <c r="F268" s="180">
        <v>0</v>
      </c>
      <c r="G268" s="180">
        <v>2.8285</v>
      </c>
      <c r="H268" s="180">
        <v>3.5255999999999998</v>
      </c>
      <c r="I268" s="180">
        <v>1.2030000000000001</v>
      </c>
      <c r="J268" s="180">
        <v>8.7835999999999999</v>
      </c>
      <c r="K268" s="180">
        <v>0.88990000000000002</v>
      </c>
      <c r="L268" s="180">
        <v>0.7198</v>
      </c>
      <c r="M268" s="180">
        <v>0</v>
      </c>
      <c r="N268" s="180">
        <v>2.7012</v>
      </c>
      <c r="O268" s="180">
        <v>0</v>
      </c>
      <c r="P268" s="180">
        <v>0</v>
      </c>
      <c r="Q268" s="180">
        <v>2.3620000000000001</v>
      </c>
      <c r="R268" s="180">
        <v>1.2111000000000001</v>
      </c>
      <c r="S268" s="180">
        <v>1.1019000000000001</v>
      </c>
      <c r="T268" s="180">
        <v>0.1221</v>
      </c>
      <c r="U268" s="180">
        <v>0.90180000000000005</v>
      </c>
      <c r="V268" s="180">
        <v>0</v>
      </c>
      <c r="W268" s="180">
        <v>0</v>
      </c>
      <c r="X268" s="180">
        <v>0</v>
      </c>
      <c r="Y268" s="180">
        <v>1.6279999999999999</v>
      </c>
      <c r="Z268" s="180">
        <v>0.95009999999999994</v>
      </c>
      <c r="AA268" s="180">
        <v>0.74609999999999999</v>
      </c>
      <c r="AB268" s="180">
        <v>0</v>
      </c>
      <c r="AC268" s="180">
        <v>0.7712</v>
      </c>
      <c r="AD268" s="180">
        <v>3.4020999999999999</v>
      </c>
      <c r="AE268" s="180">
        <v>1.2495000000000001</v>
      </c>
      <c r="AF268" s="180">
        <v>0.74429999999999996</v>
      </c>
      <c r="AG268" s="180">
        <v>0</v>
      </c>
      <c r="AH268" s="180">
        <v>0</v>
      </c>
      <c r="AI268" s="180">
        <v>0</v>
      </c>
      <c r="AJ268" s="180">
        <v>0.42659999999999998</v>
      </c>
      <c r="AK268" s="180">
        <v>0.37409999999999999</v>
      </c>
      <c r="AL268" s="180">
        <v>0</v>
      </c>
      <c r="AM268" s="180">
        <v>0</v>
      </c>
      <c r="AN268" s="180">
        <v>1.3297000000000001</v>
      </c>
      <c r="AO268" s="180">
        <v>0</v>
      </c>
      <c r="AP268" s="180">
        <v>0</v>
      </c>
      <c r="AQ268" s="180">
        <v>0.51400000000000001</v>
      </c>
      <c r="AR268" s="180">
        <v>0</v>
      </c>
      <c r="AS268" s="180">
        <v>0</v>
      </c>
      <c r="AT268" s="180">
        <v>0</v>
      </c>
      <c r="AU268" s="180">
        <v>1.5247999999999999</v>
      </c>
      <c r="AV268" s="180">
        <v>4.2145999999999999</v>
      </c>
      <c r="AW268" s="180">
        <v>0</v>
      </c>
      <c r="AX268" s="180">
        <v>0.87180000000000002</v>
      </c>
      <c r="AY268" s="180">
        <v>0.65359999999999996</v>
      </c>
      <c r="AZ268" s="180">
        <v>0</v>
      </c>
      <c r="BA268" s="180">
        <v>0.37769999999999998</v>
      </c>
      <c r="BB268" s="180">
        <v>0.28079999999999999</v>
      </c>
      <c r="BC268" s="180">
        <v>0</v>
      </c>
      <c r="BD268" s="180">
        <v>0</v>
      </c>
      <c r="BE268" s="180">
        <v>0.39879999999999999</v>
      </c>
      <c r="BF268" s="180">
        <v>0</v>
      </c>
      <c r="BG268" s="180">
        <v>0</v>
      </c>
      <c r="BH268" s="180">
        <v>0.3574</v>
      </c>
      <c r="BI268" s="180">
        <v>2.9363999999999999</v>
      </c>
      <c r="BJ268" s="180">
        <v>0</v>
      </c>
      <c r="BK268" s="180">
        <v>2.3778000000000001</v>
      </c>
      <c r="BL268" s="180">
        <v>2.2313000000000001</v>
      </c>
      <c r="BM268" s="180">
        <v>0</v>
      </c>
      <c r="BN268" s="180">
        <v>0.65310000000000001</v>
      </c>
      <c r="BO268" s="180">
        <v>4.5429000000000004</v>
      </c>
      <c r="BP268" s="180">
        <v>2.8515000000000001</v>
      </c>
      <c r="BQ268" s="180">
        <v>2.2305999999999999</v>
      </c>
      <c r="BR268" s="180">
        <v>0</v>
      </c>
      <c r="BS268" s="180">
        <v>0</v>
      </c>
      <c r="BT268" s="180">
        <v>1.31</v>
      </c>
      <c r="BU268" s="180">
        <v>1.0142</v>
      </c>
      <c r="BV268" s="180">
        <v>1.4779</v>
      </c>
      <c r="BW268" s="180">
        <v>2.5505</v>
      </c>
      <c r="BX268" s="180">
        <v>0</v>
      </c>
      <c r="BY268" s="180">
        <v>0</v>
      </c>
      <c r="BZ268" s="180">
        <v>1.0660000000000001</v>
      </c>
      <c r="CA268" s="180">
        <v>0</v>
      </c>
    </row>
    <row r="269" spans="1:79" s="180" customFormat="1" x14ac:dyDescent="0.3">
      <c r="A269" s="155">
        <v>9013</v>
      </c>
      <c r="B269" s="557" t="s">
        <v>1047</v>
      </c>
      <c r="C269" s="557" t="s">
        <v>1048</v>
      </c>
      <c r="D269" s="180">
        <v>0</v>
      </c>
      <c r="E269" s="180">
        <v>0</v>
      </c>
      <c r="F269" s="180">
        <v>0</v>
      </c>
      <c r="G269" s="180">
        <v>3.78</v>
      </c>
      <c r="H269" s="180">
        <v>31.74</v>
      </c>
      <c r="I269" s="180">
        <v>7</v>
      </c>
      <c r="J269" s="180">
        <v>670.7</v>
      </c>
      <c r="K269" s="180">
        <v>3.3</v>
      </c>
      <c r="L269" s="180">
        <v>3.18</v>
      </c>
      <c r="M269" s="180">
        <v>0</v>
      </c>
      <c r="N269" s="180">
        <v>87.92</v>
      </c>
      <c r="O269" s="180">
        <v>0</v>
      </c>
      <c r="P269" s="180">
        <v>0</v>
      </c>
      <c r="Q269" s="180">
        <v>8.68</v>
      </c>
      <c r="R269" s="180">
        <v>9.25</v>
      </c>
      <c r="S269" s="180">
        <v>3.98</v>
      </c>
      <c r="T269" s="180">
        <v>0.55000000000000004</v>
      </c>
      <c r="U269" s="180">
        <v>6.05</v>
      </c>
      <c r="V269" s="180">
        <v>0</v>
      </c>
      <c r="W269" s="180">
        <v>0</v>
      </c>
      <c r="X269" s="180">
        <v>0</v>
      </c>
      <c r="Y269" s="180">
        <v>5.1100000000000003</v>
      </c>
      <c r="Z269" s="180">
        <v>26.41</v>
      </c>
      <c r="AA269" s="180">
        <v>2.3199999999999998</v>
      </c>
      <c r="AB269" s="180">
        <v>0</v>
      </c>
      <c r="AC269" s="180">
        <v>3.54</v>
      </c>
      <c r="AD269" s="180">
        <v>12.61</v>
      </c>
      <c r="AE269" s="180">
        <v>8.8699999999999992</v>
      </c>
      <c r="AF269" s="180">
        <v>6.83</v>
      </c>
      <c r="AG269" s="180">
        <v>0</v>
      </c>
      <c r="AH269" s="180">
        <v>0</v>
      </c>
      <c r="AI269" s="180">
        <v>0</v>
      </c>
      <c r="AJ269" s="180">
        <v>2.67</v>
      </c>
      <c r="AK269" s="180">
        <v>2.98</v>
      </c>
      <c r="AL269" s="180">
        <v>0</v>
      </c>
      <c r="AM269" s="180">
        <v>0</v>
      </c>
      <c r="AN269" s="180">
        <v>6.4</v>
      </c>
      <c r="AO269" s="180">
        <v>0</v>
      </c>
      <c r="AP269" s="180">
        <v>0</v>
      </c>
      <c r="AQ269" s="180">
        <v>7.16</v>
      </c>
      <c r="AR269" s="180">
        <v>0</v>
      </c>
      <c r="AS269" s="180">
        <v>0</v>
      </c>
      <c r="AT269" s="180">
        <v>0</v>
      </c>
      <c r="AU269" s="180">
        <v>6.67</v>
      </c>
      <c r="AV269" s="180">
        <v>39.18</v>
      </c>
      <c r="AW269" s="180">
        <v>0</v>
      </c>
      <c r="AX269" s="180">
        <v>42.44</v>
      </c>
      <c r="AY269" s="180">
        <v>15.86</v>
      </c>
      <c r="AZ269" s="180">
        <v>0</v>
      </c>
      <c r="BA269" s="180">
        <v>0.14000000000000001</v>
      </c>
      <c r="BB269" s="180">
        <v>4.82</v>
      </c>
      <c r="BC269" s="180">
        <v>0</v>
      </c>
      <c r="BD269" s="180">
        <v>0</v>
      </c>
      <c r="BE269" s="180">
        <v>2.38</v>
      </c>
      <c r="BF269" s="180">
        <v>0</v>
      </c>
      <c r="BG269" s="180">
        <v>0</v>
      </c>
      <c r="BH269" s="180">
        <v>2.5</v>
      </c>
      <c r="BI269" s="180">
        <v>13.84</v>
      </c>
      <c r="BJ269" s="180">
        <v>1.57</v>
      </c>
      <c r="BK269" s="180">
        <v>35.450000000000003</v>
      </c>
      <c r="BL269" s="180">
        <v>17.100000000000001</v>
      </c>
      <c r="BM269" s="180">
        <v>0</v>
      </c>
      <c r="BN269" s="180">
        <v>8.36</v>
      </c>
      <c r="BO269" s="180">
        <v>81.790000000000006</v>
      </c>
      <c r="BP269" s="180">
        <v>40.56</v>
      </c>
      <c r="BQ269" s="180">
        <v>13.97</v>
      </c>
      <c r="BR269" s="180">
        <v>0</v>
      </c>
      <c r="BS269" s="180">
        <v>0</v>
      </c>
      <c r="BT269" s="180">
        <v>9.01</v>
      </c>
      <c r="BU269" s="180">
        <v>7.52</v>
      </c>
      <c r="BV269" s="180">
        <v>8.15</v>
      </c>
      <c r="BW269" s="180">
        <v>13.95</v>
      </c>
      <c r="BX269" s="180">
        <v>0</v>
      </c>
      <c r="BY269" s="180">
        <v>0</v>
      </c>
      <c r="BZ269" s="180">
        <v>2.98</v>
      </c>
      <c r="CA269" s="180">
        <v>0</v>
      </c>
    </row>
    <row r="270" spans="1:79" s="180" customFormat="1" x14ac:dyDescent="0.3">
      <c r="A270" s="155">
        <v>9014</v>
      </c>
      <c r="B270" s="572" t="s">
        <v>1049</v>
      </c>
      <c r="C270" s="572" t="s">
        <v>1050</v>
      </c>
      <c r="D270" s="180">
        <v>0</v>
      </c>
      <c r="E270" s="180">
        <v>0</v>
      </c>
      <c r="F270" s="180">
        <v>0</v>
      </c>
      <c r="G270" s="180">
        <v>0</v>
      </c>
      <c r="H270" s="180">
        <v>0</v>
      </c>
      <c r="I270" s="180">
        <v>0</v>
      </c>
      <c r="J270" s="180">
        <v>0</v>
      </c>
      <c r="K270" s="180">
        <v>0</v>
      </c>
      <c r="L270" s="180">
        <v>0</v>
      </c>
      <c r="M270" s="180">
        <v>0</v>
      </c>
      <c r="N270" s="180">
        <v>0</v>
      </c>
      <c r="O270" s="180">
        <v>0</v>
      </c>
      <c r="P270" s="180">
        <v>0</v>
      </c>
      <c r="Q270" s="180">
        <v>0</v>
      </c>
      <c r="R270" s="180">
        <v>0</v>
      </c>
      <c r="S270" s="180">
        <v>2.74</v>
      </c>
      <c r="T270" s="180">
        <v>0</v>
      </c>
      <c r="U270" s="180">
        <v>22.21</v>
      </c>
      <c r="V270" s="180">
        <v>0</v>
      </c>
      <c r="W270" s="180">
        <v>0</v>
      </c>
      <c r="X270" s="180">
        <v>0</v>
      </c>
      <c r="Y270" s="180">
        <v>0</v>
      </c>
      <c r="Z270" s="180">
        <v>1.41</v>
      </c>
      <c r="AA270" s="180">
        <v>0</v>
      </c>
      <c r="AB270" s="180">
        <v>0</v>
      </c>
      <c r="AC270" s="180">
        <v>0</v>
      </c>
      <c r="AD270" s="180">
        <v>0</v>
      </c>
      <c r="AE270" s="180">
        <v>6.15</v>
      </c>
      <c r="AF270" s="180">
        <v>0</v>
      </c>
      <c r="AG270" s="180">
        <v>0</v>
      </c>
      <c r="AH270" s="180">
        <v>0</v>
      </c>
      <c r="AI270" s="180">
        <v>0</v>
      </c>
      <c r="AJ270" s="180">
        <v>1.96</v>
      </c>
      <c r="AK270" s="180">
        <v>0</v>
      </c>
      <c r="AL270" s="180">
        <v>0</v>
      </c>
      <c r="AM270" s="180">
        <v>0</v>
      </c>
      <c r="AN270" s="180">
        <v>0</v>
      </c>
      <c r="AO270" s="180">
        <v>0</v>
      </c>
      <c r="AP270" s="180">
        <v>0</v>
      </c>
      <c r="AQ270" s="180">
        <v>4.5599999999999996</v>
      </c>
      <c r="AR270" s="180">
        <v>0</v>
      </c>
      <c r="AS270" s="180">
        <v>0</v>
      </c>
      <c r="AT270" s="180">
        <v>0</v>
      </c>
      <c r="AU270" s="180">
        <v>5.1100000000000003</v>
      </c>
      <c r="AV270" s="180">
        <v>0</v>
      </c>
      <c r="AW270" s="180">
        <v>0</v>
      </c>
      <c r="AX270" s="180">
        <v>0</v>
      </c>
      <c r="AY270" s="180">
        <v>0</v>
      </c>
      <c r="AZ270" s="180">
        <v>0</v>
      </c>
      <c r="BA270" s="180">
        <v>0</v>
      </c>
      <c r="BB270" s="180">
        <v>0</v>
      </c>
      <c r="BC270" s="180">
        <v>0</v>
      </c>
      <c r="BD270" s="180">
        <v>0</v>
      </c>
      <c r="BE270" s="180">
        <v>5.43</v>
      </c>
      <c r="BF270" s="180">
        <v>0</v>
      </c>
      <c r="BG270" s="180">
        <v>0</v>
      </c>
      <c r="BH270" s="180">
        <v>0</v>
      </c>
      <c r="BI270" s="180">
        <v>0</v>
      </c>
      <c r="BJ270" s="180">
        <v>0</v>
      </c>
      <c r="BK270" s="180">
        <v>166.87</v>
      </c>
      <c r="BL270" s="180">
        <v>0</v>
      </c>
      <c r="BM270" s="180">
        <v>0</v>
      </c>
      <c r="BN270" s="180">
        <v>0</v>
      </c>
      <c r="BO270" s="180">
        <v>0</v>
      </c>
      <c r="BP270" s="180">
        <v>0</v>
      </c>
      <c r="BQ270" s="180">
        <v>0</v>
      </c>
      <c r="BR270" s="180">
        <v>0</v>
      </c>
      <c r="BS270" s="180">
        <v>0</v>
      </c>
      <c r="BT270" s="180">
        <v>0</v>
      </c>
      <c r="BU270" s="180">
        <v>0</v>
      </c>
      <c r="BV270" s="180">
        <v>0</v>
      </c>
      <c r="BW270" s="180">
        <v>0</v>
      </c>
      <c r="BX270" s="180">
        <v>0</v>
      </c>
      <c r="BY270" s="180">
        <v>0</v>
      </c>
      <c r="BZ270" s="180">
        <v>0</v>
      </c>
      <c r="CA270" s="180">
        <v>0</v>
      </c>
    </row>
    <row r="271" spans="1:79" s="180" customFormat="1" x14ac:dyDescent="0.3">
      <c r="A271" s="155">
        <v>9015</v>
      </c>
      <c r="B271" s="572" t="s">
        <v>1726</v>
      </c>
      <c r="C271" s="572" t="s">
        <v>351</v>
      </c>
      <c r="D271" s="180">
        <v>0</v>
      </c>
      <c r="E271" s="180">
        <v>0</v>
      </c>
      <c r="F271" s="180">
        <v>0</v>
      </c>
      <c r="G271" s="180">
        <v>0</v>
      </c>
      <c r="H271" s="180">
        <v>0</v>
      </c>
      <c r="I271" s="180">
        <v>0</v>
      </c>
      <c r="J271" s="180">
        <v>0</v>
      </c>
      <c r="K271" s="180">
        <v>0</v>
      </c>
      <c r="L271" s="180">
        <v>0</v>
      </c>
      <c r="M271" s="180">
        <v>0</v>
      </c>
      <c r="N271" s="180">
        <v>0</v>
      </c>
      <c r="O271" s="180">
        <v>0</v>
      </c>
      <c r="P271" s="180">
        <v>0</v>
      </c>
      <c r="Q271" s="180">
        <v>0</v>
      </c>
      <c r="R271" s="180">
        <v>0</v>
      </c>
      <c r="S271" s="180">
        <v>331392</v>
      </c>
      <c r="T271" s="180">
        <v>0</v>
      </c>
      <c r="U271" s="180">
        <v>10024780</v>
      </c>
      <c r="V271" s="180">
        <v>0</v>
      </c>
      <c r="W271" s="180">
        <v>0</v>
      </c>
      <c r="X271" s="180">
        <v>0</v>
      </c>
      <c r="Y271" s="180">
        <v>0</v>
      </c>
      <c r="Z271" s="180">
        <v>48449</v>
      </c>
      <c r="AA271" s="180">
        <v>-86286</v>
      </c>
      <c r="AB271" s="180">
        <v>0</v>
      </c>
      <c r="AC271" s="180">
        <v>0</v>
      </c>
      <c r="AD271" s="180">
        <v>0</v>
      </c>
      <c r="AE271" s="180">
        <v>543419</v>
      </c>
      <c r="AF271" s="180">
        <v>0</v>
      </c>
      <c r="AG271" s="180">
        <v>0</v>
      </c>
      <c r="AH271" s="180">
        <v>0</v>
      </c>
      <c r="AI271" s="180">
        <v>0</v>
      </c>
      <c r="AJ271" s="180">
        <v>1227867</v>
      </c>
      <c r="AK271" s="180">
        <v>0</v>
      </c>
      <c r="AL271" s="180">
        <v>0</v>
      </c>
      <c r="AM271" s="180">
        <v>0</v>
      </c>
      <c r="AN271" s="180">
        <v>0</v>
      </c>
      <c r="AO271" s="180">
        <v>0</v>
      </c>
      <c r="AP271" s="180">
        <v>0</v>
      </c>
      <c r="AQ271" s="180">
        <v>2450477</v>
      </c>
      <c r="AR271" s="180">
        <v>0</v>
      </c>
      <c r="AS271" s="180">
        <v>0</v>
      </c>
      <c r="AT271" s="180">
        <v>0</v>
      </c>
      <c r="AU271" s="180">
        <v>243565</v>
      </c>
      <c r="AV271" s="180">
        <v>0</v>
      </c>
      <c r="AW271" s="180">
        <v>0</v>
      </c>
      <c r="AX271" s="180">
        <v>0</v>
      </c>
      <c r="AY271" s="180">
        <v>0</v>
      </c>
      <c r="AZ271" s="180">
        <v>0</v>
      </c>
      <c r="BA271" s="180">
        <v>0</v>
      </c>
      <c r="BB271" s="180">
        <v>0</v>
      </c>
      <c r="BC271" s="180">
        <v>0</v>
      </c>
      <c r="BD271" s="180">
        <v>0</v>
      </c>
      <c r="BE271" s="180">
        <v>3575508</v>
      </c>
      <c r="BF271" s="180">
        <v>0</v>
      </c>
      <c r="BG271" s="180">
        <v>0</v>
      </c>
      <c r="BH271" s="180">
        <v>0</v>
      </c>
      <c r="BI271" s="180">
        <v>0</v>
      </c>
      <c r="BJ271" s="180">
        <v>0</v>
      </c>
      <c r="BK271" s="180">
        <v>-490314</v>
      </c>
      <c r="BL271" s="180">
        <v>0</v>
      </c>
      <c r="BM271" s="180">
        <v>0</v>
      </c>
      <c r="BN271" s="180">
        <v>0</v>
      </c>
      <c r="BO271" s="180">
        <v>0</v>
      </c>
      <c r="BP271" s="180">
        <v>0</v>
      </c>
      <c r="BQ271" s="180">
        <v>0</v>
      </c>
      <c r="BR271" s="180">
        <v>0</v>
      </c>
      <c r="BS271" s="180">
        <v>0</v>
      </c>
      <c r="BT271" s="180">
        <v>0</v>
      </c>
      <c r="BU271" s="180">
        <v>0</v>
      </c>
      <c r="BV271" s="180">
        <v>0</v>
      </c>
      <c r="BW271" s="180">
        <v>0</v>
      </c>
      <c r="BX271" s="180">
        <v>0</v>
      </c>
      <c r="BY271" s="180">
        <v>0</v>
      </c>
      <c r="BZ271" s="180">
        <v>0</v>
      </c>
      <c r="CA271" s="180">
        <v>0</v>
      </c>
    </row>
    <row r="272" spans="1:79" s="180" customFormat="1" x14ac:dyDescent="0.3">
      <c r="A272" s="155">
        <v>9016</v>
      </c>
      <c r="B272" s="572" t="s">
        <v>1727</v>
      </c>
      <c r="C272" s="572" t="s">
        <v>351</v>
      </c>
      <c r="D272" s="180">
        <v>0</v>
      </c>
      <c r="E272" s="180">
        <v>0</v>
      </c>
      <c r="F272" s="180">
        <v>0</v>
      </c>
      <c r="G272" s="180">
        <v>0</v>
      </c>
      <c r="H272" s="180">
        <v>0</v>
      </c>
      <c r="I272" s="180">
        <v>0</v>
      </c>
      <c r="J272" s="180">
        <v>0</v>
      </c>
      <c r="K272" s="180">
        <v>0</v>
      </c>
      <c r="L272" s="180">
        <v>0</v>
      </c>
      <c r="M272" s="180">
        <v>0</v>
      </c>
      <c r="N272" s="180">
        <v>0</v>
      </c>
      <c r="O272" s="180">
        <v>0</v>
      </c>
      <c r="P272" s="180">
        <v>0</v>
      </c>
      <c r="Q272" s="180">
        <v>0</v>
      </c>
      <c r="R272" s="180">
        <v>0</v>
      </c>
      <c r="S272" s="180">
        <v>0.20660000000000001</v>
      </c>
      <c r="T272" s="180">
        <v>0</v>
      </c>
      <c r="U272" s="180">
        <v>0.93259999999999998</v>
      </c>
      <c r="V272" s="180">
        <v>0</v>
      </c>
      <c r="W272" s="180">
        <v>0</v>
      </c>
      <c r="X272" s="180">
        <v>0</v>
      </c>
      <c r="Y272" s="180">
        <v>0</v>
      </c>
      <c r="Z272" s="180">
        <v>0.2089</v>
      </c>
      <c r="AA272" s="180">
        <v>0</v>
      </c>
      <c r="AB272" s="180">
        <v>0</v>
      </c>
      <c r="AC272" s="180">
        <v>0</v>
      </c>
      <c r="AD272" s="180">
        <v>0</v>
      </c>
      <c r="AE272" s="180">
        <v>0.34289999999999998</v>
      </c>
      <c r="AF272" s="180">
        <v>0</v>
      </c>
      <c r="AG272" s="180">
        <v>0</v>
      </c>
      <c r="AH272" s="180">
        <v>0</v>
      </c>
      <c r="AI272" s="180">
        <v>0</v>
      </c>
      <c r="AJ272" s="180">
        <v>0.13070000000000001</v>
      </c>
      <c r="AK272" s="180">
        <v>0</v>
      </c>
      <c r="AL272" s="180">
        <v>0</v>
      </c>
      <c r="AM272" s="180">
        <v>0</v>
      </c>
      <c r="AN272" s="180">
        <v>0</v>
      </c>
      <c r="AO272" s="180">
        <v>0</v>
      </c>
      <c r="AP272" s="180">
        <v>0</v>
      </c>
      <c r="AQ272" s="180">
        <v>0.34799999999999998</v>
      </c>
      <c r="AR272" s="180">
        <v>0</v>
      </c>
      <c r="AS272" s="180">
        <v>0</v>
      </c>
      <c r="AT272" s="180">
        <v>0</v>
      </c>
      <c r="AU272" s="180">
        <v>0.66590000000000005</v>
      </c>
      <c r="AV272" s="180">
        <v>0</v>
      </c>
      <c r="AW272" s="180">
        <v>0</v>
      </c>
      <c r="AX272" s="180">
        <v>0</v>
      </c>
      <c r="AY272" s="180">
        <v>0</v>
      </c>
      <c r="AZ272" s="180">
        <v>0</v>
      </c>
      <c r="BA272" s="180">
        <v>0</v>
      </c>
      <c r="BB272" s="180">
        <v>0</v>
      </c>
      <c r="BC272" s="180">
        <v>0</v>
      </c>
      <c r="BD272" s="180">
        <v>0</v>
      </c>
      <c r="BE272" s="180">
        <v>9.2399999999999996E-2</v>
      </c>
      <c r="BF272" s="180">
        <v>0</v>
      </c>
      <c r="BG272" s="180">
        <v>0</v>
      </c>
      <c r="BH272" s="180">
        <v>0</v>
      </c>
      <c r="BI272" s="180">
        <v>0</v>
      </c>
      <c r="BJ272" s="180">
        <v>0</v>
      </c>
      <c r="BK272" s="180">
        <v>0.39629999999999999</v>
      </c>
      <c r="BL272" s="180">
        <v>0</v>
      </c>
      <c r="BM272" s="180">
        <v>0</v>
      </c>
      <c r="BN272" s="180">
        <v>0</v>
      </c>
      <c r="BO272" s="180">
        <v>0</v>
      </c>
      <c r="BP272" s="180">
        <v>0</v>
      </c>
      <c r="BQ272" s="180">
        <v>0</v>
      </c>
      <c r="BR272" s="180">
        <v>0</v>
      </c>
      <c r="BS272" s="180">
        <v>0</v>
      </c>
      <c r="BT272" s="180">
        <v>0</v>
      </c>
      <c r="BU272" s="180">
        <v>0</v>
      </c>
      <c r="BV272" s="180">
        <v>0</v>
      </c>
      <c r="BW272" s="180">
        <v>0</v>
      </c>
      <c r="BX272" s="180">
        <v>0</v>
      </c>
      <c r="BY272" s="180">
        <v>0</v>
      </c>
      <c r="BZ272" s="180">
        <v>0</v>
      </c>
      <c r="CA272" s="180">
        <v>0</v>
      </c>
    </row>
    <row r="273" spans="1:104" s="180" customFormat="1" x14ac:dyDescent="0.3">
      <c r="A273" s="155">
        <v>9017</v>
      </c>
      <c r="B273" s="557" t="s">
        <v>1051</v>
      </c>
      <c r="C273" s="557" t="s">
        <v>1052</v>
      </c>
      <c r="D273" s="180">
        <v>0</v>
      </c>
      <c r="E273" s="180">
        <v>0</v>
      </c>
      <c r="F273" s="180">
        <v>0</v>
      </c>
      <c r="G273" s="180">
        <v>0</v>
      </c>
      <c r="H273" s="180">
        <v>0</v>
      </c>
      <c r="I273" s="180">
        <v>0</v>
      </c>
      <c r="J273" s="180">
        <v>0</v>
      </c>
      <c r="K273" s="180">
        <v>0</v>
      </c>
      <c r="L273" s="180">
        <v>0</v>
      </c>
      <c r="M273" s="180">
        <v>0</v>
      </c>
      <c r="N273" s="180">
        <v>0</v>
      </c>
      <c r="O273" s="180">
        <v>0</v>
      </c>
      <c r="P273" s="180">
        <v>0</v>
      </c>
      <c r="Q273" s="180">
        <v>0</v>
      </c>
      <c r="R273" s="180">
        <v>0</v>
      </c>
      <c r="S273" s="180">
        <v>2.74</v>
      </c>
      <c r="T273" s="180">
        <v>0</v>
      </c>
      <c r="U273" s="180">
        <v>22.21</v>
      </c>
      <c r="V273" s="180">
        <v>0</v>
      </c>
      <c r="W273" s="180">
        <v>0</v>
      </c>
      <c r="X273" s="180">
        <v>0</v>
      </c>
      <c r="Y273" s="180">
        <v>0</v>
      </c>
      <c r="Z273" s="180">
        <v>1.41</v>
      </c>
      <c r="AA273" s="180">
        <v>0</v>
      </c>
      <c r="AB273" s="180">
        <v>0</v>
      </c>
      <c r="AC273" s="180">
        <v>0</v>
      </c>
      <c r="AD273" s="180">
        <v>0</v>
      </c>
      <c r="AE273" s="180">
        <v>6.15</v>
      </c>
      <c r="AF273" s="180">
        <v>0</v>
      </c>
      <c r="AG273" s="180">
        <v>0</v>
      </c>
      <c r="AH273" s="180">
        <v>0</v>
      </c>
      <c r="AI273" s="180">
        <v>0</v>
      </c>
      <c r="AJ273" s="180">
        <v>1.96</v>
      </c>
      <c r="AK273" s="180">
        <v>0</v>
      </c>
      <c r="AL273" s="180">
        <v>0</v>
      </c>
      <c r="AM273" s="180">
        <v>0</v>
      </c>
      <c r="AN273" s="180">
        <v>0</v>
      </c>
      <c r="AO273" s="180">
        <v>0</v>
      </c>
      <c r="AP273" s="180">
        <v>0</v>
      </c>
      <c r="AQ273" s="180">
        <v>4.5599999999999996</v>
      </c>
      <c r="AR273" s="180">
        <v>0</v>
      </c>
      <c r="AS273" s="180">
        <v>0</v>
      </c>
      <c r="AT273" s="180">
        <v>0</v>
      </c>
      <c r="AU273" s="180">
        <v>5.1100000000000003</v>
      </c>
      <c r="AV273" s="180">
        <v>0</v>
      </c>
      <c r="AW273" s="180">
        <v>0</v>
      </c>
      <c r="AX273" s="180">
        <v>0</v>
      </c>
      <c r="AY273" s="180">
        <v>0</v>
      </c>
      <c r="AZ273" s="180">
        <v>0</v>
      </c>
      <c r="BA273" s="180">
        <v>0</v>
      </c>
      <c r="BB273" s="180">
        <v>0</v>
      </c>
      <c r="BC273" s="180">
        <v>0</v>
      </c>
      <c r="BD273" s="180">
        <v>0</v>
      </c>
      <c r="BE273" s="180">
        <v>5.43</v>
      </c>
      <c r="BF273" s="180">
        <v>0</v>
      </c>
      <c r="BG273" s="180">
        <v>0</v>
      </c>
      <c r="BH273" s="180">
        <v>0</v>
      </c>
      <c r="BI273" s="180">
        <v>0</v>
      </c>
      <c r="BJ273" s="180">
        <v>0</v>
      </c>
      <c r="BK273" s="180">
        <v>166.87</v>
      </c>
      <c r="BL273" s="180">
        <v>0</v>
      </c>
      <c r="BM273" s="180">
        <v>0</v>
      </c>
      <c r="BN273" s="180">
        <v>0</v>
      </c>
      <c r="BO273" s="180">
        <v>0</v>
      </c>
      <c r="BP273" s="180">
        <v>0</v>
      </c>
      <c r="BQ273" s="180">
        <v>0</v>
      </c>
      <c r="BR273" s="180">
        <v>0</v>
      </c>
      <c r="BS273" s="180">
        <v>0</v>
      </c>
      <c r="BT273" s="180">
        <v>0</v>
      </c>
      <c r="BU273" s="180">
        <v>0</v>
      </c>
      <c r="BV273" s="180">
        <v>0</v>
      </c>
      <c r="BW273" s="180">
        <v>0</v>
      </c>
      <c r="BX273" s="180">
        <v>0</v>
      </c>
      <c r="BY273" s="180">
        <v>0</v>
      </c>
      <c r="BZ273" s="180">
        <v>0</v>
      </c>
      <c r="CA273" s="180">
        <v>0</v>
      </c>
    </row>
    <row r="274" spans="1:104" s="180" customFormat="1" ht="86.4" x14ac:dyDescent="0.3">
      <c r="A274" s="155">
        <v>9018</v>
      </c>
      <c r="B274" s="527" t="s">
        <v>1053</v>
      </c>
      <c r="C274" s="527" t="s">
        <v>1054</v>
      </c>
      <c r="D274" s="180">
        <v>113665</v>
      </c>
      <c r="E274" s="180">
        <v>2921807</v>
      </c>
      <c r="F274" s="180">
        <v>0</v>
      </c>
      <c r="G274" s="180">
        <v>7257802</v>
      </c>
      <c r="H274" s="180">
        <v>581047</v>
      </c>
      <c r="I274" s="180">
        <v>15890</v>
      </c>
      <c r="J274" s="180">
        <v>15585</v>
      </c>
      <c r="K274" s="180">
        <v>485347</v>
      </c>
      <c r="L274" s="180">
        <v>16335164</v>
      </c>
      <c r="M274" s="180">
        <v>0</v>
      </c>
      <c r="N274" s="180">
        <v>51252</v>
      </c>
      <c r="O274" s="180">
        <v>0</v>
      </c>
      <c r="P274" s="180">
        <v>5900525</v>
      </c>
      <c r="Q274" s="180">
        <v>5781008</v>
      </c>
      <c r="R274" s="180">
        <v>1237733</v>
      </c>
      <c r="S274" s="180">
        <v>2574535</v>
      </c>
      <c r="T274" s="180">
        <v>8350</v>
      </c>
      <c r="U274" s="180">
        <v>3362554</v>
      </c>
      <c r="V274" s="180">
        <v>2859</v>
      </c>
      <c r="W274" s="180">
        <v>1609502</v>
      </c>
      <c r="X274" s="180">
        <v>3090626</v>
      </c>
      <c r="Y274" s="180">
        <v>1062770</v>
      </c>
      <c r="Z274" s="180">
        <v>482570</v>
      </c>
      <c r="AA274" s="180">
        <v>17216551</v>
      </c>
      <c r="AB274" s="180">
        <v>540012</v>
      </c>
      <c r="AC274" s="180">
        <v>4905</v>
      </c>
      <c r="AD274" s="180">
        <v>32304</v>
      </c>
      <c r="AE274" s="180">
        <v>671462</v>
      </c>
      <c r="AF274" s="180">
        <v>3779</v>
      </c>
      <c r="AG274" s="180">
        <v>1204</v>
      </c>
      <c r="AH274" s="180">
        <v>440</v>
      </c>
      <c r="AI274" s="180">
        <v>451332</v>
      </c>
      <c r="AJ274" s="180">
        <v>3668346</v>
      </c>
      <c r="AK274" s="180">
        <v>5765</v>
      </c>
      <c r="AL274" s="180">
        <v>4343</v>
      </c>
      <c r="AM274" s="180">
        <v>10671786</v>
      </c>
      <c r="AN274" s="180">
        <v>4270409</v>
      </c>
      <c r="AO274" s="180">
        <v>0</v>
      </c>
      <c r="AP274" s="180">
        <v>1381014</v>
      </c>
      <c r="AQ274" s="180">
        <v>9838702</v>
      </c>
      <c r="AR274" s="180">
        <v>0</v>
      </c>
      <c r="AS274" s="180">
        <v>0</v>
      </c>
      <c r="AT274" s="180">
        <v>0</v>
      </c>
      <c r="AU274" s="180">
        <v>4541902</v>
      </c>
      <c r="AV274" s="180">
        <v>60271</v>
      </c>
      <c r="AW274" s="180">
        <v>0</v>
      </c>
      <c r="AX274" s="180">
        <v>2344142</v>
      </c>
      <c r="AY274" s="180">
        <v>53231</v>
      </c>
      <c r="AZ274" s="180">
        <v>0</v>
      </c>
      <c r="BA274" s="180">
        <v>0</v>
      </c>
      <c r="BB274" s="180">
        <v>878514</v>
      </c>
      <c r="BC274" s="180">
        <v>0</v>
      </c>
      <c r="BD274" s="180">
        <v>1038</v>
      </c>
      <c r="BE274" s="180">
        <v>6750078</v>
      </c>
      <c r="BF274" s="180">
        <v>0</v>
      </c>
      <c r="BG274" s="180">
        <v>0</v>
      </c>
      <c r="BH274" s="180">
        <v>56836</v>
      </c>
      <c r="BI274" s="180">
        <v>372294</v>
      </c>
      <c r="BJ274" s="180">
        <v>42179</v>
      </c>
      <c r="BK274" s="180">
        <v>252188</v>
      </c>
      <c r="BL274" s="180">
        <v>410329</v>
      </c>
      <c r="BM274" s="180">
        <v>-15750</v>
      </c>
      <c r="BN274" s="180">
        <v>938809</v>
      </c>
      <c r="BO274" s="180">
        <v>381197</v>
      </c>
      <c r="BP274" s="180">
        <v>15166</v>
      </c>
      <c r="BQ274" s="180">
        <v>102774</v>
      </c>
      <c r="BR274" s="180">
        <v>130435</v>
      </c>
      <c r="BS274" s="180">
        <v>2840683</v>
      </c>
      <c r="BT274" s="180">
        <v>117767</v>
      </c>
      <c r="BU274" s="180">
        <v>1465121</v>
      </c>
      <c r="BV274" s="180">
        <v>118767</v>
      </c>
      <c r="BW274" s="180">
        <v>111777</v>
      </c>
      <c r="BX274" s="180">
        <v>0</v>
      </c>
      <c r="BY274" s="180">
        <v>0</v>
      </c>
      <c r="BZ274" s="180">
        <v>3161023</v>
      </c>
      <c r="CA274" s="180">
        <v>35549</v>
      </c>
    </row>
    <row r="275" spans="1:104" s="180" customFormat="1" ht="115.2" x14ac:dyDescent="0.3">
      <c r="A275" s="155">
        <v>9019</v>
      </c>
      <c r="B275" s="557" t="s">
        <v>1055</v>
      </c>
      <c r="C275" s="578" t="s">
        <v>1056</v>
      </c>
      <c r="D275" s="180">
        <v>113665</v>
      </c>
      <c r="E275" s="180">
        <v>2921807</v>
      </c>
      <c r="F275" s="180">
        <v>0</v>
      </c>
      <c r="G275" s="180">
        <v>7257802</v>
      </c>
      <c r="H275" s="180">
        <v>581047</v>
      </c>
      <c r="I275" s="180">
        <v>15890</v>
      </c>
      <c r="J275" s="180">
        <v>15585</v>
      </c>
      <c r="K275" s="180">
        <v>485347</v>
      </c>
      <c r="L275" s="180">
        <v>16335164</v>
      </c>
      <c r="M275" s="180">
        <v>0</v>
      </c>
      <c r="N275" s="180">
        <v>51252</v>
      </c>
      <c r="O275" s="180">
        <v>0</v>
      </c>
      <c r="P275" s="180">
        <v>5900525</v>
      </c>
      <c r="Q275" s="180">
        <v>5781008</v>
      </c>
      <c r="R275" s="180">
        <v>1237733</v>
      </c>
      <c r="S275" s="180">
        <v>2574535</v>
      </c>
      <c r="T275" s="180">
        <v>8350</v>
      </c>
      <c r="U275" s="180">
        <v>3362554</v>
      </c>
      <c r="V275" s="180">
        <v>2859</v>
      </c>
      <c r="W275" s="180">
        <v>1609502</v>
      </c>
      <c r="X275" s="180">
        <v>3090626</v>
      </c>
      <c r="Y275" s="180">
        <v>1062770</v>
      </c>
      <c r="Z275" s="180">
        <v>482570</v>
      </c>
      <c r="AA275" s="180">
        <v>17216551</v>
      </c>
      <c r="AB275" s="180">
        <v>540012</v>
      </c>
      <c r="AC275" s="180">
        <v>4905</v>
      </c>
      <c r="AD275" s="180">
        <v>32304</v>
      </c>
      <c r="AE275" s="180">
        <v>671462</v>
      </c>
      <c r="AF275" s="180">
        <v>3779</v>
      </c>
      <c r="AG275" s="180">
        <v>1204</v>
      </c>
      <c r="AH275" s="180">
        <v>440</v>
      </c>
      <c r="AI275" s="180">
        <v>451332</v>
      </c>
      <c r="AJ275" s="180">
        <v>3668346</v>
      </c>
      <c r="AK275" s="180">
        <v>5765</v>
      </c>
      <c r="AL275" s="180">
        <v>4343</v>
      </c>
      <c r="AM275" s="180">
        <v>10671786</v>
      </c>
      <c r="AN275" s="180">
        <v>4270409</v>
      </c>
      <c r="AO275" s="180">
        <v>0</v>
      </c>
      <c r="AP275" s="180">
        <v>1381014</v>
      </c>
      <c r="AQ275" s="180">
        <v>9838702</v>
      </c>
      <c r="AR275" s="180">
        <v>0</v>
      </c>
      <c r="AS275" s="180">
        <v>0</v>
      </c>
      <c r="AT275" s="180">
        <v>0</v>
      </c>
      <c r="AU275" s="180">
        <v>4541902</v>
      </c>
      <c r="AV275" s="180">
        <v>60271</v>
      </c>
      <c r="AW275" s="180">
        <v>0</v>
      </c>
      <c r="AX275" s="180">
        <v>2344142</v>
      </c>
      <c r="AY275" s="180">
        <v>53231</v>
      </c>
      <c r="AZ275" s="180">
        <v>0</v>
      </c>
      <c r="BA275" s="180">
        <v>0</v>
      </c>
      <c r="BB275" s="180">
        <v>878514</v>
      </c>
      <c r="BC275" s="180">
        <v>0</v>
      </c>
      <c r="BD275" s="180">
        <v>1038</v>
      </c>
      <c r="BE275" s="180">
        <v>6750078</v>
      </c>
      <c r="BF275" s="180">
        <v>0</v>
      </c>
      <c r="BG275" s="180">
        <v>0</v>
      </c>
      <c r="BH275" s="180">
        <v>56836</v>
      </c>
      <c r="BI275" s="180">
        <v>372294</v>
      </c>
      <c r="BJ275" s="180">
        <v>42179</v>
      </c>
      <c r="BK275" s="180">
        <v>252188</v>
      </c>
      <c r="BL275" s="180">
        <v>410329</v>
      </c>
      <c r="BM275" s="180">
        <v>-15750</v>
      </c>
      <c r="BN275" s="180">
        <v>938809</v>
      </c>
      <c r="BO275" s="180">
        <v>381197</v>
      </c>
      <c r="BP275" s="180">
        <v>15166</v>
      </c>
      <c r="BQ275" s="180">
        <v>102774</v>
      </c>
      <c r="BR275" s="180">
        <v>130435</v>
      </c>
      <c r="BS275" s="180">
        <v>2840683</v>
      </c>
      <c r="BT275" s="180">
        <v>117767</v>
      </c>
      <c r="BU275" s="180">
        <v>1465121</v>
      </c>
      <c r="BV275" s="180">
        <v>118767</v>
      </c>
      <c r="BW275" s="180">
        <v>111777</v>
      </c>
      <c r="BX275" s="180">
        <v>0</v>
      </c>
      <c r="BY275" s="180">
        <v>0</v>
      </c>
      <c r="BZ275" s="180">
        <v>3161023</v>
      </c>
      <c r="CA275" s="180">
        <v>35549</v>
      </c>
    </row>
    <row r="276" spans="1:104" s="801" customFormat="1" ht="28.8" x14ac:dyDescent="0.3">
      <c r="A276" s="802"/>
      <c r="B276" s="801" t="s">
        <v>1940</v>
      </c>
      <c r="C276" s="937" t="s">
        <v>1732</v>
      </c>
      <c r="D276" s="801">
        <f t="shared" ref="D276:J276" si="0">(D106+D135-D3-D4-D5-D8+D191)/(D132+D109+D11-D133-D108-D240)</f>
        <v>0.17926206157199148</v>
      </c>
      <c r="E276" s="801">
        <f t="shared" si="0"/>
        <v>1.4154419684139059</v>
      </c>
      <c r="F276" s="801" t="e">
        <f t="shared" si="0"/>
        <v>#DIV/0!</v>
      </c>
      <c r="G276" s="801">
        <f t="shared" si="0"/>
        <v>0.53191330942478987</v>
      </c>
      <c r="H276" s="801">
        <f t="shared" si="0"/>
        <v>0.51675319063555225</v>
      </c>
      <c r="I276" s="801">
        <f t="shared" si="0"/>
        <v>1.4193478065732275</v>
      </c>
      <c r="J276" s="801">
        <f t="shared" si="0"/>
        <v>1.7194371432760764</v>
      </c>
      <c r="K276" s="801">
        <f>(L106+L135-L3-L4-L5-L8+L191)/(L132+L109+L11-L133-L108-L240)</f>
        <v>0.84141077463807856</v>
      </c>
      <c r="L276" s="801">
        <f t="shared" ref="L276:T276" si="1">(L106+L135-L3-L4-L5-L8+L191)/(L132+L109+L11-L133-L108-L240)</f>
        <v>0.84141077463807856</v>
      </c>
      <c r="M276" s="801" t="e">
        <f t="shared" si="1"/>
        <v>#DIV/0!</v>
      </c>
      <c r="N276" s="801">
        <f t="shared" si="1"/>
        <v>0.92503650106911239</v>
      </c>
      <c r="O276" s="801" t="e">
        <f t="shared" si="1"/>
        <v>#DIV/0!</v>
      </c>
      <c r="P276" s="801">
        <f t="shared" si="1"/>
        <v>0.58878562748521013</v>
      </c>
      <c r="Q276" s="801">
        <f t="shared" si="1"/>
        <v>1.0770376265656867</v>
      </c>
      <c r="R276" s="801">
        <f t="shared" si="1"/>
        <v>0.43146896698535281</v>
      </c>
      <c r="S276" s="801">
        <f t="shared" si="1"/>
        <v>0.58840925194196725</v>
      </c>
      <c r="T276" s="801">
        <f t="shared" si="1"/>
        <v>1.8257148092242454</v>
      </c>
      <c r="V276" s="801">
        <f t="shared" ref="V276:AU276" si="2">(V106+V135-V3-V4-V5-V8+V191)/(V132+V109+V11-V133-V108-V240)</f>
        <v>6.7626398117957818</v>
      </c>
      <c r="W276" s="801">
        <f t="shared" si="2"/>
        <v>0.9793589400518905</v>
      </c>
      <c r="X276" s="801">
        <f t="shared" si="2"/>
        <v>0.39963984848410256</v>
      </c>
      <c r="Y276" s="801">
        <f t="shared" si="2"/>
        <v>0.91490801814909173</v>
      </c>
      <c r="Z276" s="801">
        <f t="shared" si="2"/>
        <v>1.3129795694436446</v>
      </c>
      <c r="AA276" s="801">
        <f t="shared" si="2"/>
        <v>0.45017001811352525</v>
      </c>
      <c r="AB276" s="801">
        <f t="shared" si="2"/>
        <v>1.0276324192207147</v>
      </c>
      <c r="AC276" s="801">
        <f t="shared" si="2"/>
        <v>0.96383475899851023</v>
      </c>
      <c r="AD276" s="801">
        <f t="shared" si="2"/>
        <v>1.2437690167883586</v>
      </c>
      <c r="AE276" s="801">
        <f t="shared" si="2"/>
        <v>0.43493388903919511</v>
      </c>
      <c r="AF276" s="801">
        <f t="shared" si="2"/>
        <v>0.73172965344205743</v>
      </c>
      <c r="AG276" s="801">
        <f t="shared" si="2"/>
        <v>1.2752695417789757</v>
      </c>
      <c r="AH276" s="801">
        <f t="shared" si="2"/>
        <v>1.7472942649898242</v>
      </c>
      <c r="AI276" s="801">
        <f t="shared" si="2"/>
        <v>0.56874133606371513</v>
      </c>
      <c r="AJ276" s="801">
        <f t="shared" si="2"/>
        <v>0.30756985306240531</v>
      </c>
      <c r="AK276" s="801">
        <f t="shared" si="2"/>
        <v>0.79546218252079193</v>
      </c>
      <c r="AL276" s="801">
        <f t="shared" si="2"/>
        <v>4.5173739518875182</v>
      </c>
      <c r="AM276" s="801">
        <f t="shared" si="2"/>
        <v>0.40630106526068072</v>
      </c>
      <c r="AN276" s="801">
        <f t="shared" si="2"/>
        <v>0.82631691489293901</v>
      </c>
      <c r="AO276" s="801" t="e">
        <f t="shared" si="2"/>
        <v>#DIV/0!</v>
      </c>
      <c r="AP276" s="801">
        <f t="shared" si="2"/>
        <v>1.6869059254934631</v>
      </c>
      <c r="AQ276" s="801">
        <f t="shared" si="2"/>
        <v>0.29169348955886998</v>
      </c>
      <c r="AR276" s="801" t="e">
        <f t="shared" si="2"/>
        <v>#DIV/0!</v>
      </c>
      <c r="AS276" s="801" t="e">
        <f t="shared" si="2"/>
        <v>#DIV/0!</v>
      </c>
      <c r="AT276" s="801" t="e">
        <f t="shared" si="2"/>
        <v>#DIV/0!</v>
      </c>
      <c r="AU276" s="801">
        <f t="shared" si="2"/>
        <v>0.40269933656136586</v>
      </c>
      <c r="AV276" s="801" t="e">
        <f>(AW106+AW135-AW3-AW4-AW5-AW8+AW191)/(AW132+AW109+AW11-AW133-AW108-AW240)</f>
        <v>#DIV/0!</v>
      </c>
      <c r="AW276" s="801" t="e">
        <f t="shared" ref="AW276:BR276" si="3">(AW106+AW135-AW3-AW4-AW5-AW8+AW191)/(AW132+AW109+AW11-AW133-AW108-AW240)</f>
        <v>#DIV/0!</v>
      </c>
      <c r="AX276" s="801">
        <f t="shared" si="3"/>
        <v>0.75004408062032091</v>
      </c>
      <c r="AY276" s="801">
        <f t="shared" si="3"/>
        <v>0.71980654257158971</v>
      </c>
      <c r="AZ276" s="801" t="e">
        <f t="shared" si="3"/>
        <v>#DIV/0!</v>
      </c>
      <c r="BA276" s="801">
        <f t="shared" si="3"/>
        <v>3.1323802269486922</v>
      </c>
      <c r="BB276" s="801">
        <f t="shared" si="3"/>
        <v>0.74784932498615897</v>
      </c>
      <c r="BC276" s="801" t="e">
        <f t="shared" si="3"/>
        <v>#DIV/0!</v>
      </c>
      <c r="BD276" s="801">
        <f t="shared" si="3"/>
        <v>5.6520547945205477</v>
      </c>
      <c r="BE276" s="801">
        <f t="shared" si="3"/>
        <v>0.19069328732403149</v>
      </c>
      <c r="BF276" s="801" t="e">
        <f t="shared" si="3"/>
        <v>#DIV/0!</v>
      </c>
      <c r="BG276" s="801" t="e">
        <f t="shared" si="3"/>
        <v>#DIV/0!</v>
      </c>
      <c r="BH276" s="801">
        <f t="shared" si="3"/>
        <v>0.92483766012453483</v>
      </c>
      <c r="BI276" s="801">
        <f t="shared" si="3"/>
        <v>1.7011402581868662</v>
      </c>
      <c r="BJ276" s="801">
        <f t="shared" si="3"/>
        <v>0.57400406959378736</v>
      </c>
      <c r="BK276" s="801">
        <f t="shared" si="3"/>
        <v>0.39057313175563296</v>
      </c>
      <c r="BL276" s="801">
        <f t="shared" si="3"/>
        <v>1.3311635589791377</v>
      </c>
      <c r="BM276" s="801">
        <f t="shared" si="3"/>
        <v>5.5130762756771921</v>
      </c>
      <c r="BN276" s="801">
        <f t="shared" si="3"/>
        <v>0.44581769990646664</v>
      </c>
      <c r="BO276" s="801">
        <f t="shared" si="3"/>
        <v>2.4222792813525427</v>
      </c>
      <c r="BP276" s="801">
        <f t="shared" si="3"/>
        <v>1.4916278416876667</v>
      </c>
      <c r="BQ276" s="801">
        <f t="shared" si="3"/>
        <v>1.3880673589251644</v>
      </c>
      <c r="BR276" s="801">
        <f t="shared" si="3"/>
        <v>1.7313606596148985</v>
      </c>
      <c r="BS276" s="801">
        <f t="shared" ref="BS276:CA276" si="4">(BS106+BS135-BS3-BS4-BS5-BS8+BS191)/(BS132+BS109+BS11-BS133-BS108-BS240)</f>
        <v>0.67016386597674982</v>
      </c>
      <c r="BT276" s="801">
        <f t="shared" si="4"/>
        <v>1.0117015933931426</v>
      </c>
      <c r="BU276" s="801">
        <f t="shared" si="4"/>
        <v>0.70177867574476782</v>
      </c>
      <c r="BV276" s="801">
        <f t="shared" si="4"/>
        <v>1.0347844196646396</v>
      </c>
      <c r="BW276" s="801">
        <f t="shared" si="4"/>
        <v>1.3067864482108067</v>
      </c>
      <c r="BX276" s="801" t="e">
        <f t="shared" si="4"/>
        <v>#DIV/0!</v>
      </c>
      <c r="BY276" s="801">
        <f t="shared" si="4"/>
        <v>4.2878312650575028</v>
      </c>
      <c r="BZ276" s="801">
        <f t="shared" si="4"/>
        <v>0.82355358062547568</v>
      </c>
      <c r="CA276" s="801">
        <f t="shared" si="4"/>
        <v>1.3263321783462825</v>
      </c>
    </row>
    <row r="277" spans="1:104" s="571" customFormat="1" ht="25.2" customHeight="1" x14ac:dyDescent="0.3">
      <c r="A277" s="570" t="s">
        <v>1949</v>
      </c>
      <c r="B277" s="571" t="s">
        <v>1950</v>
      </c>
      <c r="D277" s="987" t="e">
        <f t="shared" ref="D277:AI277" si="5">1-((D123+D124+D125+D126)/(D115+D116+D117+D118))</f>
        <v>#DIV/0!</v>
      </c>
      <c r="E277" s="987" t="e">
        <f t="shared" si="5"/>
        <v>#DIV/0!</v>
      </c>
      <c r="F277" s="987" t="e">
        <f t="shared" si="5"/>
        <v>#DIV/0!</v>
      </c>
      <c r="G277" s="987">
        <f t="shared" si="5"/>
        <v>0.25231526367342871</v>
      </c>
      <c r="H277" s="987">
        <f t="shared" si="5"/>
        <v>0.54365183384932969</v>
      </c>
      <c r="I277" s="987">
        <f t="shared" si="5"/>
        <v>0.20953278663057717</v>
      </c>
      <c r="J277" s="987">
        <f t="shared" si="5"/>
        <v>0.42168229107893129</v>
      </c>
      <c r="K277" s="987">
        <f t="shared" si="5"/>
        <v>0.63775371968373507</v>
      </c>
      <c r="L277" s="987">
        <f t="shared" si="5"/>
        <v>0.66873333963474679</v>
      </c>
      <c r="M277" s="987" t="e">
        <f t="shared" si="5"/>
        <v>#DIV/0!</v>
      </c>
      <c r="N277" s="987">
        <f t="shared" si="5"/>
        <v>0.28751376721243582</v>
      </c>
      <c r="O277" s="987" t="e">
        <f t="shared" si="5"/>
        <v>#DIV/0!</v>
      </c>
      <c r="P277" s="987" t="e">
        <f t="shared" si="5"/>
        <v>#DIV/0!</v>
      </c>
      <c r="Q277" s="987">
        <f t="shared" si="5"/>
        <v>0.46745870394946842</v>
      </c>
      <c r="R277" s="987">
        <f t="shared" si="5"/>
        <v>0.55384955480092923</v>
      </c>
      <c r="S277" s="987">
        <f t="shared" si="5"/>
        <v>0.37801138712988414</v>
      </c>
      <c r="T277" s="987">
        <f t="shared" si="5"/>
        <v>0.61833787504226034</v>
      </c>
      <c r="U277" s="987">
        <f t="shared" si="5"/>
        <v>0.47694376492708934</v>
      </c>
      <c r="V277" s="987" t="e">
        <f t="shared" si="5"/>
        <v>#DIV/0!</v>
      </c>
      <c r="W277" s="987" t="e">
        <f t="shared" si="5"/>
        <v>#DIV/0!</v>
      </c>
      <c r="X277" s="987" t="e">
        <f t="shared" si="5"/>
        <v>#DIV/0!</v>
      </c>
      <c r="Y277" s="987">
        <f t="shared" si="5"/>
        <v>0.55909697527500524</v>
      </c>
      <c r="Z277" s="987">
        <f t="shared" si="5"/>
        <v>0.38918950204329306</v>
      </c>
      <c r="AA277" s="987">
        <f t="shared" si="5"/>
        <v>0.55833734355921782</v>
      </c>
      <c r="AB277" s="987" t="e">
        <f t="shared" si="5"/>
        <v>#DIV/0!</v>
      </c>
      <c r="AC277" s="987">
        <f t="shared" si="5"/>
        <v>0.24396116573329507</v>
      </c>
      <c r="AD277" s="987">
        <f t="shared" si="5"/>
        <v>0.49991113256871866</v>
      </c>
      <c r="AE277" s="987">
        <f t="shared" si="5"/>
        <v>0.47618951115056063</v>
      </c>
      <c r="AF277" s="987">
        <f t="shared" si="5"/>
        <v>0.43380440536745923</v>
      </c>
      <c r="AG277" s="987" t="e">
        <f t="shared" si="5"/>
        <v>#DIV/0!</v>
      </c>
      <c r="AH277" s="987" t="e">
        <f t="shared" si="5"/>
        <v>#DIV/0!</v>
      </c>
      <c r="AI277" s="987" t="e">
        <f t="shared" si="5"/>
        <v>#DIV/0!</v>
      </c>
      <c r="AJ277" s="987">
        <f t="shared" ref="AJ277:BR277" si="6">1-((AJ123+AJ124+AJ125+AJ126)/(AJ115+AJ116+AJ117+AJ118))</f>
        <v>0.53968013134267689</v>
      </c>
      <c r="AK277" s="987">
        <f t="shared" si="6"/>
        <v>0.56592736693755086</v>
      </c>
      <c r="AL277" s="987" t="e">
        <f t="shared" si="6"/>
        <v>#DIV/0!</v>
      </c>
      <c r="AM277" s="987" t="e">
        <f t="shared" si="6"/>
        <v>#DIV/0!</v>
      </c>
      <c r="AN277" s="987">
        <f t="shared" si="6"/>
        <v>0.61300408577842358</v>
      </c>
      <c r="AO277" s="987" t="e">
        <f t="shared" si="6"/>
        <v>#DIV/0!</v>
      </c>
      <c r="AP277" s="987" t="e">
        <f t="shared" si="6"/>
        <v>#DIV/0!</v>
      </c>
      <c r="AQ277" s="987">
        <f t="shared" si="6"/>
        <v>0.42866601609553656</v>
      </c>
      <c r="AR277" s="987" t="e">
        <f t="shared" si="6"/>
        <v>#DIV/0!</v>
      </c>
      <c r="AS277" s="987" t="e">
        <f t="shared" si="6"/>
        <v>#DIV/0!</v>
      </c>
      <c r="AT277" s="987" t="e">
        <f t="shared" si="6"/>
        <v>#DIV/0!</v>
      </c>
      <c r="AU277" s="987">
        <f t="shared" si="6"/>
        <v>0.34110795939718019</v>
      </c>
      <c r="AV277" s="987">
        <f t="shared" si="6"/>
        <v>0.25940867684336966</v>
      </c>
      <c r="AW277" s="987" t="e">
        <f t="shared" si="6"/>
        <v>#DIV/0!</v>
      </c>
      <c r="AX277" s="987">
        <f t="shared" si="6"/>
        <v>0.64280121188622519</v>
      </c>
      <c r="AY277" s="987">
        <f t="shared" si="6"/>
        <v>0.38737680138659059</v>
      </c>
      <c r="AZ277" s="987" t="e">
        <f t="shared" si="6"/>
        <v>#DIV/0!</v>
      </c>
      <c r="BA277" s="987">
        <f t="shared" si="6"/>
        <v>0</v>
      </c>
      <c r="BB277" s="987">
        <f t="shared" si="6"/>
        <v>0.33565372011180017</v>
      </c>
      <c r="BC277" s="987" t="e">
        <f t="shared" si="6"/>
        <v>#DIV/0!</v>
      </c>
      <c r="BD277" s="987" t="e">
        <f t="shared" si="6"/>
        <v>#DIV/0!</v>
      </c>
      <c r="BE277" s="987">
        <f t="shared" si="6"/>
        <v>0.49453407663024196</v>
      </c>
      <c r="BF277" s="987" t="e">
        <f t="shared" si="6"/>
        <v>#DIV/0!</v>
      </c>
      <c r="BG277" s="987" t="e">
        <f t="shared" si="6"/>
        <v>#DIV/0!</v>
      </c>
      <c r="BH277" s="987">
        <f t="shared" si="6"/>
        <v>0.32081546845263798</v>
      </c>
      <c r="BI277" s="987">
        <f t="shared" si="6"/>
        <v>0.57854468811622617</v>
      </c>
      <c r="BJ277" s="987">
        <f t="shared" si="6"/>
        <v>0.54133485202006226</v>
      </c>
      <c r="BK277" s="987">
        <f t="shared" si="6"/>
        <v>0.36354550859786439</v>
      </c>
      <c r="BL277" s="987">
        <f t="shared" si="6"/>
        <v>0.37622485930855121</v>
      </c>
      <c r="BM277" s="987" t="e">
        <f t="shared" si="6"/>
        <v>#DIV/0!</v>
      </c>
      <c r="BN277" s="987">
        <f t="shared" si="6"/>
        <v>0.46336907188243037</v>
      </c>
      <c r="BO277" s="987">
        <f t="shared" si="6"/>
        <v>0.49661050073854451</v>
      </c>
      <c r="BP277" s="987">
        <f t="shared" si="6"/>
        <v>0.47061454708898742</v>
      </c>
      <c r="BQ277" s="987">
        <f t="shared" si="6"/>
        <v>0.55072741734122665</v>
      </c>
      <c r="BR277" s="987" t="e">
        <f t="shared" si="6"/>
        <v>#DIV/0!</v>
      </c>
      <c r="BS277" s="987" t="e">
        <f t="shared" ref="BS277:CA277" si="7">1-((BS123+BS124+BS125+BS126)/(BS115+BS116+BS117+BS118))</f>
        <v>#DIV/0!</v>
      </c>
      <c r="BT277" s="987">
        <f t="shared" si="7"/>
        <v>0.5410605899387565</v>
      </c>
      <c r="BU277" s="987">
        <f t="shared" si="7"/>
        <v>0.53313749040280245</v>
      </c>
      <c r="BV277" s="987">
        <f t="shared" si="7"/>
        <v>0.63315387501500586</v>
      </c>
      <c r="BW277" s="987">
        <f t="shared" si="7"/>
        <v>0.74958038102077396</v>
      </c>
      <c r="BX277" s="987" t="e">
        <f t="shared" si="7"/>
        <v>#DIV/0!</v>
      </c>
      <c r="BY277" s="987" t="e">
        <f t="shared" si="7"/>
        <v>#DIV/0!</v>
      </c>
      <c r="BZ277" s="987">
        <f t="shared" si="7"/>
        <v>0.70177330596877985</v>
      </c>
      <c r="CA277" s="987" t="e">
        <f t="shared" si="7"/>
        <v>#DIV/0!</v>
      </c>
      <c r="CB277" s="987"/>
      <c r="CC277" s="987"/>
      <c r="CD277" s="987"/>
      <c r="CE277" s="987"/>
      <c r="CF277" s="987"/>
      <c r="CG277" s="987"/>
      <c r="CH277" s="987"/>
      <c r="CI277" s="987"/>
      <c r="CJ277" s="987"/>
      <c r="CK277" s="987"/>
    </row>
    <row r="278" spans="1:104" s="562" customFormat="1" x14ac:dyDescent="0.3">
      <c r="A278" s="561"/>
      <c r="D278" s="953"/>
      <c r="E278" s="953"/>
      <c r="F278" s="953"/>
      <c r="G278" s="953"/>
      <c r="H278" s="953"/>
      <c r="I278" s="953"/>
      <c r="J278" s="953"/>
      <c r="K278" s="953"/>
      <c r="L278"/>
      <c r="M278" s="953"/>
      <c r="N278" s="953"/>
      <c r="O278" s="953"/>
      <c r="P278" s="953"/>
      <c r="Q278" s="953"/>
      <c r="R278" s="953"/>
      <c r="S278" s="953"/>
      <c r="T278" s="953"/>
      <c r="U278" s="953"/>
      <c r="V278" s="953"/>
      <c r="W278" s="953"/>
      <c r="X278" s="953"/>
      <c r="Y278" s="953"/>
      <c r="Z278" s="953"/>
      <c r="AA278" s="953"/>
      <c r="AB278" s="953"/>
      <c r="AC278" s="953"/>
      <c r="AD278" s="953"/>
      <c r="AE278" s="953"/>
      <c r="AF278" s="953"/>
      <c r="AG278" s="953"/>
      <c r="AH278" s="953"/>
      <c r="AI278" s="953"/>
      <c r="AJ278" s="953"/>
      <c r="AK278" s="953"/>
      <c r="AL278" s="953"/>
      <c r="AM278" s="953"/>
      <c r="AN278" s="953"/>
      <c r="AO278" s="953"/>
      <c r="AP278" s="953"/>
      <c r="AQ278" s="953"/>
      <c r="AR278" s="953"/>
      <c r="AS278" s="953"/>
      <c r="AT278" s="953"/>
      <c r="AU278" s="953"/>
      <c r="AV278" s="953"/>
      <c r="AW278" s="953"/>
      <c r="AX278" s="953"/>
      <c r="AY278" s="953"/>
      <c r="AZ278" s="953"/>
      <c r="BA278" s="953"/>
      <c r="BB278" s="953"/>
      <c r="BC278" s="953"/>
      <c r="BD278" s="953"/>
      <c r="BE278" s="953"/>
      <c r="BF278" s="953"/>
      <c r="BG278" s="953"/>
      <c r="BH278" s="953"/>
      <c r="BI278" s="953"/>
      <c r="BJ278" s="953"/>
      <c r="BK278" s="953"/>
      <c r="BL278" s="953"/>
      <c r="BM278" s="953"/>
      <c r="BN278" s="953"/>
      <c r="BO278" s="953"/>
      <c r="BP278" s="953"/>
      <c r="BQ278" s="953"/>
      <c r="BR278" s="953"/>
    </row>
    <row r="279" spans="1:104" s="562" customFormat="1" x14ac:dyDescent="0.3">
      <c r="A279" s="561"/>
      <c r="D279" s="953"/>
      <c r="E279" s="953"/>
      <c r="F279" s="953"/>
      <c r="G279" s="953"/>
      <c r="H279" s="953"/>
      <c r="I279" s="953"/>
      <c r="J279" s="953"/>
      <c r="K279" s="953"/>
      <c r="L279"/>
      <c r="M279" s="953"/>
      <c r="N279" s="953"/>
      <c r="O279" s="953"/>
      <c r="P279" s="953"/>
      <c r="Q279" s="953"/>
      <c r="R279" s="953"/>
      <c r="S279" s="953"/>
      <c r="T279" s="953"/>
      <c r="U279" s="953"/>
      <c r="V279" s="953"/>
      <c r="W279" s="953"/>
      <c r="X279" s="953"/>
      <c r="Y279" s="953"/>
      <c r="Z279" s="953"/>
      <c r="AA279" s="953"/>
      <c r="AB279" s="953"/>
      <c r="AC279" s="953"/>
      <c r="AD279" s="953"/>
      <c r="AE279" s="953"/>
      <c r="AF279" s="953"/>
      <c r="AG279" s="953"/>
      <c r="AH279" s="953"/>
      <c r="AI279" s="953"/>
      <c r="AJ279" s="953"/>
      <c r="AK279" s="953"/>
      <c r="AL279" s="953"/>
      <c r="AM279" s="953"/>
      <c r="AN279" s="953"/>
      <c r="AO279" s="953"/>
      <c r="AP279" s="953"/>
      <c r="AQ279" s="953"/>
      <c r="AR279" s="953"/>
      <c r="AS279" s="953"/>
      <c r="AT279" s="953"/>
      <c r="AU279" s="953"/>
      <c r="AV279" s="953"/>
      <c r="AW279" s="953"/>
      <c r="AX279" s="953"/>
      <c r="AY279" s="953"/>
      <c r="AZ279" s="953"/>
      <c r="BA279" s="953"/>
      <c r="BB279" s="953"/>
      <c r="BC279" s="953"/>
      <c r="BD279" s="953"/>
      <c r="BE279" s="953"/>
      <c r="BF279" s="953"/>
      <c r="BG279" s="953"/>
      <c r="BH279" s="953"/>
      <c r="BI279" s="953"/>
      <c r="BJ279" s="953"/>
      <c r="BK279" s="953"/>
      <c r="BL279" s="953"/>
      <c r="BM279" s="953"/>
      <c r="BN279" s="953"/>
      <c r="BO279" s="953"/>
      <c r="BP279" s="953"/>
      <c r="BQ279" s="953"/>
      <c r="BR279" s="953"/>
    </row>
    <row r="280" spans="1:104" x14ac:dyDescent="0.3">
      <c r="B280" s="180"/>
      <c r="C280" s="180" t="s">
        <v>1731</v>
      </c>
      <c r="D280" s="574">
        <f t="shared" ref="D280:AI280" si="8">D257</f>
        <v>42763898.395000003</v>
      </c>
      <c r="E280" s="574">
        <f t="shared" si="8"/>
        <v>711815402.91499996</v>
      </c>
      <c r="F280" s="574">
        <f t="shared" si="8"/>
        <v>50242.01</v>
      </c>
      <c r="G280" s="574">
        <f t="shared" si="8"/>
        <v>2582490673.9520001</v>
      </c>
      <c r="H280" s="574">
        <f t="shared" si="8"/>
        <v>282081941.97500002</v>
      </c>
      <c r="I280" s="574">
        <f t="shared" si="8"/>
        <v>15338496.699999999</v>
      </c>
      <c r="J280" s="574">
        <f t="shared" si="8"/>
        <v>114703334.34999999</v>
      </c>
      <c r="K280" s="574">
        <f t="shared" si="8"/>
        <v>92001057.469999999</v>
      </c>
      <c r="L280" s="574">
        <f t="shared" si="8"/>
        <v>3189180968.8099999</v>
      </c>
      <c r="M280" s="574">
        <f t="shared" si="8"/>
        <v>50248</v>
      </c>
      <c r="N280" s="574">
        <f t="shared" si="8"/>
        <v>49698511.520000003</v>
      </c>
      <c r="O280" s="574">
        <f t="shared" si="8"/>
        <v>50250.01</v>
      </c>
      <c r="P280" s="574">
        <f t="shared" si="8"/>
        <v>1119253967.349</v>
      </c>
      <c r="Q280" s="574">
        <f t="shared" si="8"/>
        <v>775885713.70000005</v>
      </c>
      <c r="R280" s="574">
        <f t="shared" si="8"/>
        <v>355725564.43000001</v>
      </c>
      <c r="S280" s="574">
        <f t="shared" si="8"/>
        <v>912149039.90999997</v>
      </c>
      <c r="T280" s="574">
        <f t="shared" si="8"/>
        <v>18377389.59</v>
      </c>
      <c r="U280" s="574">
        <f t="shared" si="8"/>
        <v>1778946885.3199999</v>
      </c>
      <c r="V280" s="574">
        <f t="shared" si="8"/>
        <v>2180192.4900000002</v>
      </c>
      <c r="W280" s="574">
        <f t="shared" si="8"/>
        <v>296039636.13</v>
      </c>
      <c r="X280" s="574">
        <f t="shared" si="8"/>
        <v>724988789.67999995</v>
      </c>
      <c r="Y280" s="574">
        <f t="shared" si="8"/>
        <v>236116674.6058</v>
      </c>
      <c r="Z280" s="574">
        <f t="shared" si="8"/>
        <v>198985055.542</v>
      </c>
      <c r="AA280" s="574">
        <f t="shared" si="8"/>
        <v>323546744.31999999</v>
      </c>
      <c r="AB280" s="574">
        <f t="shared" si="8"/>
        <v>25035339</v>
      </c>
      <c r="AC280" s="574">
        <f t="shared" si="8"/>
        <v>11613385.463</v>
      </c>
      <c r="AD280" s="574">
        <f t="shared" si="8"/>
        <v>97977874.939999998</v>
      </c>
      <c r="AE280" s="574">
        <f t="shared" si="8"/>
        <v>237964627.78</v>
      </c>
      <c r="AF280" s="574">
        <f t="shared" si="8"/>
        <v>11253973.84</v>
      </c>
      <c r="AG280" s="574">
        <f t="shared" si="8"/>
        <v>1482767.74</v>
      </c>
      <c r="AH280" s="574">
        <f t="shared" si="8"/>
        <v>7388251.5300000003</v>
      </c>
      <c r="AI280" s="574">
        <f t="shared" si="8"/>
        <v>58759005.125</v>
      </c>
      <c r="AJ280" s="574">
        <f t="shared" ref="AJ280:CA280" si="9">AJ257</f>
        <v>588113677.21000004</v>
      </c>
      <c r="AK280" s="574">
        <f t="shared" si="9"/>
        <v>19944172.370000001</v>
      </c>
      <c r="AL280" s="574">
        <f t="shared" si="9"/>
        <v>1279276.4099999999</v>
      </c>
      <c r="AM280" s="574">
        <f t="shared" si="9"/>
        <v>822923447.35000002</v>
      </c>
      <c r="AN280" s="574">
        <f t="shared" si="9"/>
        <v>920951387.65849996</v>
      </c>
      <c r="AO280" s="574">
        <f t="shared" si="9"/>
        <v>50270.01</v>
      </c>
      <c r="AP280" s="574">
        <f t="shared" si="9"/>
        <v>161635059.507</v>
      </c>
      <c r="AQ280" s="574">
        <f t="shared" si="9"/>
        <v>1719794935.0699999</v>
      </c>
      <c r="AR280" s="574">
        <f t="shared" si="9"/>
        <v>50272.01</v>
      </c>
      <c r="AS280" s="574">
        <f t="shared" si="9"/>
        <v>50273.01</v>
      </c>
      <c r="AT280" s="574">
        <f t="shared" si="9"/>
        <v>50274.01</v>
      </c>
      <c r="AU280" s="574">
        <f t="shared" si="9"/>
        <v>690420009.82000005</v>
      </c>
      <c r="AV280" s="574">
        <f t="shared" si="9"/>
        <v>22610095.690000001</v>
      </c>
      <c r="AW280" s="574">
        <f t="shared" si="9"/>
        <v>50277.01</v>
      </c>
      <c r="AX280" s="574">
        <f t="shared" si="9"/>
        <v>206775832.61000001</v>
      </c>
      <c r="AY280" s="574">
        <f t="shared" si="9"/>
        <v>148718361.33000001</v>
      </c>
      <c r="AZ280" s="574">
        <f t="shared" si="9"/>
        <v>50280.09</v>
      </c>
      <c r="BA280" s="574">
        <f t="shared" si="9"/>
        <v>2337575.5699999998</v>
      </c>
      <c r="BB280" s="574">
        <f t="shared" si="9"/>
        <v>104534255.26000001</v>
      </c>
      <c r="BC280" s="574">
        <f t="shared" si="9"/>
        <v>50283.1</v>
      </c>
      <c r="BD280" s="574">
        <f t="shared" si="9"/>
        <v>3787644.5</v>
      </c>
      <c r="BE280" s="574">
        <f t="shared" si="9"/>
        <v>1352946753.75</v>
      </c>
      <c r="BF280" s="574">
        <f t="shared" si="9"/>
        <v>50286.1</v>
      </c>
      <c r="BG280" s="574">
        <f t="shared" si="9"/>
        <v>50287</v>
      </c>
      <c r="BH280" s="574">
        <f t="shared" si="9"/>
        <v>140054922.09</v>
      </c>
      <c r="BI280" s="574">
        <f t="shared" si="9"/>
        <v>136726865.27000001</v>
      </c>
      <c r="BJ280" s="574">
        <f t="shared" si="9"/>
        <v>51055164.609999999</v>
      </c>
      <c r="BK280" s="574">
        <f t="shared" si="9"/>
        <v>360921930.22000003</v>
      </c>
      <c r="BL280" s="574">
        <f t="shared" si="9"/>
        <v>201460767.34999999</v>
      </c>
      <c r="BM280" s="574">
        <f t="shared" si="9"/>
        <v>2101098</v>
      </c>
      <c r="BN280" s="574">
        <f t="shared" si="9"/>
        <v>310124684.56999999</v>
      </c>
      <c r="BO280" s="574">
        <f t="shared" si="9"/>
        <v>156929623.00999999</v>
      </c>
      <c r="BP280" s="574">
        <f t="shared" si="9"/>
        <v>79315325.569999993</v>
      </c>
      <c r="BQ280" s="574">
        <f t="shared" si="9"/>
        <v>102106690.26000001</v>
      </c>
      <c r="BR280" s="574">
        <f t="shared" si="9"/>
        <v>71997631.939999998</v>
      </c>
      <c r="BS280" s="574">
        <f t="shared" si="9"/>
        <v>1193991271.3199999</v>
      </c>
      <c r="BT280" s="574">
        <f t="shared" si="9"/>
        <v>87334158.629999995</v>
      </c>
      <c r="BU280" s="574">
        <f t="shared" si="9"/>
        <v>183848716.18000001</v>
      </c>
      <c r="BV280" s="574">
        <f t="shared" si="9"/>
        <v>51995901.049999997</v>
      </c>
      <c r="BW280" s="574">
        <f t="shared" si="9"/>
        <v>53651198.719999999</v>
      </c>
      <c r="BX280" s="574">
        <f t="shared" si="9"/>
        <v>50301</v>
      </c>
      <c r="BY280" s="574">
        <f t="shared" si="9"/>
        <v>2124495.38</v>
      </c>
      <c r="BZ280" s="574">
        <f t="shared" si="9"/>
        <v>1112052261.1500001</v>
      </c>
      <c r="CA280" s="574">
        <f t="shared" si="9"/>
        <v>2304809.85</v>
      </c>
      <c r="CB280" s="574"/>
      <c r="CC280" s="574"/>
      <c r="CD280" s="574"/>
      <c r="CE280" s="180"/>
      <c r="CF280" s="180"/>
      <c r="CG280" s="180"/>
      <c r="CH280" s="180"/>
      <c r="CI280" s="180"/>
      <c r="CJ280" s="180"/>
      <c r="CK280" s="180"/>
      <c r="CL280" s="180"/>
      <c r="CM280" s="180"/>
      <c r="CN280" s="180"/>
      <c r="CO280" s="180"/>
      <c r="CP280" s="180"/>
      <c r="CQ280" s="180"/>
      <c r="CR280" s="180"/>
      <c r="CS280" s="180"/>
      <c r="CT280" s="180"/>
      <c r="CU280" s="180"/>
    </row>
    <row r="281" spans="1:104" x14ac:dyDescent="0.3">
      <c r="B281" s="180"/>
      <c r="C281" s="180"/>
      <c r="D281" s="180"/>
      <c r="E281" s="180"/>
      <c r="F281" s="180"/>
      <c r="G281" s="180"/>
      <c r="H281" s="180"/>
      <c r="I281" s="180"/>
      <c r="J281" s="180"/>
      <c r="K281" s="180"/>
      <c r="L281" s="988" t="e">
        <f>L278/L279</f>
        <v>#DIV/0!</v>
      </c>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104" x14ac:dyDescent="0.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104" x14ac:dyDescent="0.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c r="CV283" s="180"/>
      <c r="CW283" s="180"/>
      <c r="CX283" s="180"/>
      <c r="CY283" s="180"/>
      <c r="CZ283" s="180"/>
    </row>
    <row r="284" spans="1:104" x14ac:dyDescent="0.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c r="CV284" s="180"/>
      <c r="CW284" s="180"/>
      <c r="CX284" s="180"/>
      <c r="CY284" s="180"/>
      <c r="CZ284" s="180"/>
    </row>
    <row r="285" spans="1:104" x14ac:dyDescent="0.3">
      <c r="A285" s="556">
        <v>906</v>
      </c>
      <c r="B285" s="180"/>
      <c r="C285" s="180">
        <v>204</v>
      </c>
      <c r="D285" s="180">
        <f t="shared" ref="D285:AI285" si="10">D203</f>
        <v>1</v>
      </c>
      <c r="E285" s="180">
        <f t="shared" si="10"/>
        <v>1</v>
      </c>
      <c r="F285" s="180">
        <f t="shared" si="10"/>
        <v>0</v>
      </c>
      <c r="G285" s="180">
        <f t="shared" si="10"/>
        <v>1</v>
      </c>
      <c r="H285" s="180">
        <f t="shared" si="10"/>
        <v>1</v>
      </c>
      <c r="I285" s="180">
        <f t="shared" si="10"/>
        <v>1</v>
      </c>
      <c r="J285" s="180">
        <f t="shared" si="10"/>
        <v>1</v>
      </c>
      <c r="K285" s="180">
        <f t="shared" si="10"/>
        <v>1</v>
      </c>
      <c r="L285" s="180">
        <f t="shared" si="10"/>
        <v>1</v>
      </c>
      <c r="M285" s="180">
        <f t="shared" si="10"/>
        <v>0</v>
      </c>
      <c r="N285" s="180">
        <f t="shared" si="10"/>
        <v>1</v>
      </c>
      <c r="O285" s="180">
        <f t="shared" si="10"/>
        <v>0</v>
      </c>
      <c r="P285" s="180">
        <f t="shared" si="10"/>
        <v>1</v>
      </c>
      <c r="Q285" s="180">
        <f t="shared" si="10"/>
        <v>1</v>
      </c>
      <c r="R285" s="180">
        <f t="shared" si="10"/>
        <v>1</v>
      </c>
      <c r="S285" s="180">
        <f t="shared" si="10"/>
        <v>1</v>
      </c>
      <c r="T285" s="180">
        <f t="shared" si="10"/>
        <v>1</v>
      </c>
      <c r="U285" s="180">
        <f t="shared" si="10"/>
        <v>1</v>
      </c>
      <c r="V285" s="180">
        <f t="shared" si="10"/>
        <v>1</v>
      </c>
      <c r="W285" s="180">
        <f t="shared" si="10"/>
        <v>1</v>
      </c>
      <c r="X285" s="180">
        <f t="shared" si="10"/>
        <v>1</v>
      </c>
      <c r="Y285" s="180">
        <f t="shared" si="10"/>
        <v>1</v>
      </c>
      <c r="Z285" s="180">
        <f t="shared" si="10"/>
        <v>1</v>
      </c>
      <c r="AA285" s="180">
        <f t="shared" si="10"/>
        <v>1</v>
      </c>
      <c r="AB285" s="180">
        <f t="shared" si="10"/>
        <v>1</v>
      </c>
      <c r="AC285" s="180">
        <f t="shared" si="10"/>
        <v>1</v>
      </c>
      <c r="AD285" s="180">
        <f t="shared" si="10"/>
        <v>1</v>
      </c>
      <c r="AE285" s="180">
        <f t="shared" si="10"/>
        <v>1</v>
      </c>
      <c r="AF285" s="180">
        <f t="shared" si="10"/>
        <v>1</v>
      </c>
      <c r="AG285" s="180">
        <f t="shared" si="10"/>
        <v>1</v>
      </c>
      <c r="AH285" s="180">
        <f t="shared" si="10"/>
        <v>1</v>
      </c>
      <c r="AI285" s="180">
        <f t="shared" si="10"/>
        <v>1</v>
      </c>
      <c r="AJ285" s="180">
        <f t="shared" ref="AJ285:BO285" si="11">AJ203</f>
        <v>1</v>
      </c>
      <c r="AK285" s="180">
        <f t="shared" si="11"/>
        <v>1</v>
      </c>
      <c r="AL285" s="180">
        <f t="shared" si="11"/>
        <v>1</v>
      </c>
      <c r="AM285" s="180">
        <f t="shared" si="11"/>
        <v>1</v>
      </c>
      <c r="AN285" s="180">
        <f t="shared" si="11"/>
        <v>1</v>
      </c>
      <c r="AO285" s="180">
        <f t="shared" si="11"/>
        <v>0</v>
      </c>
      <c r="AP285" s="180">
        <f t="shared" si="11"/>
        <v>1</v>
      </c>
      <c r="AQ285" s="180">
        <f t="shared" si="11"/>
        <v>1</v>
      </c>
      <c r="AR285" s="180">
        <f t="shared" si="11"/>
        <v>0</v>
      </c>
      <c r="AS285" s="180">
        <f t="shared" si="11"/>
        <v>0</v>
      </c>
      <c r="AT285" s="180">
        <f t="shared" si="11"/>
        <v>0</v>
      </c>
      <c r="AU285" s="180">
        <f t="shared" si="11"/>
        <v>1</v>
      </c>
      <c r="AV285" s="180">
        <f t="shared" si="11"/>
        <v>1</v>
      </c>
      <c r="AW285" s="180">
        <f t="shared" si="11"/>
        <v>0</v>
      </c>
      <c r="AX285" s="180">
        <f t="shared" si="11"/>
        <v>1</v>
      </c>
      <c r="AY285" s="180">
        <f t="shared" si="11"/>
        <v>1</v>
      </c>
      <c r="AZ285" s="180">
        <f t="shared" si="11"/>
        <v>0</v>
      </c>
      <c r="BA285" s="180">
        <f t="shared" si="11"/>
        <v>1</v>
      </c>
      <c r="BB285" s="180">
        <f t="shared" si="11"/>
        <v>1</v>
      </c>
      <c r="BC285" s="180">
        <f t="shared" si="11"/>
        <v>0</v>
      </c>
      <c r="BD285" s="180">
        <f t="shared" si="11"/>
        <v>1</v>
      </c>
      <c r="BE285" s="180">
        <f t="shared" si="11"/>
        <v>1</v>
      </c>
      <c r="BF285" s="180">
        <f t="shared" si="11"/>
        <v>0</v>
      </c>
      <c r="BG285" s="180">
        <f t="shared" si="11"/>
        <v>0</v>
      </c>
      <c r="BH285" s="180">
        <f t="shared" si="11"/>
        <v>1</v>
      </c>
      <c r="BI285" s="180">
        <f t="shared" si="11"/>
        <v>1</v>
      </c>
      <c r="BJ285" s="180">
        <f t="shared" si="11"/>
        <v>1</v>
      </c>
      <c r="BK285" s="180">
        <f t="shared" si="11"/>
        <v>1</v>
      </c>
      <c r="BL285" s="180">
        <f t="shared" si="11"/>
        <v>1</v>
      </c>
      <c r="BM285" s="180">
        <f t="shared" si="11"/>
        <v>1</v>
      </c>
      <c r="BN285" s="180">
        <f t="shared" si="11"/>
        <v>1</v>
      </c>
      <c r="BO285" s="180">
        <f t="shared" si="11"/>
        <v>1</v>
      </c>
      <c r="BP285" s="180">
        <f t="shared" ref="BP285:CZ285" si="12">BP203</f>
        <v>1</v>
      </c>
      <c r="BQ285" s="180">
        <f t="shared" si="12"/>
        <v>1</v>
      </c>
      <c r="BR285" s="180">
        <f t="shared" si="12"/>
        <v>1</v>
      </c>
      <c r="BS285" s="180">
        <f t="shared" si="12"/>
        <v>1</v>
      </c>
      <c r="BT285" s="180">
        <f t="shared" si="12"/>
        <v>1</v>
      </c>
      <c r="BU285" s="180">
        <f t="shared" si="12"/>
        <v>1</v>
      </c>
      <c r="BV285" s="180">
        <f t="shared" si="12"/>
        <v>1</v>
      </c>
      <c r="BW285" s="180">
        <f t="shared" si="12"/>
        <v>1</v>
      </c>
      <c r="BX285" s="180">
        <f t="shared" si="12"/>
        <v>0</v>
      </c>
      <c r="BY285" s="180">
        <f t="shared" si="12"/>
        <v>1</v>
      </c>
      <c r="BZ285" s="180">
        <f t="shared" si="12"/>
        <v>1</v>
      </c>
      <c r="CA285" s="180">
        <f t="shared" si="12"/>
        <v>1</v>
      </c>
      <c r="CB285" s="180">
        <f t="shared" si="12"/>
        <v>0</v>
      </c>
      <c r="CC285" s="180">
        <f t="shared" si="12"/>
        <v>0</v>
      </c>
      <c r="CD285" s="180">
        <f t="shared" si="12"/>
        <v>0</v>
      </c>
      <c r="CE285" s="180">
        <f t="shared" si="12"/>
        <v>0</v>
      </c>
      <c r="CF285" s="180">
        <f t="shared" si="12"/>
        <v>0</v>
      </c>
      <c r="CG285" s="180">
        <f t="shared" si="12"/>
        <v>0</v>
      </c>
      <c r="CH285" s="180">
        <f t="shared" si="12"/>
        <v>0</v>
      </c>
      <c r="CI285" s="180">
        <f t="shared" si="12"/>
        <v>0</v>
      </c>
      <c r="CJ285" s="180">
        <f t="shared" si="12"/>
        <v>0</v>
      </c>
      <c r="CK285" s="180">
        <f t="shared" si="12"/>
        <v>0</v>
      </c>
      <c r="CL285" s="180">
        <f t="shared" si="12"/>
        <v>0</v>
      </c>
      <c r="CM285" s="180">
        <f t="shared" si="12"/>
        <v>0</v>
      </c>
      <c r="CN285" s="180">
        <f t="shared" si="12"/>
        <v>0</v>
      </c>
      <c r="CO285" s="180">
        <f t="shared" si="12"/>
        <v>0</v>
      </c>
      <c r="CP285" s="180">
        <f t="shared" si="12"/>
        <v>0</v>
      </c>
      <c r="CQ285" s="180">
        <f t="shared" si="12"/>
        <v>0</v>
      </c>
      <c r="CR285" s="180">
        <f t="shared" si="12"/>
        <v>0</v>
      </c>
      <c r="CS285" s="180">
        <f t="shared" si="12"/>
        <v>0</v>
      </c>
      <c r="CT285" s="180">
        <f t="shared" si="12"/>
        <v>0</v>
      </c>
      <c r="CU285" s="180">
        <f t="shared" si="12"/>
        <v>0</v>
      </c>
      <c r="CV285" s="180">
        <f t="shared" si="12"/>
        <v>0</v>
      </c>
      <c r="CW285" s="180">
        <f t="shared" si="12"/>
        <v>0</v>
      </c>
      <c r="CX285" s="180">
        <f t="shared" si="12"/>
        <v>0</v>
      </c>
      <c r="CY285" s="180">
        <f t="shared" si="12"/>
        <v>0</v>
      </c>
      <c r="CZ285" s="180">
        <f t="shared" si="12"/>
        <v>0</v>
      </c>
    </row>
    <row r="286" spans="1:104" x14ac:dyDescent="0.3">
      <c r="A286" s="556">
        <v>907</v>
      </c>
      <c r="B286" s="180"/>
      <c r="C286" s="180">
        <v>205</v>
      </c>
      <c r="D286" s="180">
        <f t="shared" ref="D286:AI286" si="13">D204</f>
        <v>2</v>
      </c>
      <c r="E286" s="180">
        <f t="shared" si="13"/>
        <v>2</v>
      </c>
      <c r="F286" s="180">
        <f t="shared" si="13"/>
        <v>0</v>
      </c>
      <c r="G286" s="180">
        <f t="shared" si="13"/>
        <v>2</v>
      </c>
      <c r="H286" s="180">
        <f t="shared" si="13"/>
        <v>2</v>
      </c>
      <c r="I286" s="180">
        <f t="shared" si="13"/>
        <v>2</v>
      </c>
      <c r="J286" s="180">
        <f t="shared" si="13"/>
        <v>2</v>
      </c>
      <c r="K286" s="180">
        <f t="shared" si="13"/>
        <v>2</v>
      </c>
      <c r="L286" s="180">
        <f t="shared" si="13"/>
        <v>2</v>
      </c>
      <c r="M286" s="180">
        <f t="shared" si="13"/>
        <v>0</v>
      </c>
      <c r="N286" s="180">
        <f t="shared" si="13"/>
        <v>1</v>
      </c>
      <c r="O286" s="180">
        <f t="shared" si="13"/>
        <v>0</v>
      </c>
      <c r="P286" s="180">
        <f t="shared" si="13"/>
        <v>2</v>
      </c>
      <c r="Q286" s="180">
        <f t="shared" si="13"/>
        <v>2</v>
      </c>
      <c r="R286" s="180">
        <f t="shared" si="13"/>
        <v>2</v>
      </c>
      <c r="S286" s="180">
        <f t="shared" si="13"/>
        <v>2</v>
      </c>
      <c r="T286" s="180">
        <f t="shared" si="13"/>
        <v>2</v>
      </c>
      <c r="U286" s="180">
        <f t="shared" si="13"/>
        <v>2</v>
      </c>
      <c r="V286" s="180">
        <f t="shared" si="13"/>
        <v>2</v>
      </c>
      <c r="W286" s="180">
        <f t="shared" si="13"/>
        <v>2</v>
      </c>
      <c r="X286" s="180">
        <f t="shared" si="13"/>
        <v>2</v>
      </c>
      <c r="Y286" s="180">
        <f t="shared" si="13"/>
        <v>2</v>
      </c>
      <c r="Z286" s="180">
        <f t="shared" si="13"/>
        <v>2</v>
      </c>
      <c r="AA286" s="180">
        <f t="shared" si="13"/>
        <v>1</v>
      </c>
      <c r="AB286" s="180">
        <f t="shared" si="13"/>
        <v>2</v>
      </c>
      <c r="AC286" s="180">
        <f t="shared" si="13"/>
        <v>2</v>
      </c>
      <c r="AD286" s="180">
        <f t="shared" si="13"/>
        <v>1</v>
      </c>
      <c r="AE286" s="180">
        <f t="shared" si="13"/>
        <v>2</v>
      </c>
      <c r="AF286" s="180">
        <f t="shared" si="13"/>
        <v>1</v>
      </c>
      <c r="AG286" s="180">
        <f t="shared" si="13"/>
        <v>1</v>
      </c>
      <c r="AH286" s="180">
        <f t="shared" si="13"/>
        <v>1</v>
      </c>
      <c r="AI286" s="180">
        <f t="shared" si="13"/>
        <v>2</v>
      </c>
      <c r="AJ286" s="180">
        <f t="shared" ref="AJ286:BO286" si="14">AJ204</f>
        <v>2</v>
      </c>
      <c r="AK286" s="180">
        <f t="shared" si="14"/>
        <v>1</v>
      </c>
      <c r="AL286" s="180">
        <f t="shared" si="14"/>
        <v>2</v>
      </c>
      <c r="AM286" s="180">
        <f t="shared" si="14"/>
        <v>2</v>
      </c>
      <c r="AN286" s="180">
        <f t="shared" si="14"/>
        <v>2</v>
      </c>
      <c r="AO286" s="180">
        <f t="shared" si="14"/>
        <v>0</v>
      </c>
      <c r="AP286" s="180">
        <f t="shared" si="14"/>
        <v>2</v>
      </c>
      <c r="AQ286" s="180">
        <f t="shared" si="14"/>
        <v>2</v>
      </c>
      <c r="AR286" s="180">
        <f t="shared" si="14"/>
        <v>0</v>
      </c>
      <c r="AS286" s="180">
        <f t="shared" si="14"/>
        <v>0</v>
      </c>
      <c r="AT286" s="180">
        <f t="shared" si="14"/>
        <v>0</v>
      </c>
      <c r="AU286" s="180">
        <f t="shared" si="14"/>
        <v>2</v>
      </c>
      <c r="AV286" s="180">
        <f t="shared" si="14"/>
        <v>1</v>
      </c>
      <c r="AW286" s="180">
        <f t="shared" si="14"/>
        <v>0</v>
      </c>
      <c r="AX286" s="180">
        <f t="shared" si="14"/>
        <v>2</v>
      </c>
      <c r="AY286" s="180">
        <f t="shared" si="14"/>
        <v>1</v>
      </c>
      <c r="AZ286" s="180">
        <f t="shared" si="14"/>
        <v>0</v>
      </c>
      <c r="BA286" s="180">
        <f t="shared" si="14"/>
        <v>1</v>
      </c>
      <c r="BB286" s="180">
        <f t="shared" si="14"/>
        <v>1</v>
      </c>
      <c r="BC286" s="180">
        <f t="shared" si="14"/>
        <v>0</v>
      </c>
      <c r="BD286" s="180">
        <f t="shared" si="14"/>
        <v>1</v>
      </c>
      <c r="BE286" s="180">
        <f t="shared" si="14"/>
        <v>2</v>
      </c>
      <c r="BF286" s="180">
        <f t="shared" si="14"/>
        <v>0</v>
      </c>
      <c r="BG286" s="180">
        <f t="shared" si="14"/>
        <v>0</v>
      </c>
      <c r="BH286" s="180">
        <f t="shared" si="14"/>
        <v>2</v>
      </c>
      <c r="BI286" s="180">
        <f t="shared" si="14"/>
        <v>2</v>
      </c>
      <c r="BJ286" s="180">
        <f t="shared" si="14"/>
        <v>1</v>
      </c>
      <c r="BK286" s="180">
        <f t="shared" si="14"/>
        <v>2</v>
      </c>
      <c r="BL286" s="180">
        <f t="shared" si="14"/>
        <v>2</v>
      </c>
      <c r="BM286" s="180">
        <f t="shared" si="14"/>
        <v>1</v>
      </c>
      <c r="BN286" s="180">
        <f t="shared" si="14"/>
        <v>2</v>
      </c>
      <c r="BO286" s="180">
        <f t="shared" si="14"/>
        <v>1</v>
      </c>
      <c r="BP286" s="180">
        <f t="shared" ref="BP286:CZ286" si="15">BP204</f>
        <v>1</v>
      </c>
      <c r="BQ286" s="180">
        <f t="shared" si="15"/>
        <v>2</v>
      </c>
      <c r="BR286" s="180">
        <f t="shared" si="15"/>
        <v>1</v>
      </c>
      <c r="BS286" s="180">
        <f t="shared" si="15"/>
        <v>2</v>
      </c>
      <c r="BT286" s="180">
        <f t="shared" si="15"/>
        <v>2</v>
      </c>
      <c r="BU286" s="180">
        <f t="shared" si="15"/>
        <v>2</v>
      </c>
      <c r="BV286" s="180">
        <f t="shared" si="15"/>
        <v>1</v>
      </c>
      <c r="BW286" s="180">
        <f t="shared" si="15"/>
        <v>1</v>
      </c>
      <c r="BX286" s="180">
        <f t="shared" si="15"/>
        <v>0</v>
      </c>
      <c r="BY286" s="180">
        <f t="shared" si="15"/>
        <v>1</v>
      </c>
      <c r="BZ286" s="180">
        <f t="shared" si="15"/>
        <v>2</v>
      </c>
      <c r="CA286" s="180">
        <f t="shared" si="15"/>
        <v>2</v>
      </c>
      <c r="CB286" s="180">
        <f t="shared" si="15"/>
        <v>0</v>
      </c>
      <c r="CC286" s="180">
        <f t="shared" si="15"/>
        <v>0</v>
      </c>
      <c r="CD286" s="180">
        <f t="shared" si="15"/>
        <v>0</v>
      </c>
      <c r="CE286" s="180">
        <f t="shared" si="15"/>
        <v>0</v>
      </c>
      <c r="CF286" s="180">
        <f t="shared" si="15"/>
        <v>0</v>
      </c>
      <c r="CG286" s="180">
        <f t="shared" si="15"/>
        <v>0</v>
      </c>
      <c r="CH286" s="180">
        <f t="shared" si="15"/>
        <v>0</v>
      </c>
      <c r="CI286" s="180">
        <f t="shared" si="15"/>
        <v>0</v>
      </c>
      <c r="CJ286" s="180">
        <f t="shared" si="15"/>
        <v>0</v>
      </c>
      <c r="CK286" s="180">
        <f t="shared" si="15"/>
        <v>0</v>
      </c>
      <c r="CL286" s="180">
        <f t="shared" si="15"/>
        <v>0</v>
      </c>
      <c r="CM286" s="180">
        <f t="shared" si="15"/>
        <v>0</v>
      </c>
      <c r="CN286" s="180">
        <f t="shared" si="15"/>
        <v>0</v>
      </c>
      <c r="CO286" s="180">
        <f t="shared" si="15"/>
        <v>0</v>
      </c>
      <c r="CP286" s="180">
        <f t="shared" si="15"/>
        <v>0</v>
      </c>
      <c r="CQ286" s="180">
        <f t="shared" si="15"/>
        <v>0</v>
      </c>
      <c r="CR286" s="180">
        <f t="shared" si="15"/>
        <v>0</v>
      </c>
      <c r="CS286" s="180">
        <f t="shared" si="15"/>
        <v>0</v>
      </c>
      <c r="CT286" s="180">
        <f t="shared" si="15"/>
        <v>0</v>
      </c>
      <c r="CU286" s="180">
        <f t="shared" si="15"/>
        <v>0</v>
      </c>
      <c r="CV286" s="180">
        <f t="shared" si="15"/>
        <v>0</v>
      </c>
      <c r="CW286" s="180">
        <f t="shared" si="15"/>
        <v>0</v>
      </c>
      <c r="CX286" s="180">
        <f t="shared" si="15"/>
        <v>0</v>
      </c>
      <c r="CY286" s="180">
        <f t="shared" si="15"/>
        <v>0</v>
      </c>
      <c r="CZ286" s="180">
        <f t="shared" si="15"/>
        <v>0</v>
      </c>
    </row>
    <row r="287" spans="1:104" x14ac:dyDescent="0.3">
      <c r="A287" s="556">
        <v>951</v>
      </c>
      <c r="B287" s="180"/>
      <c r="C287" s="180">
        <v>209</v>
      </c>
      <c r="D287" s="180">
        <f t="shared" ref="D287:AI287" si="16">D209</f>
        <v>2</v>
      </c>
      <c r="E287" s="180">
        <f t="shared" si="16"/>
        <v>2</v>
      </c>
      <c r="F287" s="180">
        <f t="shared" si="16"/>
        <v>0</v>
      </c>
      <c r="G287" s="180">
        <f t="shared" si="16"/>
        <v>2</v>
      </c>
      <c r="H287" s="180">
        <f t="shared" si="16"/>
        <v>2</v>
      </c>
      <c r="I287" s="180">
        <f t="shared" si="16"/>
        <v>2</v>
      </c>
      <c r="J287" s="180">
        <f t="shared" si="16"/>
        <v>2</v>
      </c>
      <c r="K287" s="180">
        <f t="shared" si="16"/>
        <v>2</v>
      </c>
      <c r="L287" s="180">
        <f t="shared" si="16"/>
        <v>2</v>
      </c>
      <c r="M287" s="180">
        <f t="shared" si="16"/>
        <v>0</v>
      </c>
      <c r="N287" s="180">
        <f t="shared" si="16"/>
        <v>2</v>
      </c>
      <c r="O287" s="180">
        <f t="shared" si="16"/>
        <v>0</v>
      </c>
      <c r="P287" s="180">
        <f t="shared" si="16"/>
        <v>2</v>
      </c>
      <c r="Q287" s="180">
        <f t="shared" si="16"/>
        <v>2</v>
      </c>
      <c r="R287" s="180">
        <f t="shared" si="16"/>
        <v>2</v>
      </c>
      <c r="S287" s="180">
        <f t="shared" si="16"/>
        <v>2</v>
      </c>
      <c r="T287" s="180">
        <f t="shared" si="16"/>
        <v>2</v>
      </c>
      <c r="U287" s="180">
        <f t="shared" si="16"/>
        <v>2</v>
      </c>
      <c r="V287" s="180">
        <f t="shared" si="16"/>
        <v>2</v>
      </c>
      <c r="W287" s="180">
        <f t="shared" si="16"/>
        <v>2</v>
      </c>
      <c r="X287" s="180">
        <f t="shared" si="16"/>
        <v>2</v>
      </c>
      <c r="Y287" s="180">
        <f t="shared" si="16"/>
        <v>2</v>
      </c>
      <c r="Z287" s="180">
        <f t="shared" si="16"/>
        <v>2</v>
      </c>
      <c r="AA287" s="180">
        <f t="shared" si="16"/>
        <v>2</v>
      </c>
      <c r="AB287" s="180">
        <f t="shared" si="16"/>
        <v>2</v>
      </c>
      <c r="AC287" s="180">
        <f t="shared" si="16"/>
        <v>2</v>
      </c>
      <c r="AD287" s="180">
        <f t="shared" si="16"/>
        <v>2</v>
      </c>
      <c r="AE287" s="180">
        <f t="shared" si="16"/>
        <v>2</v>
      </c>
      <c r="AF287" s="180">
        <f t="shared" si="16"/>
        <v>1</v>
      </c>
      <c r="AG287" s="180">
        <f t="shared" si="16"/>
        <v>1</v>
      </c>
      <c r="AH287" s="180">
        <f t="shared" si="16"/>
        <v>1</v>
      </c>
      <c r="AI287" s="180">
        <f t="shared" si="16"/>
        <v>2</v>
      </c>
      <c r="AJ287" s="180">
        <f t="shared" ref="AJ287:BO287" si="17">AJ209</f>
        <v>2</v>
      </c>
      <c r="AK287" s="180">
        <f t="shared" si="17"/>
        <v>2</v>
      </c>
      <c r="AL287" s="180">
        <f t="shared" si="17"/>
        <v>2</v>
      </c>
      <c r="AM287" s="180">
        <f t="shared" si="17"/>
        <v>2</v>
      </c>
      <c r="AN287" s="180">
        <f t="shared" si="17"/>
        <v>2</v>
      </c>
      <c r="AO287" s="180">
        <f t="shared" si="17"/>
        <v>0</v>
      </c>
      <c r="AP287" s="180">
        <f t="shared" si="17"/>
        <v>2</v>
      </c>
      <c r="AQ287" s="180">
        <f t="shared" si="17"/>
        <v>2</v>
      </c>
      <c r="AR287" s="180">
        <f t="shared" si="17"/>
        <v>0</v>
      </c>
      <c r="AS287" s="180">
        <f t="shared" si="17"/>
        <v>0</v>
      </c>
      <c r="AT287" s="180">
        <f t="shared" si="17"/>
        <v>0</v>
      </c>
      <c r="AU287" s="180">
        <f t="shared" si="17"/>
        <v>2</v>
      </c>
      <c r="AV287" s="180">
        <f t="shared" si="17"/>
        <v>2</v>
      </c>
      <c r="AW287" s="180">
        <f t="shared" si="17"/>
        <v>0</v>
      </c>
      <c r="AX287" s="180">
        <f t="shared" si="17"/>
        <v>2</v>
      </c>
      <c r="AY287" s="180">
        <f t="shared" si="17"/>
        <v>2</v>
      </c>
      <c r="AZ287" s="180">
        <f t="shared" si="17"/>
        <v>0</v>
      </c>
      <c r="BA287" s="180">
        <f t="shared" si="17"/>
        <v>1</v>
      </c>
      <c r="BB287" s="180">
        <f t="shared" si="17"/>
        <v>2</v>
      </c>
      <c r="BC287" s="180">
        <f t="shared" si="17"/>
        <v>0</v>
      </c>
      <c r="BD287" s="180">
        <f t="shared" si="17"/>
        <v>2</v>
      </c>
      <c r="BE287" s="180">
        <f t="shared" si="17"/>
        <v>2</v>
      </c>
      <c r="BF287" s="180">
        <f t="shared" si="17"/>
        <v>0</v>
      </c>
      <c r="BG287" s="180">
        <f t="shared" si="17"/>
        <v>0</v>
      </c>
      <c r="BH287" s="180">
        <f t="shared" si="17"/>
        <v>2</v>
      </c>
      <c r="BI287" s="180">
        <f t="shared" si="17"/>
        <v>2</v>
      </c>
      <c r="BJ287" s="180">
        <f t="shared" si="17"/>
        <v>2</v>
      </c>
      <c r="BK287" s="180">
        <f t="shared" si="17"/>
        <v>2</v>
      </c>
      <c r="BL287" s="180">
        <f t="shared" si="17"/>
        <v>2</v>
      </c>
      <c r="BM287" s="180">
        <f t="shared" si="17"/>
        <v>2</v>
      </c>
      <c r="BN287" s="180">
        <f t="shared" si="17"/>
        <v>2</v>
      </c>
      <c r="BO287" s="180">
        <f t="shared" si="17"/>
        <v>1</v>
      </c>
      <c r="BP287" s="180">
        <f t="shared" ref="BP287:CZ287" si="18">BP209</f>
        <v>2</v>
      </c>
      <c r="BQ287" s="180">
        <f t="shared" si="18"/>
        <v>2</v>
      </c>
      <c r="BR287" s="180">
        <f t="shared" si="18"/>
        <v>2</v>
      </c>
      <c r="BS287" s="180">
        <f t="shared" si="18"/>
        <v>2</v>
      </c>
      <c r="BT287" s="180">
        <f t="shared" si="18"/>
        <v>2</v>
      </c>
      <c r="BU287" s="180">
        <f t="shared" si="18"/>
        <v>1</v>
      </c>
      <c r="BV287" s="180">
        <f t="shared" si="18"/>
        <v>2</v>
      </c>
      <c r="BW287" s="180">
        <f t="shared" si="18"/>
        <v>2</v>
      </c>
      <c r="BX287" s="180">
        <f t="shared" si="18"/>
        <v>0</v>
      </c>
      <c r="BY287" s="180">
        <f t="shared" si="18"/>
        <v>1</v>
      </c>
      <c r="BZ287" s="180">
        <f t="shared" si="18"/>
        <v>2</v>
      </c>
      <c r="CA287" s="180">
        <f t="shared" si="18"/>
        <v>2</v>
      </c>
      <c r="CB287" s="180">
        <f t="shared" si="18"/>
        <v>0</v>
      </c>
      <c r="CC287" s="180">
        <f t="shared" si="18"/>
        <v>0</v>
      </c>
      <c r="CD287" s="180">
        <f t="shared" si="18"/>
        <v>0</v>
      </c>
      <c r="CE287" s="180">
        <f t="shared" si="18"/>
        <v>0</v>
      </c>
      <c r="CF287" s="180">
        <f t="shared" si="18"/>
        <v>0</v>
      </c>
      <c r="CG287" s="180">
        <f t="shared" si="18"/>
        <v>0</v>
      </c>
      <c r="CH287" s="180">
        <f t="shared" si="18"/>
        <v>0</v>
      </c>
      <c r="CI287" s="180">
        <f t="shared" si="18"/>
        <v>0</v>
      </c>
      <c r="CJ287" s="180">
        <f t="shared" si="18"/>
        <v>0</v>
      </c>
      <c r="CK287" s="180">
        <f t="shared" si="18"/>
        <v>0</v>
      </c>
      <c r="CL287" s="180">
        <f t="shared" si="18"/>
        <v>0</v>
      </c>
      <c r="CM287" s="180">
        <f t="shared" si="18"/>
        <v>0</v>
      </c>
      <c r="CN287" s="180">
        <f t="shared" si="18"/>
        <v>0</v>
      </c>
      <c r="CO287" s="180">
        <f t="shared" si="18"/>
        <v>0</v>
      </c>
      <c r="CP287" s="180">
        <f t="shared" si="18"/>
        <v>0</v>
      </c>
      <c r="CQ287" s="180">
        <f t="shared" si="18"/>
        <v>0</v>
      </c>
      <c r="CR287" s="180">
        <f t="shared" si="18"/>
        <v>0</v>
      </c>
      <c r="CS287" s="180">
        <f t="shared" si="18"/>
        <v>0</v>
      </c>
      <c r="CT287" s="180">
        <f t="shared" si="18"/>
        <v>0</v>
      </c>
      <c r="CU287" s="180">
        <f t="shared" si="18"/>
        <v>0</v>
      </c>
      <c r="CV287" s="180">
        <f t="shared" si="18"/>
        <v>0</v>
      </c>
      <c r="CW287" s="180">
        <f t="shared" si="18"/>
        <v>0</v>
      </c>
      <c r="CX287" s="180">
        <f t="shared" si="18"/>
        <v>0</v>
      </c>
      <c r="CY287" s="180">
        <f t="shared" si="18"/>
        <v>0</v>
      </c>
      <c r="CZ287" s="180">
        <f t="shared" si="18"/>
        <v>0</v>
      </c>
    </row>
    <row r="288" spans="1:104" x14ac:dyDescent="0.3">
      <c r="A288" s="556">
        <v>953</v>
      </c>
      <c r="B288" s="180"/>
      <c r="C288" s="180">
        <v>211</v>
      </c>
      <c r="D288" s="180">
        <f t="shared" ref="D288:AI288" si="19">D211</f>
        <v>2</v>
      </c>
      <c r="E288" s="180">
        <f t="shared" si="19"/>
        <v>2</v>
      </c>
      <c r="F288" s="180">
        <f t="shared" si="19"/>
        <v>0</v>
      </c>
      <c r="G288" s="180">
        <f t="shared" si="19"/>
        <v>2</v>
      </c>
      <c r="H288" s="180">
        <f t="shared" si="19"/>
        <v>2</v>
      </c>
      <c r="I288" s="180">
        <f t="shared" si="19"/>
        <v>2</v>
      </c>
      <c r="J288" s="180">
        <f t="shared" si="19"/>
        <v>2</v>
      </c>
      <c r="K288" s="180">
        <f t="shared" si="19"/>
        <v>2</v>
      </c>
      <c r="L288" s="180">
        <f t="shared" si="19"/>
        <v>2</v>
      </c>
      <c r="M288" s="180">
        <f t="shared" si="19"/>
        <v>0</v>
      </c>
      <c r="N288" s="180">
        <f t="shared" si="19"/>
        <v>2</v>
      </c>
      <c r="O288" s="180">
        <f t="shared" si="19"/>
        <v>0</v>
      </c>
      <c r="P288" s="180">
        <f t="shared" si="19"/>
        <v>2</v>
      </c>
      <c r="Q288" s="180">
        <f t="shared" si="19"/>
        <v>2</v>
      </c>
      <c r="R288" s="180">
        <f t="shared" si="19"/>
        <v>2</v>
      </c>
      <c r="S288" s="180">
        <f t="shared" si="19"/>
        <v>2</v>
      </c>
      <c r="T288" s="180">
        <f t="shared" si="19"/>
        <v>2</v>
      </c>
      <c r="U288" s="180">
        <f t="shared" si="19"/>
        <v>2</v>
      </c>
      <c r="V288" s="180">
        <f t="shared" si="19"/>
        <v>2</v>
      </c>
      <c r="W288" s="180">
        <f t="shared" si="19"/>
        <v>2</v>
      </c>
      <c r="X288" s="180">
        <f t="shared" si="19"/>
        <v>2</v>
      </c>
      <c r="Y288" s="180">
        <f t="shared" si="19"/>
        <v>2</v>
      </c>
      <c r="Z288" s="180">
        <f t="shared" si="19"/>
        <v>2</v>
      </c>
      <c r="AA288" s="180">
        <f t="shared" si="19"/>
        <v>2</v>
      </c>
      <c r="AB288" s="180">
        <f t="shared" si="19"/>
        <v>2</v>
      </c>
      <c r="AC288" s="180">
        <f t="shared" si="19"/>
        <v>2</v>
      </c>
      <c r="AD288" s="180">
        <f t="shared" si="19"/>
        <v>2</v>
      </c>
      <c r="AE288" s="180">
        <f t="shared" si="19"/>
        <v>2</v>
      </c>
      <c r="AF288" s="180">
        <f t="shared" si="19"/>
        <v>2</v>
      </c>
      <c r="AG288" s="180">
        <f t="shared" si="19"/>
        <v>2</v>
      </c>
      <c r="AH288" s="180">
        <f t="shared" si="19"/>
        <v>2</v>
      </c>
      <c r="AI288" s="180">
        <f t="shared" si="19"/>
        <v>2</v>
      </c>
      <c r="AJ288" s="180">
        <f t="shared" ref="AJ288:BO288" si="20">AJ211</f>
        <v>2</v>
      </c>
      <c r="AK288" s="180">
        <f t="shared" si="20"/>
        <v>2</v>
      </c>
      <c r="AL288" s="180">
        <f t="shared" si="20"/>
        <v>2</v>
      </c>
      <c r="AM288" s="180">
        <f t="shared" si="20"/>
        <v>2</v>
      </c>
      <c r="AN288" s="180">
        <f t="shared" si="20"/>
        <v>2</v>
      </c>
      <c r="AO288" s="180">
        <f t="shared" si="20"/>
        <v>0</v>
      </c>
      <c r="AP288" s="180">
        <f t="shared" si="20"/>
        <v>2</v>
      </c>
      <c r="AQ288" s="180">
        <f t="shared" si="20"/>
        <v>2</v>
      </c>
      <c r="AR288" s="180">
        <f t="shared" si="20"/>
        <v>0</v>
      </c>
      <c r="AS288" s="180">
        <f t="shared" si="20"/>
        <v>0</v>
      </c>
      <c r="AT288" s="180">
        <f t="shared" si="20"/>
        <v>0</v>
      </c>
      <c r="AU288" s="180">
        <f t="shared" si="20"/>
        <v>2</v>
      </c>
      <c r="AV288" s="180">
        <f t="shared" si="20"/>
        <v>2</v>
      </c>
      <c r="AW288" s="180">
        <f t="shared" si="20"/>
        <v>0</v>
      </c>
      <c r="AX288" s="180">
        <f t="shared" si="20"/>
        <v>2</v>
      </c>
      <c r="AY288" s="180">
        <f t="shared" si="20"/>
        <v>2</v>
      </c>
      <c r="AZ288" s="180">
        <f t="shared" si="20"/>
        <v>0</v>
      </c>
      <c r="BA288" s="180">
        <f t="shared" si="20"/>
        <v>2</v>
      </c>
      <c r="BB288" s="180">
        <f t="shared" si="20"/>
        <v>2</v>
      </c>
      <c r="BC288" s="180">
        <f t="shared" si="20"/>
        <v>0</v>
      </c>
      <c r="BD288" s="180">
        <f t="shared" si="20"/>
        <v>2</v>
      </c>
      <c r="BE288" s="180">
        <f t="shared" si="20"/>
        <v>2</v>
      </c>
      <c r="BF288" s="180">
        <f t="shared" si="20"/>
        <v>0</v>
      </c>
      <c r="BG288" s="180">
        <f t="shared" si="20"/>
        <v>0</v>
      </c>
      <c r="BH288" s="180">
        <f t="shared" si="20"/>
        <v>2</v>
      </c>
      <c r="BI288" s="180">
        <f t="shared" si="20"/>
        <v>2</v>
      </c>
      <c r="BJ288" s="180">
        <f t="shared" si="20"/>
        <v>2</v>
      </c>
      <c r="BK288" s="180">
        <f t="shared" si="20"/>
        <v>2</v>
      </c>
      <c r="BL288" s="180">
        <f t="shared" si="20"/>
        <v>2</v>
      </c>
      <c r="BM288" s="180">
        <f t="shared" si="20"/>
        <v>2</v>
      </c>
      <c r="BN288" s="180">
        <f t="shared" si="20"/>
        <v>2</v>
      </c>
      <c r="BO288" s="180">
        <f t="shared" si="20"/>
        <v>2</v>
      </c>
      <c r="BP288" s="180">
        <f t="shared" ref="BP288:CZ288" si="21">BP211</f>
        <v>2</v>
      </c>
      <c r="BQ288" s="180">
        <f t="shared" si="21"/>
        <v>2</v>
      </c>
      <c r="BR288" s="180">
        <f t="shared" si="21"/>
        <v>2</v>
      </c>
      <c r="BS288" s="180">
        <f t="shared" si="21"/>
        <v>2</v>
      </c>
      <c r="BT288" s="180">
        <f t="shared" si="21"/>
        <v>2</v>
      </c>
      <c r="BU288" s="180">
        <f t="shared" si="21"/>
        <v>2</v>
      </c>
      <c r="BV288" s="180">
        <f t="shared" si="21"/>
        <v>2</v>
      </c>
      <c r="BW288" s="180">
        <f t="shared" si="21"/>
        <v>2</v>
      </c>
      <c r="BX288" s="180">
        <f t="shared" si="21"/>
        <v>0</v>
      </c>
      <c r="BY288" s="180">
        <f t="shared" si="21"/>
        <v>2</v>
      </c>
      <c r="BZ288" s="180">
        <f t="shared" si="21"/>
        <v>2</v>
      </c>
      <c r="CA288" s="180">
        <f t="shared" si="21"/>
        <v>2</v>
      </c>
      <c r="CB288" s="180">
        <f t="shared" si="21"/>
        <v>0</v>
      </c>
      <c r="CC288" s="180">
        <f t="shared" si="21"/>
        <v>0</v>
      </c>
      <c r="CD288" s="180">
        <f t="shared" si="21"/>
        <v>0</v>
      </c>
      <c r="CE288" s="180">
        <f t="shared" si="21"/>
        <v>0</v>
      </c>
      <c r="CF288" s="180">
        <f t="shared" si="21"/>
        <v>0</v>
      </c>
      <c r="CG288" s="180">
        <f t="shared" si="21"/>
        <v>0</v>
      </c>
      <c r="CH288" s="180">
        <f t="shared" si="21"/>
        <v>0</v>
      </c>
      <c r="CI288" s="180">
        <f t="shared" si="21"/>
        <v>0</v>
      </c>
      <c r="CJ288" s="180">
        <f t="shared" si="21"/>
        <v>0</v>
      </c>
      <c r="CK288" s="180">
        <f t="shared" si="21"/>
        <v>0</v>
      </c>
      <c r="CL288" s="180">
        <f t="shared" si="21"/>
        <v>0</v>
      </c>
      <c r="CM288" s="180">
        <f t="shared" si="21"/>
        <v>0</v>
      </c>
      <c r="CN288" s="180">
        <f t="shared" si="21"/>
        <v>0</v>
      </c>
      <c r="CO288" s="180">
        <f t="shared" si="21"/>
        <v>0</v>
      </c>
      <c r="CP288" s="180">
        <f t="shared" si="21"/>
        <v>0</v>
      </c>
      <c r="CQ288" s="180">
        <f t="shared" si="21"/>
        <v>0</v>
      </c>
      <c r="CR288" s="180">
        <f t="shared" si="21"/>
        <v>0</v>
      </c>
      <c r="CS288" s="180">
        <f t="shared" si="21"/>
        <v>0</v>
      </c>
      <c r="CT288" s="180">
        <f t="shared" si="21"/>
        <v>0</v>
      </c>
      <c r="CU288" s="180">
        <f t="shared" si="21"/>
        <v>0</v>
      </c>
      <c r="CV288" s="180">
        <f t="shared" si="21"/>
        <v>0</v>
      </c>
      <c r="CW288" s="180">
        <f t="shared" si="21"/>
        <v>0</v>
      </c>
      <c r="CX288" s="180">
        <f t="shared" si="21"/>
        <v>0</v>
      </c>
      <c r="CY288" s="180">
        <f t="shared" si="21"/>
        <v>0</v>
      </c>
      <c r="CZ288" s="180">
        <f t="shared" si="21"/>
        <v>0</v>
      </c>
    </row>
    <row r="289" spans="1:104" x14ac:dyDescent="0.3">
      <c r="A289" s="556">
        <v>955</v>
      </c>
      <c r="B289" s="180"/>
      <c r="C289" s="180">
        <v>213</v>
      </c>
      <c r="D289" s="180">
        <f t="shared" ref="D289:AI289" si="22">D213</f>
        <v>0</v>
      </c>
      <c r="E289" s="180">
        <f t="shared" si="22"/>
        <v>0</v>
      </c>
      <c r="F289" s="180">
        <f t="shared" si="22"/>
        <v>0</v>
      </c>
      <c r="G289" s="180">
        <f t="shared" si="22"/>
        <v>0</v>
      </c>
      <c r="H289" s="180">
        <f t="shared" si="22"/>
        <v>0</v>
      </c>
      <c r="I289" s="180">
        <f t="shared" si="22"/>
        <v>0</v>
      </c>
      <c r="J289" s="180">
        <f t="shared" si="22"/>
        <v>1</v>
      </c>
      <c r="K289" s="180">
        <f t="shared" si="22"/>
        <v>0</v>
      </c>
      <c r="L289" s="180">
        <f t="shared" si="22"/>
        <v>0</v>
      </c>
      <c r="M289" s="180">
        <f t="shared" si="22"/>
        <v>0</v>
      </c>
      <c r="N289" s="180">
        <f t="shared" si="22"/>
        <v>0</v>
      </c>
      <c r="O289" s="180">
        <f t="shared" si="22"/>
        <v>0</v>
      </c>
      <c r="P289" s="180">
        <f t="shared" si="22"/>
        <v>0</v>
      </c>
      <c r="Q289" s="180">
        <f t="shared" si="22"/>
        <v>0</v>
      </c>
      <c r="R289" s="180">
        <f t="shared" si="22"/>
        <v>0</v>
      </c>
      <c r="S289" s="180">
        <f t="shared" si="22"/>
        <v>0</v>
      </c>
      <c r="T289" s="180">
        <f t="shared" si="22"/>
        <v>1</v>
      </c>
      <c r="U289" s="180">
        <f t="shared" si="22"/>
        <v>0</v>
      </c>
      <c r="V289" s="180">
        <f t="shared" si="22"/>
        <v>0</v>
      </c>
      <c r="W289" s="180">
        <f t="shared" si="22"/>
        <v>0</v>
      </c>
      <c r="X289" s="180">
        <f t="shared" si="22"/>
        <v>0</v>
      </c>
      <c r="Y289" s="180">
        <f t="shared" si="22"/>
        <v>0</v>
      </c>
      <c r="Z289" s="180">
        <f t="shared" si="22"/>
        <v>0</v>
      </c>
      <c r="AA289" s="180">
        <f t="shared" si="22"/>
        <v>0</v>
      </c>
      <c r="AB289" s="180">
        <f t="shared" si="22"/>
        <v>0</v>
      </c>
      <c r="AC289" s="180">
        <f t="shared" si="22"/>
        <v>0</v>
      </c>
      <c r="AD289" s="180">
        <f t="shared" si="22"/>
        <v>2</v>
      </c>
      <c r="AE289" s="180">
        <f t="shared" si="22"/>
        <v>0</v>
      </c>
      <c r="AF289" s="180">
        <f t="shared" si="22"/>
        <v>0</v>
      </c>
      <c r="AG289" s="180">
        <f t="shared" si="22"/>
        <v>0</v>
      </c>
      <c r="AH289" s="180">
        <f t="shared" si="22"/>
        <v>2</v>
      </c>
      <c r="AI289" s="180">
        <f t="shared" si="22"/>
        <v>0</v>
      </c>
      <c r="AJ289" s="180">
        <f t="shared" ref="AJ289:BO289" si="23">AJ213</f>
        <v>1</v>
      </c>
      <c r="AK289" s="180">
        <f t="shared" si="23"/>
        <v>0</v>
      </c>
      <c r="AL289" s="180">
        <f t="shared" si="23"/>
        <v>0</v>
      </c>
      <c r="AM289" s="180">
        <f t="shared" si="23"/>
        <v>1</v>
      </c>
      <c r="AN289" s="180">
        <f t="shared" si="23"/>
        <v>0</v>
      </c>
      <c r="AO289" s="180">
        <f t="shared" si="23"/>
        <v>0</v>
      </c>
      <c r="AP289" s="180">
        <f t="shared" si="23"/>
        <v>0</v>
      </c>
      <c r="AQ289" s="180">
        <f t="shared" si="23"/>
        <v>0</v>
      </c>
      <c r="AR289" s="180">
        <f t="shared" si="23"/>
        <v>0</v>
      </c>
      <c r="AS289" s="180">
        <f t="shared" si="23"/>
        <v>0</v>
      </c>
      <c r="AT289" s="180">
        <f t="shared" si="23"/>
        <v>0</v>
      </c>
      <c r="AU289" s="180">
        <f t="shared" si="23"/>
        <v>0</v>
      </c>
      <c r="AV289" s="180">
        <f t="shared" si="23"/>
        <v>0</v>
      </c>
      <c r="AW289" s="180">
        <f t="shared" si="23"/>
        <v>0</v>
      </c>
      <c r="AX289" s="180">
        <f t="shared" si="23"/>
        <v>0</v>
      </c>
      <c r="AY289" s="180">
        <f t="shared" si="23"/>
        <v>0</v>
      </c>
      <c r="AZ289" s="180">
        <f t="shared" si="23"/>
        <v>0</v>
      </c>
      <c r="BA289" s="180">
        <f t="shared" si="23"/>
        <v>1</v>
      </c>
      <c r="BB289" s="180">
        <f t="shared" si="23"/>
        <v>0</v>
      </c>
      <c r="BC289" s="180">
        <f t="shared" si="23"/>
        <v>0</v>
      </c>
      <c r="BD289" s="180">
        <f t="shared" si="23"/>
        <v>0</v>
      </c>
      <c r="BE289" s="180">
        <f t="shared" si="23"/>
        <v>0</v>
      </c>
      <c r="BF289" s="180">
        <f t="shared" si="23"/>
        <v>0</v>
      </c>
      <c r="BG289" s="180">
        <f t="shared" si="23"/>
        <v>0</v>
      </c>
      <c r="BH289" s="180">
        <f t="shared" si="23"/>
        <v>1</v>
      </c>
      <c r="BI289" s="180">
        <f t="shared" si="23"/>
        <v>0</v>
      </c>
      <c r="BJ289" s="180">
        <f t="shared" si="23"/>
        <v>0</v>
      </c>
      <c r="BK289" s="180">
        <f t="shared" si="23"/>
        <v>0</v>
      </c>
      <c r="BL289" s="180">
        <f t="shared" si="23"/>
        <v>0</v>
      </c>
      <c r="BM289" s="180">
        <f t="shared" si="23"/>
        <v>0</v>
      </c>
      <c r="BN289" s="180">
        <f t="shared" si="23"/>
        <v>0</v>
      </c>
      <c r="BO289" s="180">
        <f t="shared" si="23"/>
        <v>0</v>
      </c>
      <c r="BP289" s="180">
        <f t="shared" ref="BP289:CZ289" si="24">BP213</f>
        <v>0</v>
      </c>
      <c r="BQ289" s="180">
        <f t="shared" si="24"/>
        <v>0</v>
      </c>
      <c r="BR289" s="180">
        <f t="shared" si="24"/>
        <v>0</v>
      </c>
      <c r="BS289" s="180">
        <f t="shared" si="24"/>
        <v>1</v>
      </c>
      <c r="BT289" s="180">
        <f t="shared" si="24"/>
        <v>0</v>
      </c>
      <c r="BU289" s="180">
        <f t="shared" si="24"/>
        <v>2</v>
      </c>
      <c r="BV289" s="180">
        <f t="shared" si="24"/>
        <v>0</v>
      </c>
      <c r="BW289" s="180">
        <f t="shared" si="24"/>
        <v>0</v>
      </c>
      <c r="BX289" s="180">
        <f t="shared" si="24"/>
        <v>0</v>
      </c>
      <c r="BY289" s="180">
        <f t="shared" si="24"/>
        <v>0</v>
      </c>
      <c r="BZ289" s="180">
        <f t="shared" si="24"/>
        <v>0</v>
      </c>
      <c r="CA289" s="180">
        <f t="shared" si="24"/>
        <v>0</v>
      </c>
      <c r="CB289" s="180">
        <f t="shared" si="24"/>
        <v>0</v>
      </c>
      <c r="CC289" s="180">
        <f t="shared" si="24"/>
        <v>0</v>
      </c>
      <c r="CD289" s="180">
        <f t="shared" si="24"/>
        <v>0</v>
      </c>
      <c r="CE289" s="180">
        <f t="shared" si="24"/>
        <v>0</v>
      </c>
      <c r="CF289" s="180">
        <f t="shared" si="24"/>
        <v>0</v>
      </c>
      <c r="CG289" s="180">
        <f t="shared" si="24"/>
        <v>0</v>
      </c>
      <c r="CH289" s="180">
        <f t="shared" si="24"/>
        <v>0</v>
      </c>
      <c r="CI289" s="180">
        <f t="shared" si="24"/>
        <v>0</v>
      </c>
      <c r="CJ289" s="180">
        <f t="shared" si="24"/>
        <v>0</v>
      </c>
      <c r="CK289" s="180">
        <f t="shared" si="24"/>
        <v>0</v>
      </c>
      <c r="CL289" s="180">
        <f t="shared" si="24"/>
        <v>0</v>
      </c>
      <c r="CM289" s="180">
        <f t="shared" si="24"/>
        <v>0</v>
      </c>
      <c r="CN289" s="180">
        <f t="shared" si="24"/>
        <v>0</v>
      </c>
      <c r="CO289" s="180">
        <f t="shared" si="24"/>
        <v>0</v>
      </c>
      <c r="CP289" s="180">
        <f t="shared" si="24"/>
        <v>0</v>
      </c>
      <c r="CQ289" s="180">
        <f t="shared" si="24"/>
        <v>0</v>
      </c>
      <c r="CR289" s="180">
        <f t="shared" si="24"/>
        <v>0</v>
      </c>
      <c r="CS289" s="180">
        <f t="shared" si="24"/>
        <v>0</v>
      </c>
      <c r="CT289" s="180">
        <f t="shared" si="24"/>
        <v>0</v>
      </c>
      <c r="CU289" s="180">
        <f t="shared" si="24"/>
        <v>0</v>
      </c>
      <c r="CV289" s="180">
        <f t="shared" si="24"/>
        <v>0</v>
      </c>
      <c r="CW289" s="180">
        <f t="shared" si="24"/>
        <v>0</v>
      </c>
      <c r="CX289" s="180">
        <f t="shared" si="24"/>
        <v>0</v>
      </c>
      <c r="CY289" s="180">
        <f t="shared" si="24"/>
        <v>0</v>
      </c>
      <c r="CZ289" s="180">
        <f t="shared" si="24"/>
        <v>0</v>
      </c>
    </row>
    <row r="290" spans="1:104" x14ac:dyDescent="0.3">
      <c r="A290" s="556">
        <v>957</v>
      </c>
      <c r="B290" s="180"/>
      <c r="C290" s="180">
        <v>215</v>
      </c>
      <c r="D290" s="180">
        <f t="shared" ref="D290:AI290" si="25">D215</f>
        <v>0</v>
      </c>
      <c r="E290" s="180">
        <f t="shared" si="25"/>
        <v>0</v>
      </c>
      <c r="F290" s="180">
        <f t="shared" si="25"/>
        <v>0</v>
      </c>
      <c r="G290" s="180">
        <f t="shared" si="25"/>
        <v>0</v>
      </c>
      <c r="H290" s="180">
        <f t="shared" si="25"/>
        <v>0</v>
      </c>
      <c r="I290" s="180">
        <f t="shared" si="25"/>
        <v>0</v>
      </c>
      <c r="J290" s="180">
        <f t="shared" si="25"/>
        <v>0</v>
      </c>
      <c r="K290" s="180">
        <f t="shared" si="25"/>
        <v>0</v>
      </c>
      <c r="L290" s="180">
        <f t="shared" si="25"/>
        <v>2</v>
      </c>
      <c r="M290" s="180">
        <f t="shared" si="25"/>
        <v>0</v>
      </c>
      <c r="N290" s="180">
        <f t="shared" si="25"/>
        <v>0</v>
      </c>
      <c r="O290" s="180">
        <f t="shared" si="25"/>
        <v>0</v>
      </c>
      <c r="P290" s="180">
        <f t="shared" si="25"/>
        <v>0</v>
      </c>
      <c r="Q290" s="180">
        <f t="shared" si="25"/>
        <v>0</v>
      </c>
      <c r="R290" s="180">
        <f t="shared" si="25"/>
        <v>0</v>
      </c>
      <c r="S290" s="180">
        <f t="shared" si="25"/>
        <v>0</v>
      </c>
      <c r="T290" s="180">
        <f t="shared" si="25"/>
        <v>0</v>
      </c>
      <c r="U290" s="180">
        <f t="shared" si="25"/>
        <v>0</v>
      </c>
      <c r="V290" s="180">
        <f t="shared" si="25"/>
        <v>0</v>
      </c>
      <c r="W290" s="180">
        <f t="shared" si="25"/>
        <v>0</v>
      </c>
      <c r="X290" s="180">
        <f t="shared" si="25"/>
        <v>0</v>
      </c>
      <c r="Y290" s="180">
        <f t="shared" si="25"/>
        <v>0</v>
      </c>
      <c r="Z290" s="180">
        <f t="shared" si="25"/>
        <v>0</v>
      </c>
      <c r="AA290" s="180">
        <f t="shared" si="25"/>
        <v>3</v>
      </c>
      <c r="AB290" s="180">
        <f t="shared" si="25"/>
        <v>0</v>
      </c>
      <c r="AC290" s="180">
        <f t="shared" si="25"/>
        <v>0</v>
      </c>
      <c r="AD290" s="180">
        <f t="shared" si="25"/>
        <v>2</v>
      </c>
      <c r="AE290" s="180">
        <f t="shared" si="25"/>
        <v>2</v>
      </c>
      <c r="AF290" s="180">
        <f t="shared" si="25"/>
        <v>0</v>
      </c>
      <c r="AG290" s="180">
        <f t="shared" si="25"/>
        <v>0</v>
      </c>
      <c r="AH290" s="180">
        <f t="shared" si="25"/>
        <v>0</v>
      </c>
      <c r="AI290" s="180">
        <f t="shared" si="25"/>
        <v>0</v>
      </c>
      <c r="AJ290" s="180">
        <f t="shared" ref="AJ290:BO290" si="26">AJ215</f>
        <v>1</v>
      </c>
      <c r="AK290" s="180">
        <f t="shared" si="26"/>
        <v>0</v>
      </c>
      <c r="AL290" s="180">
        <f t="shared" si="26"/>
        <v>0</v>
      </c>
      <c r="AM290" s="180">
        <f t="shared" si="26"/>
        <v>0</v>
      </c>
      <c r="AN290" s="180">
        <f t="shared" si="26"/>
        <v>0</v>
      </c>
      <c r="AO290" s="180">
        <f t="shared" si="26"/>
        <v>0</v>
      </c>
      <c r="AP290" s="180">
        <f t="shared" si="26"/>
        <v>0</v>
      </c>
      <c r="AQ290" s="180">
        <f t="shared" si="26"/>
        <v>0</v>
      </c>
      <c r="AR290" s="180">
        <f t="shared" si="26"/>
        <v>0</v>
      </c>
      <c r="AS290" s="180">
        <f t="shared" si="26"/>
        <v>0</v>
      </c>
      <c r="AT290" s="180">
        <f t="shared" si="26"/>
        <v>0</v>
      </c>
      <c r="AU290" s="180">
        <f t="shared" si="26"/>
        <v>0</v>
      </c>
      <c r="AV290" s="180">
        <f t="shared" si="26"/>
        <v>4</v>
      </c>
      <c r="AW290" s="180">
        <f t="shared" si="26"/>
        <v>0</v>
      </c>
      <c r="AX290" s="180">
        <f t="shared" si="26"/>
        <v>0</v>
      </c>
      <c r="AY290" s="180">
        <f t="shared" si="26"/>
        <v>0</v>
      </c>
      <c r="AZ290" s="180">
        <f t="shared" si="26"/>
        <v>0</v>
      </c>
      <c r="BA290" s="180">
        <f t="shared" si="26"/>
        <v>0</v>
      </c>
      <c r="BB290" s="180">
        <f t="shared" si="26"/>
        <v>0</v>
      </c>
      <c r="BC290" s="180">
        <f t="shared" si="26"/>
        <v>0</v>
      </c>
      <c r="BD290" s="180">
        <f t="shared" si="26"/>
        <v>0</v>
      </c>
      <c r="BE290" s="180">
        <f t="shared" si="26"/>
        <v>0</v>
      </c>
      <c r="BF290" s="180">
        <f t="shared" si="26"/>
        <v>0</v>
      </c>
      <c r="BG290" s="180">
        <f t="shared" si="26"/>
        <v>0</v>
      </c>
      <c r="BH290" s="180">
        <f t="shared" si="26"/>
        <v>0</v>
      </c>
      <c r="BI290" s="180">
        <f t="shared" si="26"/>
        <v>0</v>
      </c>
      <c r="BJ290" s="180">
        <f t="shared" si="26"/>
        <v>0</v>
      </c>
      <c r="BK290" s="180">
        <f t="shared" si="26"/>
        <v>0</v>
      </c>
      <c r="BL290" s="180">
        <f t="shared" si="26"/>
        <v>0</v>
      </c>
      <c r="BM290" s="180">
        <f t="shared" si="26"/>
        <v>0</v>
      </c>
      <c r="BN290" s="180">
        <f t="shared" si="26"/>
        <v>0</v>
      </c>
      <c r="BO290" s="180">
        <f t="shared" si="26"/>
        <v>0</v>
      </c>
      <c r="BP290" s="180">
        <f t="shared" ref="BP290:CZ290" si="27">BP215</f>
        <v>0</v>
      </c>
      <c r="BQ290" s="180">
        <f t="shared" si="27"/>
        <v>0</v>
      </c>
      <c r="BR290" s="180">
        <f t="shared" si="27"/>
        <v>0</v>
      </c>
      <c r="BS290" s="180">
        <f t="shared" si="27"/>
        <v>1</v>
      </c>
      <c r="BT290" s="180">
        <f t="shared" si="27"/>
        <v>0</v>
      </c>
      <c r="BU290" s="180">
        <f t="shared" si="27"/>
        <v>0</v>
      </c>
      <c r="BV290" s="180">
        <f t="shared" si="27"/>
        <v>0</v>
      </c>
      <c r="BW290" s="180">
        <f t="shared" si="27"/>
        <v>0</v>
      </c>
      <c r="BX290" s="180">
        <f t="shared" si="27"/>
        <v>0</v>
      </c>
      <c r="BY290" s="180">
        <f t="shared" si="27"/>
        <v>0</v>
      </c>
      <c r="BZ290" s="180">
        <f t="shared" si="27"/>
        <v>0</v>
      </c>
      <c r="CA290" s="180">
        <f t="shared" si="27"/>
        <v>0</v>
      </c>
      <c r="CB290" s="180">
        <f t="shared" si="27"/>
        <v>0</v>
      </c>
      <c r="CC290" s="180">
        <f t="shared" si="27"/>
        <v>0</v>
      </c>
      <c r="CD290" s="180">
        <f t="shared" si="27"/>
        <v>0</v>
      </c>
      <c r="CE290" s="180">
        <f t="shared" si="27"/>
        <v>0</v>
      </c>
      <c r="CF290" s="180">
        <f t="shared" si="27"/>
        <v>0</v>
      </c>
      <c r="CG290" s="180">
        <f t="shared" si="27"/>
        <v>0</v>
      </c>
      <c r="CH290" s="180">
        <f t="shared" si="27"/>
        <v>0</v>
      </c>
      <c r="CI290" s="180">
        <f t="shared" si="27"/>
        <v>0</v>
      </c>
      <c r="CJ290" s="180">
        <f t="shared" si="27"/>
        <v>0</v>
      </c>
      <c r="CK290" s="180">
        <f t="shared" si="27"/>
        <v>0</v>
      </c>
      <c r="CL290" s="180">
        <f t="shared" si="27"/>
        <v>0</v>
      </c>
      <c r="CM290" s="180">
        <f t="shared" si="27"/>
        <v>0</v>
      </c>
      <c r="CN290" s="180">
        <f t="shared" si="27"/>
        <v>0</v>
      </c>
      <c r="CO290" s="180">
        <f t="shared" si="27"/>
        <v>0</v>
      </c>
      <c r="CP290" s="180">
        <f t="shared" si="27"/>
        <v>0</v>
      </c>
      <c r="CQ290" s="180">
        <f t="shared" si="27"/>
        <v>0</v>
      </c>
      <c r="CR290" s="180">
        <f t="shared" si="27"/>
        <v>0</v>
      </c>
      <c r="CS290" s="180">
        <f t="shared" si="27"/>
        <v>0</v>
      </c>
      <c r="CT290" s="180">
        <f t="shared" si="27"/>
        <v>0</v>
      </c>
      <c r="CU290" s="180">
        <f t="shared" si="27"/>
        <v>0</v>
      </c>
      <c r="CV290" s="180">
        <f t="shared" si="27"/>
        <v>0</v>
      </c>
      <c r="CW290" s="180">
        <f t="shared" si="27"/>
        <v>0</v>
      </c>
      <c r="CX290" s="180">
        <f t="shared" si="27"/>
        <v>0</v>
      </c>
      <c r="CY290" s="180">
        <f t="shared" si="27"/>
        <v>0</v>
      </c>
      <c r="CZ290" s="180">
        <f t="shared" si="27"/>
        <v>0</v>
      </c>
    </row>
    <row r="291" spans="1:104" x14ac:dyDescent="0.3">
      <c r="A291" s="556">
        <v>959</v>
      </c>
      <c r="B291" s="180"/>
      <c r="C291" s="180">
        <v>217</v>
      </c>
      <c r="D291" s="180">
        <f t="shared" ref="D291:AI291" si="28">D217</f>
        <v>2</v>
      </c>
      <c r="E291" s="180">
        <f t="shared" si="28"/>
        <v>2</v>
      </c>
      <c r="F291" s="180">
        <f t="shared" si="28"/>
        <v>0</v>
      </c>
      <c r="G291" s="180">
        <f t="shared" si="28"/>
        <v>2</v>
      </c>
      <c r="H291" s="180">
        <f t="shared" si="28"/>
        <v>2</v>
      </c>
      <c r="I291" s="180">
        <f t="shared" si="28"/>
        <v>3</v>
      </c>
      <c r="J291" s="180">
        <f t="shared" si="28"/>
        <v>2</v>
      </c>
      <c r="K291" s="180">
        <f t="shared" si="28"/>
        <v>2</v>
      </c>
      <c r="L291" s="180">
        <f t="shared" si="28"/>
        <v>2</v>
      </c>
      <c r="M291" s="180">
        <f t="shared" si="28"/>
        <v>0</v>
      </c>
      <c r="N291" s="180">
        <f t="shared" si="28"/>
        <v>2</v>
      </c>
      <c r="O291" s="180">
        <f t="shared" si="28"/>
        <v>0</v>
      </c>
      <c r="P291" s="180">
        <f t="shared" si="28"/>
        <v>2</v>
      </c>
      <c r="Q291" s="180">
        <f t="shared" si="28"/>
        <v>2</v>
      </c>
      <c r="R291" s="180">
        <f t="shared" si="28"/>
        <v>2</v>
      </c>
      <c r="S291" s="180">
        <f t="shared" si="28"/>
        <v>2</v>
      </c>
      <c r="T291" s="180">
        <f t="shared" si="28"/>
        <v>3</v>
      </c>
      <c r="U291" s="180">
        <f t="shared" si="28"/>
        <v>2</v>
      </c>
      <c r="V291" s="180">
        <f t="shared" si="28"/>
        <v>2</v>
      </c>
      <c r="W291" s="180">
        <f t="shared" si="28"/>
        <v>2</v>
      </c>
      <c r="X291" s="180">
        <f t="shared" si="28"/>
        <v>2</v>
      </c>
      <c r="Y291" s="180">
        <f t="shared" si="28"/>
        <v>2</v>
      </c>
      <c r="Z291" s="180">
        <f t="shared" si="28"/>
        <v>2</v>
      </c>
      <c r="AA291" s="180">
        <f t="shared" si="28"/>
        <v>2</v>
      </c>
      <c r="AB291" s="180">
        <f t="shared" si="28"/>
        <v>3</v>
      </c>
      <c r="AC291" s="180">
        <f t="shared" si="28"/>
        <v>3</v>
      </c>
      <c r="AD291" s="180">
        <f t="shared" si="28"/>
        <v>2</v>
      </c>
      <c r="AE291" s="180">
        <f t="shared" si="28"/>
        <v>2</v>
      </c>
      <c r="AF291" s="180">
        <f t="shared" si="28"/>
        <v>3</v>
      </c>
      <c r="AG291" s="180">
        <f t="shared" si="28"/>
        <v>2</v>
      </c>
      <c r="AH291" s="180">
        <f t="shared" si="28"/>
        <v>3</v>
      </c>
      <c r="AI291" s="180">
        <f t="shared" si="28"/>
        <v>3</v>
      </c>
      <c r="AJ291" s="180">
        <f t="shared" ref="AJ291:BO291" si="29">AJ217</f>
        <v>2</v>
      </c>
      <c r="AK291" s="180">
        <f t="shared" si="29"/>
        <v>3</v>
      </c>
      <c r="AL291" s="180">
        <f t="shared" si="29"/>
        <v>3</v>
      </c>
      <c r="AM291" s="180">
        <f t="shared" si="29"/>
        <v>3</v>
      </c>
      <c r="AN291" s="180">
        <f t="shared" si="29"/>
        <v>2</v>
      </c>
      <c r="AO291" s="180">
        <f t="shared" si="29"/>
        <v>0</v>
      </c>
      <c r="AP291" s="180">
        <f t="shared" si="29"/>
        <v>2</v>
      </c>
      <c r="AQ291" s="180">
        <f t="shared" si="29"/>
        <v>2</v>
      </c>
      <c r="AR291" s="180">
        <f t="shared" si="29"/>
        <v>0</v>
      </c>
      <c r="AS291" s="180">
        <f t="shared" si="29"/>
        <v>0</v>
      </c>
      <c r="AT291" s="180">
        <f t="shared" si="29"/>
        <v>0</v>
      </c>
      <c r="AU291" s="180">
        <f t="shared" si="29"/>
        <v>2</v>
      </c>
      <c r="AV291" s="180">
        <f t="shared" si="29"/>
        <v>3</v>
      </c>
      <c r="AW291" s="180">
        <f t="shared" si="29"/>
        <v>0</v>
      </c>
      <c r="AX291" s="180">
        <f t="shared" si="29"/>
        <v>2</v>
      </c>
      <c r="AY291" s="180">
        <f t="shared" si="29"/>
        <v>2</v>
      </c>
      <c r="AZ291" s="180">
        <f t="shared" si="29"/>
        <v>0</v>
      </c>
      <c r="BA291" s="180">
        <f t="shared" si="29"/>
        <v>3</v>
      </c>
      <c r="BB291" s="180">
        <f t="shared" si="29"/>
        <v>2</v>
      </c>
      <c r="BC291" s="180">
        <f t="shared" si="29"/>
        <v>0</v>
      </c>
      <c r="BD291" s="180">
        <f t="shared" si="29"/>
        <v>3</v>
      </c>
      <c r="BE291" s="180">
        <f t="shared" si="29"/>
        <v>2</v>
      </c>
      <c r="BF291" s="180">
        <f t="shared" si="29"/>
        <v>0</v>
      </c>
      <c r="BG291" s="180">
        <f t="shared" si="29"/>
        <v>0</v>
      </c>
      <c r="BH291" s="180">
        <f t="shared" si="29"/>
        <v>2</v>
      </c>
      <c r="BI291" s="180">
        <f t="shared" si="29"/>
        <v>2</v>
      </c>
      <c r="BJ291" s="180">
        <f t="shared" si="29"/>
        <v>2</v>
      </c>
      <c r="BK291" s="180">
        <f t="shared" si="29"/>
        <v>2</v>
      </c>
      <c r="BL291" s="180">
        <f t="shared" si="29"/>
        <v>2</v>
      </c>
      <c r="BM291" s="180">
        <f t="shared" si="29"/>
        <v>3</v>
      </c>
      <c r="BN291" s="180">
        <f t="shared" si="29"/>
        <v>2</v>
      </c>
      <c r="BO291" s="180">
        <f t="shared" si="29"/>
        <v>2</v>
      </c>
      <c r="BP291" s="180">
        <f t="shared" ref="BP291:CZ291" si="30">BP217</f>
        <v>2</v>
      </c>
      <c r="BQ291" s="180">
        <f t="shared" si="30"/>
        <v>2</v>
      </c>
      <c r="BR291" s="180">
        <f t="shared" si="30"/>
        <v>2</v>
      </c>
      <c r="BS291" s="180">
        <f t="shared" si="30"/>
        <v>2</v>
      </c>
      <c r="BT291" s="180">
        <f t="shared" si="30"/>
        <v>2</v>
      </c>
      <c r="BU291" s="180">
        <f t="shared" si="30"/>
        <v>2</v>
      </c>
      <c r="BV291" s="180">
        <f t="shared" si="30"/>
        <v>2</v>
      </c>
      <c r="BW291" s="180">
        <f t="shared" si="30"/>
        <v>3</v>
      </c>
      <c r="BX291" s="180">
        <f t="shared" si="30"/>
        <v>0</v>
      </c>
      <c r="BY291" s="180">
        <f t="shared" si="30"/>
        <v>3</v>
      </c>
      <c r="BZ291" s="180">
        <f t="shared" si="30"/>
        <v>2</v>
      </c>
      <c r="CA291" s="180">
        <f t="shared" si="30"/>
        <v>2</v>
      </c>
      <c r="CB291" s="180">
        <f t="shared" si="30"/>
        <v>0</v>
      </c>
      <c r="CC291" s="180">
        <f t="shared" si="30"/>
        <v>0</v>
      </c>
      <c r="CD291" s="180">
        <f t="shared" si="30"/>
        <v>0</v>
      </c>
      <c r="CE291" s="180">
        <f t="shared" si="30"/>
        <v>0</v>
      </c>
      <c r="CF291" s="180">
        <f t="shared" si="30"/>
        <v>0</v>
      </c>
      <c r="CG291" s="180">
        <f t="shared" si="30"/>
        <v>0</v>
      </c>
      <c r="CH291" s="180">
        <f t="shared" si="30"/>
        <v>0</v>
      </c>
      <c r="CI291" s="180">
        <f t="shared" si="30"/>
        <v>0</v>
      </c>
      <c r="CJ291" s="180">
        <f t="shared" si="30"/>
        <v>0</v>
      </c>
      <c r="CK291" s="180">
        <f t="shared" si="30"/>
        <v>0</v>
      </c>
      <c r="CL291" s="180">
        <f t="shared" si="30"/>
        <v>0</v>
      </c>
      <c r="CM291" s="180">
        <f t="shared" si="30"/>
        <v>0</v>
      </c>
      <c r="CN291" s="180">
        <f t="shared" si="30"/>
        <v>0</v>
      </c>
      <c r="CO291" s="180">
        <f t="shared" si="30"/>
        <v>0</v>
      </c>
      <c r="CP291" s="180">
        <f t="shared" si="30"/>
        <v>0</v>
      </c>
      <c r="CQ291" s="180">
        <f t="shared" si="30"/>
        <v>0</v>
      </c>
      <c r="CR291" s="180">
        <f t="shared" si="30"/>
        <v>0</v>
      </c>
      <c r="CS291" s="180">
        <f t="shared" si="30"/>
        <v>0</v>
      </c>
      <c r="CT291" s="180">
        <f t="shared" si="30"/>
        <v>0</v>
      </c>
      <c r="CU291" s="180">
        <f t="shared" si="30"/>
        <v>0</v>
      </c>
      <c r="CV291" s="180">
        <f t="shared" si="30"/>
        <v>0</v>
      </c>
      <c r="CW291" s="180">
        <f t="shared" si="30"/>
        <v>0</v>
      </c>
      <c r="CX291" s="180">
        <f t="shared" si="30"/>
        <v>0</v>
      </c>
      <c r="CY291" s="180">
        <f t="shared" si="30"/>
        <v>0</v>
      </c>
      <c r="CZ291" s="180">
        <f t="shared" si="30"/>
        <v>0</v>
      </c>
    </row>
    <row r="292" spans="1:104" x14ac:dyDescent="0.3">
      <c r="A292" s="556">
        <v>973</v>
      </c>
      <c r="B292" s="180"/>
      <c r="C292" s="180">
        <v>223</v>
      </c>
      <c r="D292" s="180">
        <f t="shared" ref="D292:AI292" si="31">D223</f>
        <v>0</v>
      </c>
      <c r="E292" s="180">
        <f t="shared" si="31"/>
        <v>0</v>
      </c>
      <c r="F292" s="180">
        <f t="shared" si="31"/>
        <v>0</v>
      </c>
      <c r="G292" s="180">
        <f t="shared" si="31"/>
        <v>0</v>
      </c>
      <c r="H292" s="180">
        <f t="shared" si="31"/>
        <v>0</v>
      </c>
      <c r="I292" s="180">
        <f t="shared" si="31"/>
        <v>0</v>
      </c>
      <c r="J292" s="180">
        <f t="shared" si="31"/>
        <v>1</v>
      </c>
      <c r="K292" s="180">
        <f t="shared" si="31"/>
        <v>0</v>
      </c>
      <c r="L292" s="180">
        <f t="shared" si="31"/>
        <v>0</v>
      </c>
      <c r="M292" s="180">
        <f t="shared" si="31"/>
        <v>0</v>
      </c>
      <c r="N292" s="180">
        <f t="shared" si="31"/>
        <v>0</v>
      </c>
      <c r="O292" s="180">
        <f t="shared" si="31"/>
        <v>0</v>
      </c>
      <c r="P292" s="180">
        <f t="shared" si="31"/>
        <v>0</v>
      </c>
      <c r="Q292" s="180">
        <f t="shared" si="31"/>
        <v>0</v>
      </c>
      <c r="R292" s="180">
        <f t="shared" si="31"/>
        <v>0</v>
      </c>
      <c r="S292" s="180">
        <f t="shared" si="31"/>
        <v>0</v>
      </c>
      <c r="T292" s="180">
        <f t="shared" si="31"/>
        <v>0</v>
      </c>
      <c r="U292" s="180">
        <f t="shared" si="31"/>
        <v>0</v>
      </c>
      <c r="V292" s="180">
        <f t="shared" si="31"/>
        <v>0</v>
      </c>
      <c r="W292" s="180">
        <f t="shared" si="31"/>
        <v>0</v>
      </c>
      <c r="X292" s="180">
        <f t="shared" si="31"/>
        <v>0</v>
      </c>
      <c r="Y292" s="180">
        <f t="shared" si="31"/>
        <v>0</v>
      </c>
      <c r="Z292" s="180">
        <f t="shared" si="31"/>
        <v>0</v>
      </c>
      <c r="AA292" s="180">
        <f t="shared" si="31"/>
        <v>0</v>
      </c>
      <c r="AB292" s="180">
        <f t="shared" si="31"/>
        <v>0</v>
      </c>
      <c r="AC292" s="180">
        <f t="shared" si="31"/>
        <v>0</v>
      </c>
      <c r="AD292" s="180">
        <f t="shared" si="31"/>
        <v>0</v>
      </c>
      <c r="AE292" s="180">
        <f t="shared" si="31"/>
        <v>0</v>
      </c>
      <c r="AF292" s="180">
        <f t="shared" si="31"/>
        <v>0</v>
      </c>
      <c r="AG292" s="180">
        <f t="shared" si="31"/>
        <v>0</v>
      </c>
      <c r="AH292" s="180">
        <f t="shared" si="31"/>
        <v>0</v>
      </c>
      <c r="AI292" s="180">
        <f t="shared" si="31"/>
        <v>0</v>
      </c>
      <c r="AJ292" s="180">
        <f t="shared" ref="AJ292:BO292" si="32">AJ223</f>
        <v>0</v>
      </c>
      <c r="AK292" s="180">
        <f t="shared" si="32"/>
        <v>0</v>
      </c>
      <c r="AL292" s="180">
        <f t="shared" si="32"/>
        <v>0</v>
      </c>
      <c r="AM292" s="180">
        <f t="shared" si="32"/>
        <v>0</v>
      </c>
      <c r="AN292" s="180">
        <f t="shared" si="32"/>
        <v>0</v>
      </c>
      <c r="AO292" s="180">
        <f t="shared" si="32"/>
        <v>0</v>
      </c>
      <c r="AP292" s="180">
        <f t="shared" si="32"/>
        <v>0</v>
      </c>
      <c r="AQ292" s="180">
        <f t="shared" si="32"/>
        <v>0</v>
      </c>
      <c r="AR292" s="180">
        <f t="shared" si="32"/>
        <v>0</v>
      </c>
      <c r="AS292" s="180">
        <f t="shared" si="32"/>
        <v>0</v>
      </c>
      <c r="AT292" s="180">
        <f t="shared" si="32"/>
        <v>0</v>
      </c>
      <c r="AU292" s="180">
        <f t="shared" si="32"/>
        <v>0</v>
      </c>
      <c r="AV292" s="180">
        <f t="shared" si="32"/>
        <v>0</v>
      </c>
      <c r="AW292" s="180">
        <f t="shared" si="32"/>
        <v>0</v>
      </c>
      <c r="AX292" s="180">
        <f t="shared" si="32"/>
        <v>0</v>
      </c>
      <c r="AY292" s="180">
        <f t="shared" si="32"/>
        <v>0</v>
      </c>
      <c r="AZ292" s="180">
        <f t="shared" si="32"/>
        <v>0</v>
      </c>
      <c r="BA292" s="180">
        <f t="shared" si="32"/>
        <v>0</v>
      </c>
      <c r="BB292" s="180">
        <f t="shared" si="32"/>
        <v>0</v>
      </c>
      <c r="BC292" s="180">
        <f t="shared" si="32"/>
        <v>0</v>
      </c>
      <c r="BD292" s="180">
        <f t="shared" si="32"/>
        <v>0</v>
      </c>
      <c r="BE292" s="180">
        <f t="shared" si="32"/>
        <v>0</v>
      </c>
      <c r="BF292" s="180">
        <f t="shared" si="32"/>
        <v>0</v>
      </c>
      <c r="BG292" s="180">
        <f t="shared" si="32"/>
        <v>0</v>
      </c>
      <c r="BH292" s="180">
        <f t="shared" si="32"/>
        <v>0</v>
      </c>
      <c r="BI292" s="180">
        <f t="shared" si="32"/>
        <v>0</v>
      </c>
      <c r="BJ292" s="180">
        <f t="shared" si="32"/>
        <v>0</v>
      </c>
      <c r="BK292" s="180">
        <f t="shared" si="32"/>
        <v>0</v>
      </c>
      <c r="BL292" s="180">
        <f t="shared" si="32"/>
        <v>0</v>
      </c>
      <c r="BM292" s="180">
        <f t="shared" si="32"/>
        <v>0</v>
      </c>
      <c r="BN292" s="180">
        <f t="shared" si="32"/>
        <v>0</v>
      </c>
      <c r="BO292" s="180">
        <f t="shared" si="32"/>
        <v>0</v>
      </c>
      <c r="BP292" s="180">
        <f t="shared" ref="BP292:CZ292" si="33">BP223</f>
        <v>0</v>
      </c>
      <c r="BQ292" s="180">
        <f t="shared" si="33"/>
        <v>0</v>
      </c>
      <c r="BR292" s="180">
        <f t="shared" si="33"/>
        <v>0</v>
      </c>
      <c r="BS292" s="180">
        <f t="shared" si="33"/>
        <v>0</v>
      </c>
      <c r="BT292" s="180">
        <f t="shared" si="33"/>
        <v>0</v>
      </c>
      <c r="BU292" s="180">
        <f t="shared" si="33"/>
        <v>0</v>
      </c>
      <c r="BV292" s="180">
        <f t="shared" si="33"/>
        <v>0</v>
      </c>
      <c r="BW292" s="180">
        <f t="shared" si="33"/>
        <v>0</v>
      </c>
      <c r="BX292" s="180">
        <f t="shared" si="33"/>
        <v>0</v>
      </c>
      <c r="BY292" s="180">
        <f t="shared" si="33"/>
        <v>0</v>
      </c>
      <c r="BZ292" s="180">
        <f t="shared" si="33"/>
        <v>0</v>
      </c>
      <c r="CA292" s="180">
        <f t="shared" si="33"/>
        <v>0</v>
      </c>
      <c r="CB292" s="180">
        <f t="shared" si="33"/>
        <v>0</v>
      </c>
      <c r="CC292" s="180">
        <f t="shared" si="33"/>
        <v>0</v>
      </c>
      <c r="CD292" s="180">
        <f t="shared" si="33"/>
        <v>0</v>
      </c>
      <c r="CE292" s="180">
        <f t="shared" si="33"/>
        <v>0</v>
      </c>
      <c r="CF292" s="180">
        <f t="shared" si="33"/>
        <v>0</v>
      </c>
      <c r="CG292" s="180">
        <f t="shared" si="33"/>
        <v>0</v>
      </c>
      <c r="CH292" s="180">
        <f t="shared" si="33"/>
        <v>0</v>
      </c>
      <c r="CI292" s="180">
        <f t="shared" si="33"/>
        <v>0</v>
      </c>
      <c r="CJ292" s="180">
        <f t="shared" si="33"/>
        <v>0</v>
      </c>
      <c r="CK292" s="180">
        <f t="shared" si="33"/>
        <v>0</v>
      </c>
      <c r="CL292" s="180">
        <f t="shared" si="33"/>
        <v>0</v>
      </c>
      <c r="CM292" s="180">
        <f t="shared" si="33"/>
        <v>0</v>
      </c>
      <c r="CN292" s="180">
        <f t="shared" si="33"/>
        <v>0</v>
      </c>
      <c r="CO292" s="180">
        <f t="shared" si="33"/>
        <v>0</v>
      </c>
      <c r="CP292" s="180">
        <f t="shared" si="33"/>
        <v>0</v>
      </c>
      <c r="CQ292" s="180">
        <f t="shared" si="33"/>
        <v>0</v>
      </c>
      <c r="CR292" s="180">
        <f t="shared" si="33"/>
        <v>0</v>
      </c>
      <c r="CS292" s="180">
        <f t="shared" si="33"/>
        <v>0</v>
      </c>
      <c r="CT292" s="180">
        <f t="shared" si="33"/>
        <v>0</v>
      </c>
      <c r="CU292" s="180">
        <f t="shared" si="33"/>
        <v>0</v>
      </c>
      <c r="CV292" s="180">
        <f t="shared" si="33"/>
        <v>0</v>
      </c>
      <c r="CW292" s="180">
        <f t="shared" si="33"/>
        <v>0</v>
      </c>
      <c r="CX292" s="180">
        <f t="shared" si="33"/>
        <v>0</v>
      </c>
      <c r="CY292" s="180">
        <f t="shared" si="33"/>
        <v>0</v>
      </c>
      <c r="CZ292" s="180">
        <f t="shared" si="33"/>
        <v>0</v>
      </c>
    </row>
    <row r="293" spans="1:104" x14ac:dyDescent="0.3">
      <c r="A293" s="556">
        <v>974</v>
      </c>
      <c r="B293" s="180"/>
      <c r="C293" s="180">
        <v>223</v>
      </c>
      <c r="D293" s="180">
        <f t="shared" ref="D293:AI293" si="34">D224</f>
        <v>3</v>
      </c>
      <c r="E293" s="180">
        <f t="shared" si="34"/>
        <v>2</v>
      </c>
      <c r="F293" s="180">
        <f t="shared" si="34"/>
        <v>0</v>
      </c>
      <c r="G293" s="180">
        <f t="shared" si="34"/>
        <v>2</v>
      </c>
      <c r="H293" s="180">
        <f t="shared" si="34"/>
        <v>2</v>
      </c>
      <c r="I293" s="180">
        <f t="shared" si="34"/>
        <v>3</v>
      </c>
      <c r="J293" s="180">
        <f t="shared" si="34"/>
        <v>2</v>
      </c>
      <c r="K293" s="180">
        <f t="shared" si="34"/>
        <v>2</v>
      </c>
      <c r="L293" s="180">
        <f t="shared" si="34"/>
        <v>2</v>
      </c>
      <c r="M293" s="180">
        <f t="shared" si="34"/>
        <v>0</v>
      </c>
      <c r="N293" s="180">
        <f t="shared" si="34"/>
        <v>2</v>
      </c>
      <c r="O293" s="180">
        <f t="shared" si="34"/>
        <v>0</v>
      </c>
      <c r="P293" s="180">
        <f t="shared" si="34"/>
        <v>2</v>
      </c>
      <c r="Q293" s="180">
        <f t="shared" si="34"/>
        <v>2</v>
      </c>
      <c r="R293" s="180">
        <f t="shared" si="34"/>
        <v>2</v>
      </c>
      <c r="S293" s="180">
        <f t="shared" si="34"/>
        <v>2</v>
      </c>
      <c r="T293" s="180">
        <f t="shared" si="34"/>
        <v>3</v>
      </c>
      <c r="U293" s="180">
        <f t="shared" si="34"/>
        <v>2</v>
      </c>
      <c r="V293" s="180">
        <f t="shared" si="34"/>
        <v>3</v>
      </c>
      <c r="W293" s="180">
        <f t="shared" si="34"/>
        <v>2</v>
      </c>
      <c r="X293" s="180">
        <f t="shared" si="34"/>
        <v>2</v>
      </c>
      <c r="Y293" s="180">
        <f t="shared" si="34"/>
        <v>2</v>
      </c>
      <c r="Z293" s="180">
        <f t="shared" si="34"/>
        <v>2</v>
      </c>
      <c r="AA293" s="180">
        <f t="shared" si="34"/>
        <v>2</v>
      </c>
      <c r="AB293" s="180">
        <f t="shared" si="34"/>
        <v>3</v>
      </c>
      <c r="AC293" s="180">
        <f t="shared" si="34"/>
        <v>2</v>
      </c>
      <c r="AD293" s="180">
        <f t="shared" si="34"/>
        <v>2</v>
      </c>
      <c r="AE293" s="180">
        <f t="shared" si="34"/>
        <v>2</v>
      </c>
      <c r="AF293" s="180">
        <f t="shared" si="34"/>
        <v>3</v>
      </c>
      <c r="AG293" s="180">
        <f t="shared" si="34"/>
        <v>3</v>
      </c>
      <c r="AH293" s="180">
        <f t="shared" si="34"/>
        <v>3</v>
      </c>
      <c r="AI293" s="180">
        <f t="shared" si="34"/>
        <v>3</v>
      </c>
      <c r="AJ293" s="180">
        <f t="shared" ref="AJ293:BO293" si="35">AJ224</f>
        <v>2</v>
      </c>
      <c r="AK293" s="180">
        <f t="shared" si="35"/>
        <v>3</v>
      </c>
      <c r="AL293" s="180">
        <f t="shared" si="35"/>
        <v>3</v>
      </c>
      <c r="AM293" s="180">
        <f t="shared" si="35"/>
        <v>3</v>
      </c>
      <c r="AN293" s="180">
        <f t="shared" si="35"/>
        <v>2</v>
      </c>
      <c r="AO293" s="180">
        <f t="shared" si="35"/>
        <v>0</v>
      </c>
      <c r="AP293" s="180">
        <f t="shared" si="35"/>
        <v>2</v>
      </c>
      <c r="AQ293" s="180">
        <f t="shared" si="35"/>
        <v>2</v>
      </c>
      <c r="AR293" s="180">
        <f t="shared" si="35"/>
        <v>0</v>
      </c>
      <c r="AS293" s="180">
        <f t="shared" si="35"/>
        <v>0</v>
      </c>
      <c r="AT293" s="180">
        <f t="shared" si="35"/>
        <v>0</v>
      </c>
      <c r="AU293" s="180">
        <f t="shared" si="35"/>
        <v>2</v>
      </c>
      <c r="AV293" s="180">
        <f t="shared" si="35"/>
        <v>2</v>
      </c>
      <c r="AW293" s="180">
        <f t="shared" si="35"/>
        <v>0</v>
      </c>
      <c r="AX293" s="180">
        <f t="shared" si="35"/>
        <v>2</v>
      </c>
      <c r="AY293" s="180">
        <f t="shared" si="35"/>
        <v>2</v>
      </c>
      <c r="AZ293" s="180">
        <f t="shared" si="35"/>
        <v>0</v>
      </c>
      <c r="BA293" s="180">
        <f t="shared" si="35"/>
        <v>2</v>
      </c>
      <c r="BB293" s="180">
        <f t="shared" si="35"/>
        <v>2</v>
      </c>
      <c r="BC293" s="180">
        <f t="shared" si="35"/>
        <v>0</v>
      </c>
      <c r="BD293" s="180">
        <f t="shared" si="35"/>
        <v>3</v>
      </c>
      <c r="BE293" s="180">
        <f t="shared" si="35"/>
        <v>2</v>
      </c>
      <c r="BF293" s="180">
        <f t="shared" si="35"/>
        <v>0</v>
      </c>
      <c r="BG293" s="180">
        <f t="shared" si="35"/>
        <v>0</v>
      </c>
      <c r="BH293" s="180">
        <f t="shared" si="35"/>
        <v>2</v>
      </c>
      <c r="BI293" s="180">
        <f t="shared" si="35"/>
        <v>2</v>
      </c>
      <c r="BJ293" s="180">
        <f t="shared" si="35"/>
        <v>2</v>
      </c>
      <c r="BK293" s="180">
        <f t="shared" si="35"/>
        <v>2</v>
      </c>
      <c r="BL293" s="180">
        <f t="shared" si="35"/>
        <v>2</v>
      </c>
      <c r="BM293" s="180">
        <f t="shared" si="35"/>
        <v>3</v>
      </c>
      <c r="BN293" s="180">
        <f t="shared" si="35"/>
        <v>2</v>
      </c>
      <c r="BO293" s="180">
        <f t="shared" si="35"/>
        <v>2</v>
      </c>
      <c r="BP293" s="180">
        <f t="shared" ref="BP293:CZ293" si="36">BP224</f>
        <v>2</v>
      </c>
      <c r="BQ293" s="180">
        <f t="shared" si="36"/>
        <v>3</v>
      </c>
      <c r="BR293" s="180">
        <f t="shared" si="36"/>
        <v>2</v>
      </c>
      <c r="BS293" s="180">
        <f t="shared" si="36"/>
        <v>2</v>
      </c>
      <c r="BT293" s="180">
        <f t="shared" si="36"/>
        <v>2</v>
      </c>
      <c r="BU293" s="180">
        <f t="shared" si="36"/>
        <v>2</v>
      </c>
      <c r="BV293" s="180">
        <f t="shared" si="36"/>
        <v>2</v>
      </c>
      <c r="BW293" s="180">
        <f t="shared" si="36"/>
        <v>3</v>
      </c>
      <c r="BX293" s="180">
        <f t="shared" si="36"/>
        <v>0</v>
      </c>
      <c r="BY293" s="180">
        <f t="shared" si="36"/>
        <v>3</v>
      </c>
      <c r="BZ293" s="180">
        <f t="shared" si="36"/>
        <v>2</v>
      </c>
      <c r="CA293" s="180">
        <f t="shared" si="36"/>
        <v>2</v>
      </c>
      <c r="CB293" s="180">
        <f t="shared" si="36"/>
        <v>0</v>
      </c>
      <c r="CC293" s="180">
        <f t="shared" si="36"/>
        <v>0</v>
      </c>
      <c r="CD293" s="180">
        <f t="shared" si="36"/>
        <v>0</v>
      </c>
      <c r="CE293" s="180">
        <f t="shared" si="36"/>
        <v>0</v>
      </c>
      <c r="CF293" s="180">
        <f t="shared" si="36"/>
        <v>0</v>
      </c>
      <c r="CG293" s="180">
        <f t="shared" si="36"/>
        <v>0</v>
      </c>
      <c r="CH293" s="180">
        <f t="shared" si="36"/>
        <v>0</v>
      </c>
      <c r="CI293" s="180">
        <f t="shared" si="36"/>
        <v>0</v>
      </c>
      <c r="CJ293" s="180">
        <f t="shared" si="36"/>
        <v>0</v>
      </c>
      <c r="CK293" s="180">
        <f t="shared" si="36"/>
        <v>0</v>
      </c>
      <c r="CL293" s="180">
        <f t="shared" si="36"/>
        <v>0</v>
      </c>
      <c r="CM293" s="180">
        <f t="shared" si="36"/>
        <v>0</v>
      </c>
      <c r="CN293" s="180">
        <f t="shared" si="36"/>
        <v>0</v>
      </c>
      <c r="CO293" s="180">
        <f t="shared" si="36"/>
        <v>0</v>
      </c>
      <c r="CP293" s="180">
        <f t="shared" si="36"/>
        <v>0</v>
      </c>
      <c r="CQ293" s="180">
        <f t="shared" si="36"/>
        <v>0</v>
      </c>
      <c r="CR293" s="180">
        <f t="shared" si="36"/>
        <v>0</v>
      </c>
      <c r="CS293" s="180">
        <f t="shared" si="36"/>
        <v>0</v>
      </c>
      <c r="CT293" s="180">
        <f t="shared" si="36"/>
        <v>0</v>
      </c>
      <c r="CU293" s="180">
        <f t="shared" si="36"/>
        <v>0</v>
      </c>
      <c r="CV293" s="180">
        <f t="shared" si="36"/>
        <v>0</v>
      </c>
      <c r="CW293" s="180">
        <f t="shared" si="36"/>
        <v>0</v>
      </c>
      <c r="CX293" s="180">
        <f t="shared" si="36"/>
        <v>0</v>
      </c>
      <c r="CY293" s="180">
        <f t="shared" si="36"/>
        <v>0</v>
      </c>
      <c r="CZ293" s="180">
        <f t="shared" si="36"/>
        <v>0</v>
      </c>
    </row>
    <row r="294" spans="1:104" x14ac:dyDescent="0.3">
      <c r="A294" s="556">
        <v>975</v>
      </c>
      <c r="B294" s="180"/>
      <c r="C294" s="180">
        <v>223</v>
      </c>
      <c r="D294" s="180">
        <f t="shared" ref="D294:AI294" si="37">D225</f>
        <v>1</v>
      </c>
      <c r="E294" s="180">
        <f t="shared" si="37"/>
        <v>1</v>
      </c>
      <c r="F294" s="180">
        <f t="shared" si="37"/>
        <v>0</v>
      </c>
      <c r="G294" s="180">
        <f t="shared" si="37"/>
        <v>2</v>
      </c>
      <c r="H294" s="180">
        <f t="shared" si="37"/>
        <v>1</v>
      </c>
      <c r="I294" s="180">
        <f t="shared" si="37"/>
        <v>1</v>
      </c>
      <c r="J294" s="180">
        <f t="shared" si="37"/>
        <v>1</v>
      </c>
      <c r="K294" s="180">
        <f t="shared" si="37"/>
        <v>1</v>
      </c>
      <c r="L294" s="180">
        <f t="shared" si="37"/>
        <v>1</v>
      </c>
      <c r="M294" s="180">
        <f t="shared" si="37"/>
        <v>0</v>
      </c>
      <c r="N294" s="180">
        <f t="shared" si="37"/>
        <v>1</v>
      </c>
      <c r="O294" s="180">
        <f t="shared" si="37"/>
        <v>0</v>
      </c>
      <c r="P294" s="180">
        <f t="shared" si="37"/>
        <v>1</v>
      </c>
      <c r="Q294" s="180">
        <f t="shared" si="37"/>
        <v>2</v>
      </c>
      <c r="R294" s="180">
        <f t="shared" si="37"/>
        <v>2</v>
      </c>
      <c r="S294" s="180">
        <f t="shared" si="37"/>
        <v>1</v>
      </c>
      <c r="T294" s="180">
        <f t="shared" si="37"/>
        <v>1</v>
      </c>
      <c r="U294" s="180">
        <f t="shared" si="37"/>
        <v>1</v>
      </c>
      <c r="V294" s="180">
        <f t="shared" si="37"/>
        <v>2</v>
      </c>
      <c r="W294" s="180">
        <f t="shared" si="37"/>
        <v>2</v>
      </c>
      <c r="X294" s="180">
        <f t="shared" si="37"/>
        <v>2</v>
      </c>
      <c r="Y294" s="180">
        <f t="shared" si="37"/>
        <v>2</v>
      </c>
      <c r="Z294" s="180">
        <f t="shared" si="37"/>
        <v>2</v>
      </c>
      <c r="AA294" s="180">
        <f t="shared" si="37"/>
        <v>1</v>
      </c>
      <c r="AB294" s="180">
        <f t="shared" si="37"/>
        <v>2</v>
      </c>
      <c r="AC294" s="180">
        <f t="shared" si="37"/>
        <v>2</v>
      </c>
      <c r="AD294" s="180">
        <f t="shared" si="37"/>
        <v>1</v>
      </c>
      <c r="AE294" s="180">
        <f t="shared" si="37"/>
        <v>1</v>
      </c>
      <c r="AF294" s="180">
        <f t="shared" si="37"/>
        <v>1</v>
      </c>
      <c r="AG294" s="180">
        <f t="shared" si="37"/>
        <v>1</v>
      </c>
      <c r="AH294" s="180">
        <f t="shared" si="37"/>
        <v>1</v>
      </c>
      <c r="AI294" s="180">
        <f t="shared" si="37"/>
        <v>2</v>
      </c>
      <c r="AJ294" s="180">
        <f t="shared" ref="AJ294:BO294" si="38">AJ225</f>
        <v>1</v>
      </c>
      <c r="AK294" s="180">
        <f t="shared" si="38"/>
        <v>1</v>
      </c>
      <c r="AL294" s="180">
        <f t="shared" si="38"/>
        <v>2</v>
      </c>
      <c r="AM294" s="180">
        <f t="shared" si="38"/>
        <v>1</v>
      </c>
      <c r="AN294" s="180">
        <f t="shared" si="38"/>
        <v>2</v>
      </c>
      <c r="AO294" s="180">
        <f t="shared" si="38"/>
        <v>0</v>
      </c>
      <c r="AP294" s="180">
        <f t="shared" si="38"/>
        <v>2</v>
      </c>
      <c r="AQ294" s="180">
        <f t="shared" si="38"/>
        <v>2</v>
      </c>
      <c r="AR294" s="180">
        <f t="shared" si="38"/>
        <v>0</v>
      </c>
      <c r="AS294" s="180">
        <f t="shared" si="38"/>
        <v>0</v>
      </c>
      <c r="AT294" s="180">
        <f t="shared" si="38"/>
        <v>0</v>
      </c>
      <c r="AU294" s="180">
        <f t="shared" si="38"/>
        <v>1</v>
      </c>
      <c r="AV294" s="180">
        <f t="shared" si="38"/>
        <v>1</v>
      </c>
      <c r="AW294" s="180">
        <f t="shared" si="38"/>
        <v>0</v>
      </c>
      <c r="AX294" s="180">
        <f t="shared" si="38"/>
        <v>2</v>
      </c>
      <c r="AY294" s="180">
        <f t="shared" si="38"/>
        <v>2</v>
      </c>
      <c r="AZ294" s="180">
        <f t="shared" si="38"/>
        <v>0</v>
      </c>
      <c r="BA294" s="180">
        <f t="shared" si="38"/>
        <v>1</v>
      </c>
      <c r="BB294" s="180">
        <f t="shared" si="38"/>
        <v>2</v>
      </c>
      <c r="BC294" s="180">
        <f t="shared" si="38"/>
        <v>0</v>
      </c>
      <c r="BD294" s="180">
        <f t="shared" si="38"/>
        <v>1</v>
      </c>
      <c r="BE294" s="180">
        <f t="shared" si="38"/>
        <v>1</v>
      </c>
      <c r="BF294" s="180">
        <f t="shared" si="38"/>
        <v>0</v>
      </c>
      <c r="BG294" s="180">
        <f t="shared" si="38"/>
        <v>0</v>
      </c>
      <c r="BH294" s="180">
        <f t="shared" si="38"/>
        <v>1</v>
      </c>
      <c r="BI294" s="180">
        <f t="shared" si="38"/>
        <v>2</v>
      </c>
      <c r="BJ294" s="180">
        <f t="shared" si="38"/>
        <v>1</v>
      </c>
      <c r="BK294" s="180">
        <f t="shared" si="38"/>
        <v>1</v>
      </c>
      <c r="BL294" s="180">
        <f t="shared" si="38"/>
        <v>2</v>
      </c>
      <c r="BM294" s="180">
        <f t="shared" si="38"/>
        <v>2</v>
      </c>
      <c r="BN294" s="180">
        <f t="shared" si="38"/>
        <v>1</v>
      </c>
      <c r="BO294" s="180">
        <f t="shared" si="38"/>
        <v>2</v>
      </c>
      <c r="BP294" s="180">
        <f t="shared" ref="BP294:CZ294" si="39">BP225</f>
        <v>2</v>
      </c>
      <c r="BQ294" s="180">
        <f t="shared" si="39"/>
        <v>1</v>
      </c>
      <c r="BR294" s="180">
        <f t="shared" si="39"/>
        <v>1</v>
      </c>
      <c r="BS294" s="180">
        <f t="shared" si="39"/>
        <v>1</v>
      </c>
      <c r="BT294" s="180">
        <f t="shared" si="39"/>
        <v>1</v>
      </c>
      <c r="BU294" s="180">
        <f t="shared" si="39"/>
        <v>1</v>
      </c>
      <c r="BV294" s="180">
        <f t="shared" si="39"/>
        <v>1</v>
      </c>
      <c r="BW294" s="180">
        <f t="shared" si="39"/>
        <v>1</v>
      </c>
      <c r="BX294" s="180">
        <f t="shared" si="39"/>
        <v>0</v>
      </c>
      <c r="BY294" s="180">
        <f t="shared" si="39"/>
        <v>1</v>
      </c>
      <c r="BZ294" s="180">
        <f t="shared" si="39"/>
        <v>1</v>
      </c>
      <c r="CA294" s="180">
        <f t="shared" si="39"/>
        <v>1</v>
      </c>
      <c r="CB294" s="180">
        <f t="shared" si="39"/>
        <v>0</v>
      </c>
      <c r="CC294" s="180">
        <f t="shared" si="39"/>
        <v>0</v>
      </c>
      <c r="CD294" s="180">
        <f t="shared" si="39"/>
        <v>0</v>
      </c>
      <c r="CE294" s="180">
        <f t="shared" si="39"/>
        <v>0</v>
      </c>
      <c r="CF294" s="180">
        <f t="shared" si="39"/>
        <v>0</v>
      </c>
      <c r="CG294" s="180">
        <f t="shared" si="39"/>
        <v>0</v>
      </c>
      <c r="CH294" s="180">
        <f t="shared" si="39"/>
        <v>0</v>
      </c>
      <c r="CI294" s="180">
        <f t="shared" si="39"/>
        <v>0</v>
      </c>
      <c r="CJ294" s="180">
        <f t="shared" si="39"/>
        <v>0</v>
      </c>
      <c r="CK294" s="180">
        <f t="shared" si="39"/>
        <v>0</v>
      </c>
      <c r="CL294" s="180">
        <f t="shared" si="39"/>
        <v>0</v>
      </c>
      <c r="CM294" s="180">
        <f t="shared" si="39"/>
        <v>0</v>
      </c>
      <c r="CN294" s="180">
        <f t="shared" si="39"/>
        <v>0</v>
      </c>
      <c r="CO294" s="180">
        <f t="shared" si="39"/>
        <v>0</v>
      </c>
      <c r="CP294" s="180">
        <f t="shared" si="39"/>
        <v>0</v>
      </c>
      <c r="CQ294" s="180">
        <f t="shared" si="39"/>
        <v>0</v>
      </c>
      <c r="CR294" s="180">
        <f t="shared" si="39"/>
        <v>0</v>
      </c>
      <c r="CS294" s="180">
        <f t="shared" si="39"/>
        <v>0</v>
      </c>
      <c r="CT294" s="180">
        <f t="shared" si="39"/>
        <v>0</v>
      </c>
      <c r="CU294" s="180">
        <f t="shared" si="39"/>
        <v>0</v>
      </c>
      <c r="CV294" s="180">
        <f t="shared" si="39"/>
        <v>0</v>
      </c>
      <c r="CW294" s="180">
        <f t="shared" si="39"/>
        <v>0</v>
      </c>
      <c r="CX294" s="180">
        <f t="shared" si="39"/>
        <v>0</v>
      </c>
      <c r="CY294" s="180">
        <f t="shared" si="39"/>
        <v>0</v>
      </c>
      <c r="CZ294" s="180">
        <f t="shared" si="39"/>
        <v>0</v>
      </c>
    </row>
    <row r="295" spans="1:104" x14ac:dyDescent="0.3">
      <c r="A295" s="556">
        <v>979</v>
      </c>
      <c r="B295" s="180"/>
      <c r="C295" s="180">
        <v>223</v>
      </c>
      <c r="D295" s="180">
        <f t="shared" ref="D295:AI295" si="40">D226</f>
        <v>1</v>
      </c>
      <c r="E295" s="180">
        <f t="shared" si="40"/>
        <v>1</v>
      </c>
      <c r="F295" s="180">
        <f t="shared" si="40"/>
        <v>0</v>
      </c>
      <c r="G295" s="180">
        <f t="shared" si="40"/>
        <v>1</v>
      </c>
      <c r="H295" s="180">
        <f t="shared" si="40"/>
        <v>2</v>
      </c>
      <c r="I295" s="180">
        <f t="shared" si="40"/>
        <v>2</v>
      </c>
      <c r="J295" s="180">
        <f t="shared" si="40"/>
        <v>2</v>
      </c>
      <c r="K295" s="180">
        <f t="shared" si="40"/>
        <v>2</v>
      </c>
      <c r="L295" s="180">
        <f t="shared" si="40"/>
        <v>2</v>
      </c>
      <c r="M295" s="180">
        <f t="shared" si="40"/>
        <v>0</v>
      </c>
      <c r="N295" s="180">
        <f t="shared" si="40"/>
        <v>1</v>
      </c>
      <c r="O295" s="180">
        <f t="shared" si="40"/>
        <v>0</v>
      </c>
      <c r="P295" s="180">
        <f t="shared" si="40"/>
        <v>2</v>
      </c>
      <c r="Q295" s="180">
        <f t="shared" si="40"/>
        <v>1</v>
      </c>
      <c r="R295" s="180">
        <f t="shared" si="40"/>
        <v>1</v>
      </c>
      <c r="S295" s="180">
        <f t="shared" si="40"/>
        <v>1</v>
      </c>
      <c r="T295" s="180">
        <f t="shared" si="40"/>
        <v>1</v>
      </c>
      <c r="U295" s="180">
        <f t="shared" si="40"/>
        <v>2</v>
      </c>
      <c r="V295" s="180">
        <f t="shared" si="40"/>
        <v>1</v>
      </c>
      <c r="W295" s="180">
        <f t="shared" si="40"/>
        <v>1</v>
      </c>
      <c r="X295" s="180">
        <f t="shared" si="40"/>
        <v>1</v>
      </c>
      <c r="Y295" s="180">
        <f t="shared" si="40"/>
        <v>1</v>
      </c>
      <c r="Z295" s="180">
        <f t="shared" si="40"/>
        <v>1</v>
      </c>
      <c r="AA295" s="180">
        <f t="shared" si="40"/>
        <v>2</v>
      </c>
      <c r="AB295" s="180">
        <f t="shared" si="40"/>
        <v>1</v>
      </c>
      <c r="AC295" s="180">
        <f t="shared" si="40"/>
        <v>1</v>
      </c>
      <c r="AD295" s="180">
        <f t="shared" si="40"/>
        <v>2</v>
      </c>
      <c r="AE295" s="180">
        <f t="shared" si="40"/>
        <v>1</v>
      </c>
      <c r="AF295" s="180">
        <f t="shared" si="40"/>
        <v>1</v>
      </c>
      <c r="AG295" s="180">
        <f t="shared" si="40"/>
        <v>1</v>
      </c>
      <c r="AH295" s="180">
        <f t="shared" si="40"/>
        <v>1</v>
      </c>
      <c r="AI295" s="180">
        <f t="shared" si="40"/>
        <v>1</v>
      </c>
      <c r="AJ295" s="180">
        <f t="shared" ref="AJ295:BO295" si="41">AJ226</f>
        <v>2</v>
      </c>
      <c r="AK295" s="180">
        <f t="shared" si="41"/>
        <v>1</v>
      </c>
      <c r="AL295" s="180">
        <f t="shared" si="41"/>
        <v>1</v>
      </c>
      <c r="AM295" s="180">
        <f t="shared" si="41"/>
        <v>1</v>
      </c>
      <c r="AN295" s="180">
        <f t="shared" si="41"/>
        <v>1</v>
      </c>
      <c r="AO295" s="180">
        <f t="shared" si="41"/>
        <v>0</v>
      </c>
      <c r="AP295" s="180">
        <f t="shared" si="41"/>
        <v>1</v>
      </c>
      <c r="AQ295" s="180">
        <f t="shared" si="41"/>
        <v>1</v>
      </c>
      <c r="AR295" s="180">
        <f t="shared" si="41"/>
        <v>0</v>
      </c>
      <c r="AS295" s="180">
        <f t="shared" si="41"/>
        <v>0</v>
      </c>
      <c r="AT295" s="180">
        <f t="shared" si="41"/>
        <v>0</v>
      </c>
      <c r="AU295" s="180">
        <f t="shared" si="41"/>
        <v>2</v>
      </c>
      <c r="AV295" s="180">
        <f t="shared" si="41"/>
        <v>2</v>
      </c>
      <c r="AW295" s="180">
        <f t="shared" si="41"/>
        <v>0</v>
      </c>
      <c r="AX295" s="180">
        <f t="shared" si="41"/>
        <v>1</v>
      </c>
      <c r="AY295" s="180">
        <f t="shared" si="41"/>
        <v>1</v>
      </c>
      <c r="AZ295" s="180">
        <f t="shared" si="41"/>
        <v>0</v>
      </c>
      <c r="BA295" s="180">
        <f t="shared" si="41"/>
        <v>1</v>
      </c>
      <c r="BB295" s="180">
        <f t="shared" si="41"/>
        <v>1</v>
      </c>
      <c r="BC295" s="180">
        <f t="shared" si="41"/>
        <v>0</v>
      </c>
      <c r="BD295" s="180">
        <f t="shared" si="41"/>
        <v>2</v>
      </c>
      <c r="BE295" s="180">
        <f t="shared" si="41"/>
        <v>1</v>
      </c>
      <c r="BF295" s="180">
        <f t="shared" si="41"/>
        <v>0</v>
      </c>
      <c r="BG295" s="180">
        <f t="shared" si="41"/>
        <v>0</v>
      </c>
      <c r="BH295" s="180">
        <f t="shared" si="41"/>
        <v>2</v>
      </c>
      <c r="BI295" s="180">
        <f t="shared" si="41"/>
        <v>1</v>
      </c>
      <c r="BJ295" s="180">
        <f t="shared" si="41"/>
        <v>1</v>
      </c>
      <c r="BK295" s="180">
        <f t="shared" si="41"/>
        <v>1</v>
      </c>
      <c r="BL295" s="180">
        <f t="shared" si="41"/>
        <v>1</v>
      </c>
      <c r="BM295" s="180">
        <f t="shared" si="41"/>
        <v>1</v>
      </c>
      <c r="BN295" s="180">
        <f t="shared" si="41"/>
        <v>1</v>
      </c>
      <c r="BO295" s="180">
        <f t="shared" si="41"/>
        <v>1</v>
      </c>
      <c r="BP295" s="180">
        <f t="shared" ref="BP295:CZ295" si="42">BP226</f>
        <v>1</v>
      </c>
      <c r="BQ295" s="180">
        <f t="shared" si="42"/>
        <v>2</v>
      </c>
      <c r="BR295" s="180">
        <f t="shared" si="42"/>
        <v>2</v>
      </c>
      <c r="BS295" s="180">
        <f t="shared" si="42"/>
        <v>2</v>
      </c>
      <c r="BT295" s="180">
        <f t="shared" si="42"/>
        <v>1</v>
      </c>
      <c r="BU295" s="180">
        <f t="shared" si="42"/>
        <v>1</v>
      </c>
      <c r="BV295" s="180">
        <f t="shared" si="42"/>
        <v>2</v>
      </c>
      <c r="BW295" s="180">
        <f t="shared" si="42"/>
        <v>1</v>
      </c>
      <c r="BX295" s="180">
        <f t="shared" si="42"/>
        <v>0</v>
      </c>
      <c r="BY295" s="180">
        <f t="shared" si="42"/>
        <v>1</v>
      </c>
      <c r="BZ295" s="180">
        <f t="shared" si="42"/>
        <v>1</v>
      </c>
      <c r="CA295" s="180">
        <f t="shared" si="42"/>
        <v>1</v>
      </c>
      <c r="CB295" s="180">
        <f t="shared" si="42"/>
        <v>0</v>
      </c>
      <c r="CC295" s="180">
        <f t="shared" si="42"/>
        <v>0</v>
      </c>
      <c r="CD295" s="180">
        <f t="shared" si="42"/>
        <v>0</v>
      </c>
      <c r="CE295" s="180">
        <f t="shared" si="42"/>
        <v>0</v>
      </c>
      <c r="CF295" s="180">
        <f t="shared" si="42"/>
        <v>0</v>
      </c>
      <c r="CG295" s="180">
        <f t="shared" si="42"/>
        <v>0</v>
      </c>
      <c r="CH295" s="180">
        <f t="shared" si="42"/>
        <v>0</v>
      </c>
      <c r="CI295" s="180">
        <f t="shared" si="42"/>
        <v>0</v>
      </c>
      <c r="CJ295" s="180">
        <f t="shared" si="42"/>
        <v>0</v>
      </c>
      <c r="CK295" s="180">
        <f t="shared" si="42"/>
        <v>0</v>
      </c>
      <c r="CL295" s="180">
        <f t="shared" si="42"/>
        <v>0</v>
      </c>
      <c r="CM295" s="180">
        <f t="shared" si="42"/>
        <v>0</v>
      </c>
      <c r="CN295" s="180">
        <f t="shared" si="42"/>
        <v>0</v>
      </c>
      <c r="CO295" s="180">
        <f t="shared" si="42"/>
        <v>0</v>
      </c>
      <c r="CP295" s="180">
        <f t="shared" si="42"/>
        <v>0</v>
      </c>
      <c r="CQ295" s="180">
        <f t="shared" si="42"/>
        <v>0</v>
      </c>
      <c r="CR295" s="180">
        <f t="shared" si="42"/>
        <v>0</v>
      </c>
      <c r="CS295" s="180">
        <f t="shared" si="42"/>
        <v>0</v>
      </c>
      <c r="CT295" s="180">
        <f t="shared" si="42"/>
        <v>0</v>
      </c>
      <c r="CU295" s="180">
        <f t="shared" si="42"/>
        <v>0</v>
      </c>
      <c r="CV295" s="180">
        <f t="shared" si="42"/>
        <v>0</v>
      </c>
      <c r="CW295" s="180">
        <f t="shared" si="42"/>
        <v>0</v>
      </c>
      <c r="CX295" s="180">
        <f t="shared" si="42"/>
        <v>0</v>
      </c>
      <c r="CY295" s="180">
        <f t="shared" si="42"/>
        <v>0</v>
      </c>
      <c r="CZ295" s="180">
        <f t="shared" si="42"/>
        <v>0</v>
      </c>
    </row>
    <row r="296" spans="1:104" x14ac:dyDescent="0.3">
      <c r="A296" s="155">
        <v>995</v>
      </c>
      <c r="B296" s="180"/>
      <c r="C296" s="180">
        <v>236</v>
      </c>
      <c r="D296" s="180">
        <f t="shared" ref="D296:AI296" si="43">D236</f>
        <v>0</v>
      </c>
      <c r="E296" s="180">
        <f t="shared" si="43"/>
        <v>0</v>
      </c>
      <c r="F296" s="180">
        <f t="shared" si="43"/>
        <v>0</v>
      </c>
      <c r="G296" s="180">
        <f t="shared" si="43"/>
        <v>0</v>
      </c>
      <c r="H296" s="180">
        <f t="shared" si="43"/>
        <v>0</v>
      </c>
      <c r="I296" s="180">
        <f t="shared" si="43"/>
        <v>0</v>
      </c>
      <c r="J296" s="180">
        <f t="shared" si="43"/>
        <v>0</v>
      </c>
      <c r="K296" s="180">
        <f t="shared" si="43"/>
        <v>0</v>
      </c>
      <c r="L296" s="180">
        <f t="shared" si="43"/>
        <v>0</v>
      </c>
      <c r="M296" s="180">
        <f t="shared" si="43"/>
        <v>0</v>
      </c>
      <c r="N296" s="180">
        <f t="shared" si="43"/>
        <v>0</v>
      </c>
      <c r="O296" s="180">
        <f t="shared" si="43"/>
        <v>0</v>
      </c>
      <c r="P296" s="180">
        <f t="shared" si="43"/>
        <v>0</v>
      </c>
      <c r="Q296" s="180">
        <f t="shared" si="43"/>
        <v>0</v>
      </c>
      <c r="R296" s="180">
        <f t="shared" si="43"/>
        <v>0</v>
      </c>
      <c r="S296" s="180">
        <f t="shared" si="43"/>
        <v>0.09</v>
      </c>
      <c r="T296" s="180">
        <f t="shared" si="43"/>
        <v>0</v>
      </c>
      <c r="U296" s="180">
        <f t="shared" si="43"/>
        <v>0.08</v>
      </c>
      <c r="V296" s="180">
        <f t="shared" si="43"/>
        <v>0</v>
      </c>
      <c r="W296" s="180">
        <f t="shared" si="43"/>
        <v>0</v>
      </c>
      <c r="X296" s="180">
        <f t="shared" si="43"/>
        <v>0</v>
      </c>
      <c r="Y296" s="180">
        <f t="shared" si="43"/>
        <v>0</v>
      </c>
      <c r="Z296" s="180">
        <f t="shared" si="43"/>
        <v>0.08</v>
      </c>
      <c r="AA296" s="180">
        <f t="shared" si="43"/>
        <v>0</v>
      </c>
      <c r="AB296" s="180">
        <f t="shared" si="43"/>
        <v>0</v>
      </c>
      <c r="AC296" s="180">
        <f t="shared" si="43"/>
        <v>0</v>
      </c>
      <c r="AD296" s="180">
        <f t="shared" si="43"/>
        <v>0</v>
      </c>
      <c r="AE296" s="180">
        <f t="shared" si="43"/>
        <v>7.0000000000000007E-2</v>
      </c>
      <c r="AF296" s="180">
        <f t="shared" si="43"/>
        <v>0</v>
      </c>
      <c r="AG296" s="180">
        <f t="shared" si="43"/>
        <v>0</v>
      </c>
      <c r="AH296" s="180">
        <f t="shared" si="43"/>
        <v>0</v>
      </c>
      <c r="AI296" s="180">
        <f t="shared" si="43"/>
        <v>0</v>
      </c>
      <c r="AJ296" s="180">
        <f t="shared" ref="AJ296:BO296" si="44">AJ236</f>
        <v>0.08</v>
      </c>
      <c r="AK296" s="180">
        <f t="shared" si="44"/>
        <v>0</v>
      </c>
      <c r="AL296" s="180">
        <f t="shared" si="44"/>
        <v>0</v>
      </c>
      <c r="AM296" s="180">
        <f t="shared" si="44"/>
        <v>0</v>
      </c>
      <c r="AN296" s="180">
        <f t="shared" si="44"/>
        <v>0</v>
      </c>
      <c r="AO296" s="180">
        <f t="shared" si="44"/>
        <v>0</v>
      </c>
      <c r="AP296" s="180">
        <f t="shared" si="44"/>
        <v>0</v>
      </c>
      <c r="AQ296" s="180">
        <f t="shared" si="44"/>
        <v>7.0000000000000007E-2</v>
      </c>
      <c r="AR296" s="180">
        <f t="shared" si="44"/>
        <v>0</v>
      </c>
      <c r="AS296" s="180">
        <f t="shared" si="44"/>
        <v>0</v>
      </c>
      <c r="AT296" s="180">
        <f t="shared" si="44"/>
        <v>0</v>
      </c>
      <c r="AU296" s="180">
        <f t="shared" si="44"/>
        <v>7.0000000000000007E-2</v>
      </c>
      <c r="AV296" s="180">
        <f t="shared" si="44"/>
        <v>0</v>
      </c>
      <c r="AW296" s="180">
        <f t="shared" si="44"/>
        <v>0</v>
      </c>
      <c r="AX296" s="180">
        <f t="shared" si="44"/>
        <v>0</v>
      </c>
      <c r="AY296" s="180">
        <f t="shared" si="44"/>
        <v>0</v>
      </c>
      <c r="AZ296" s="180">
        <f t="shared" si="44"/>
        <v>0.08</v>
      </c>
      <c r="BA296" s="180">
        <f t="shared" si="44"/>
        <v>0</v>
      </c>
      <c r="BB296" s="180">
        <f t="shared" si="44"/>
        <v>0</v>
      </c>
      <c r="BC296" s="180">
        <f t="shared" si="44"/>
        <v>0.09</v>
      </c>
      <c r="BD296" s="180">
        <f t="shared" si="44"/>
        <v>0</v>
      </c>
      <c r="BE296" s="180">
        <f t="shared" si="44"/>
        <v>0.08</v>
      </c>
      <c r="BF296" s="180">
        <f t="shared" si="44"/>
        <v>0.09</v>
      </c>
      <c r="BG296" s="180">
        <f t="shared" si="44"/>
        <v>0</v>
      </c>
      <c r="BH296" s="180">
        <f t="shared" si="44"/>
        <v>0</v>
      </c>
      <c r="BI296" s="180">
        <f t="shared" si="44"/>
        <v>0</v>
      </c>
      <c r="BJ296" s="180">
        <f t="shared" si="44"/>
        <v>0</v>
      </c>
      <c r="BK296" s="180">
        <f t="shared" si="44"/>
        <v>7.0000000000000007E-2</v>
      </c>
      <c r="BL296" s="180">
        <f t="shared" si="44"/>
        <v>0</v>
      </c>
      <c r="BM296" s="180">
        <f t="shared" si="44"/>
        <v>0</v>
      </c>
      <c r="BN296" s="180">
        <f t="shared" si="44"/>
        <v>0</v>
      </c>
      <c r="BO296" s="180">
        <f t="shared" si="44"/>
        <v>0</v>
      </c>
      <c r="BP296" s="180">
        <f t="shared" ref="BP296:CZ296" si="45">BP236</f>
        <v>0</v>
      </c>
      <c r="BQ296" s="180">
        <f t="shared" si="45"/>
        <v>0</v>
      </c>
      <c r="BR296" s="180">
        <f t="shared" si="45"/>
        <v>0</v>
      </c>
      <c r="BS296" s="180">
        <f t="shared" si="45"/>
        <v>0</v>
      </c>
      <c r="BT296" s="180">
        <f t="shared" si="45"/>
        <v>0</v>
      </c>
      <c r="BU296" s="180">
        <f t="shared" si="45"/>
        <v>0</v>
      </c>
      <c r="BV296" s="180">
        <f t="shared" si="45"/>
        <v>0</v>
      </c>
      <c r="BW296" s="180">
        <f t="shared" si="45"/>
        <v>0</v>
      </c>
      <c r="BX296" s="180">
        <f t="shared" si="45"/>
        <v>0</v>
      </c>
      <c r="BY296" s="180">
        <f t="shared" si="45"/>
        <v>0</v>
      </c>
      <c r="BZ296" s="180">
        <f t="shared" si="45"/>
        <v>0</v>
      </c>
      <c r="CA296" s="180">
        <f t="shared" si="45"/>
        <v>0</v>
      </c>
      <c r="CB296" s="180">
        <f t="shared" si="45"/>
        <v>0</v>
      </c>
      <c r="CC296" s="180">
        <f t="shared" si="45"/>
        <v>0</v>
      </c>
      <c r="CD296" s="180">
        <f t="shared" si="45"/>
        <v>0</v>
      </c>
      <c r="CE296" s="180">
        <f t="shared" si="45"/>
        <v>0</v>
      </c>
      <c r="CF296" s="180">
        <f t="shared" si="45"/>
        <v>0</v>
      </c>
      <c r="CG296" s="180">
        <f t="shared" si="45"/>
        <v>0</v>
      </c>
      <c r="CH296" s="180">
        <f t="shared" si="45"/>
        <v>0</v>
      </c>
      <c r="CI296" s="180">
        <f t="shared" si="45"/>
        <v>0</v>
      </c>
      <c r="CJ296" s="180">
        <f t="shared" si="45"/>
        <v>0</v>
      </c>
      <c r="CK296" s="180">
        <f t="shared" si="45"/>
        <v>0</v>
      </c>
      <c r="CL296" s="180">
        <f t="shared" si="45"/>
        <v>0</v>
      </c>
      <c r="CM296" s="180">
        <f t="shared" si="45"/>
        <v>0</v>
      </c>
      <c r="CN296" s="180">
        <f t="shared" si="45"/>
        <v>0</v>
      </c>
      <c r="CO296" s="180">
        <f t="shared" si="45"/>
        <v>0</v>
      </c>
      <c r="CP296" s="180">
        <f t="shared" si="45"/>
        <v>0</v>
      </c>
      <c r="CQ296" s="180">
        <f t="shared" si="45"/>
        <v>0</v>
      </c>
      <c r="CR296" s="180">
        <f t="shared" si="45"/>
        <v>0</v>
      </c>
      <c r="CS296" s="180">
        <f t="shared" si="45"/>
        <v>0</v>
      </c>
      <c r="CT296" s="180">
        <f t="shared" si="45"/>
        <v>0</v>
      </c>
      <c r="CU296" s="180">
        <f t="shared" si="45"/>
        <v>0</v>
      </c>
      <c r="CV296" s="180">
        <f t="shared" si="45"/>
        <v>0</v>
      </c>
      <c r="CW296" s="180">
        <f t="shared" si="45"/>
        <v>0</v>
      </c>
      <c r="CX296" s="180">
        <f t="shared" si="45"/>
        <v>0</v>
      </c>
      <c r="CY296" s="180">
        <f t="shared" si="45"/>
        <v>0</v>
      </c>
      <c r="CZ296" s="180">
        <f t="shared" si="45"/>
        <v>0</v>
      </c>
    </row>
    <row r="297" spans="1:104" x14ac:dyDescent="0.3">
      <c r="A297" s="155">
        <v>996</v>
      </c>
      <c r="B297" s="180"/>
      <c r="C297" s="180">
        <v>237</v>
      </c>
      <c r="D297" s="180">
        <f t="shared" ref="D297:AI297" si="46">D237</f>
        <v>0</v>
      </c>
      <c r="E297" s="180">
        <f t="shared" si="46"/>
        <v>0</v>
      </c>
      <c r="F297" s="180">
        <f t="shared" si="46"/>
        <v>0.01</v>
      </c>
      <c r="G297" s="180">
        <f t="shared" si="46"/>
        <v>0.01</v>
      </c>
      <c r="H297" s="180">
        <f t="shared" si="46"/>
        <v>0.01</v>
      </c>
      <c r="I297" s="180">
        <f t="shared" si="46"/>
        <v>0.01</v>
      </c>
      <c r="J297" s="180">
        <f t="shared" si="46"/>
        <v>0.01</v>
      </c>
      <c r="K297" s="180">
        <f t="shared" si="46"/>
        <v>0.01</v>
      </c>
      <c r="L297" s="180">
        <f t="shared" si="46"/>
        <v>0.01</v>
      </c>
      <c r="M297" s="180">
        <f t="shared" si="46"/>
        <v>0</v>
      </c>
      <c r="N297" s="180">
        <f t="shared" si="46"/>
        <v>0.01</v>
      </c>
      <c r="O297" s="180">
        <f t="shared" si="46"/>
        <v>0.01</v>
      </c>
      <c r="P297" s="180">
        <f t="shared" si="46"/>
        <v>0</v>
      </c>
      <c r="Q297" s="180">
        <f t="shared" si="46"/>
        <v>0.01</v>
      </c>
      <c r="R297" s="180">
        <f t="shared" si="46"/>
        <v>0.01</v>
      </c>
      <c r="S297" s="180">
        <f t="shared" si="46"/>
        <v>0.01</v>
      </c>
      <c r="T297" s="180">
        <f t="shared" si="46"/>
        <v>0.01</v>
      </c>
      <c r="U297" s="180">
        <f t="shared" si="46"/>
        <v>0.01</v>
      </c>
      <c r="V297" s="180">
        <f t="shared" si="46"/>
        <v>0</v>
      </c>
      <c r="W297" s="180">
        <f t="shared" si="46"/>
        <v>0</v>
      </c>
      <c r="X297" s="180">
        <f t="shared" si="46"/>
        <v>0</v>
      </c>
      <c r="Y297" s="180">
        <f t="shared" si="46"/>
        <v>0.01</v>
      </c>
      <c r="Z297" s="180">
        <f t="shared" si="46"/>
        <v>0.01</v>
      </c>
      <c r="AA297" s="180">
        <f t="shared" si="46"/>
        <v>0.01</v>
      </c>
      <c r="AB297" s="180">
        <f t="shared" si="46"/>
        <v>0</v>
      </c>
      <c r="AC297" s="180">
        <f t="shared" si="46"/>
        <v>0.01</v>
      </c>
      <c r="AD297" s="180">
        <f t="shared" si="46"/>
        <v>0.01</v>
      </c>
      <c r="AE297" s="180">
        <f t="shared" si="46"/>
        <v>0.01</v>
      </c>
      <c r="AF297" s="180">
        <f t="shared" si="46"/>
        <v>0.01</v>
      </c>
      <c r="AG297" s="180">
        <f t="shared" si="46"/>
        <v>0</v>
      </c>
      <c r="AH297" s="180">
        <f t="shared" si="46"/>
        <v>0</v>
      </c>
      <c r="AI297" s="180">
        <f t="shared" si="46"/>
        <v>0</v>
      </c>
      <c r="AJ297" s="180">
        <f t="shared" ref="AJ297:BO297" si="47">AJ237</f>
        <v>0.01</v>
      </c>
      <c r="AK297" s="180">
        <f t="shared" si="47"/>
        <v>0.01</v>
      </c>
      <c r="AL297" s="180">
        <f t="shared" si="47"/>
        <v>0</v>
      </c>
      <c r="AM297" s="180">
        <f t="shared" si="47"/>
        <v>0</v>
      </c>
      <c r="AN297" s="180">
        <f t="shared" si="47"/>
        <v>0.01</v>
      </c>
      <c r="AO297" s="180">
        <f t="shared" si="47"/>
        <v>0.01</v>
      </c>
      <c r="AP297" s="180">
        <f t="shared" si="47"/>
        <v>0</v>
      </c>
      <c r="AQ297" s="180">
        <f t="shared" si="47"/>
        <v>0.01</v>
      </c>
      <c r="AR297" s="180">
        <f t="shared" si="47"/>
        <v>0.01</v>
      </c>
      <c r="AS297" s="180">
        <f t="shared" si="47"/>
        <v>0.01</v>
      </c>
      <c r="AT297" s="180">
        <f t="shared" si="47"/>
        <v>0.01</v>
      </c>
      <c r="AU297" s="180">
        <f t="shared" si="47"/>
        <v>0.01</v>
      </c>
      <c r="AV297" s="180">
        <f t="shared" si="47"/>
        <v>0.01</v>
      </c>
      <c r="AW297" s="180">
        <f t="shared" si="47"/>
        <v>0.01</v>
      </c>
      <c r="AX297" s="180">
        <f t="shared" si="47"/>
        <v>0.01</v>
      </c>
      <c r="AY297" s="180">
        <f t="shared" si="47"/>
        <v>0.01</v>
      </c>
      <c r="AZ297" s="180">
        <f t="shared" si="47"/>
        <v>0.01</v>
      </c>
      <c r="BA297" s="180">
        <f t="shared" si="47"/>
        <v>0.01</v>
      </c>
      <c r="BB297" s="180">
        <f t="shared" si="47"/>
        <v>0.01</v>
      </c>
      <c r="BC297" s="180">
        <f t="shared" si="47"/>
        <v>0.01</v>
      </c>
      <c r="BD297" s="180">
        <f t="shared" si="47"/>
        <v>0</v>
      </c>
      <c r="BE297" s="180">
        <f t="shared" si="47"/>
        <v>0.01</v>
      </c>
      <c r="BF297" s="180">
        <f t="shared" si="47"/>
        <v>0.01</v>
      </c>
      <c r="BG297" s="180">
        <f t="shared" si="47"/>
        <v>0</v>
      </c>
      <c r="BH297" s="180">
        <f t="shared" si="47"/>
        <v>0.01</v>
      </c>
      <c r="BI297" s="180">
        <f t="shared" si="47"/>
        <v>0.01</v>
      </c>
      <c r="BJ297" s="180">
        <f t="shared" si="47"/>
        <v>0.01</v>
      </c>
      <c r="BK297" s="180">
        <f t="shared" si="47"/>
        <v>0.01</v>
      </c>
      <c r="BL297" s="180">
        <f t="shared" si="47"/>
        <v>0.01</v>
      </c>
      <c r="BM297" s="180">
        <f t="shared" si="47"/>
        <v>0</v>
      </c>
      <c r="BN297" s="180">
        <f t="shared" si="47"/>
        <v>0.01</v>
      </c>
      <c r="BO297" s="180">
        <f t="shared" si="47"/>
        <v>0.01</v>
      </c>
      <c r="BP297" s="180">
        <f t="shared" ref="BP297:CZ297" si="48">BP237</f>
        <v>0.01</v>
      </c>
      <c r="BQ297" s="180">
        <f t="shared" si="48"/>
        <v>0.01</v>
      </c>
      <c r="BR297" s="180">
        <f t="shared" si="48"/>
        <v>0</v>
      </c>
      <c r="BS297" s="180">
        <f t="shared" si="48"/>
        <v>0</v>
      </c>
      <c r="BT297" s="180">
        <f t="shared" si="48"/>
        <v>0.01</v>
      </c>
      <c r="BU297" s="180">
        <f t="shared" si="48"/>
        <v>0.01</v>
      </c>
      <c r="BV297" s="180">
        <f t="shared" si="48"/>
        <v>0.01</v>
      </c>
      <c r="BW297" s="180">
        <f t="shared" si="48"/>
        <v>0.01</v>
      </c>
      <c r="BX297" s="180">
        <f t="shared" si="48"/>
        <v>0</v>
      </c>
      <c r="BY297" s="180">
        <f t="shared" si="48"/>
        <v>0</v>
      </c>
      <c r="BZ297" s="180">
        <f t="shared" si="48"/>
        <v>0.01</v>
      </c>
      <c r="CA297" s="180">
        <f t="shared" si="48"/>
        <v>0</v>
      </c>
      <c r="CB297" s="180">
        <f t="shared" si="48"/>
        <v>0</v>
      </c>
      <c r="CC297" s="180">
        <f t="shared" si="48"/>
        <v>0</v>
      </c>
      <c r="CD297" s="180">
        <f t="shared" si="48"/>
        <v>0</v>
      </c>
      <c r="CE297" s="180">
        <f t="shared" si="48"/>
        <v>0</v>
      </c>
      <c r="CF297" s="180">
        <f t="shared" si="48"/>
        <v>0</v>
      </c>
      <c r="CG297" s="180">
        <f t="shared" si="48"/>
        <v>0</v>
      </c>
      <c r="CH297" s="180">
        <f t="shared" si="48"/>
        <v>0</v>
      </c>
      <c r="CI297" s="180">
        <f t="shared" si="48"/>
        <v>0</v>
      </c>
      <c r="CJ297" s="180">
        <f t="shared" si="48"/>
        <v>0</v>
      </c>
      <c r="CK297" s="180">
        <f t="shared" si="48"/>
        <v>0</v>
      </c>
      <c r="CL297" s="180">
        <f t="shared" si="48"/>
        <v>0</v>
      </c>
      <c r="CM297" s="180">
        <f t="shared" si="48"/>
        <v>0</v>
      </c>
      <c r="CN297" s="180">
        <f t="shared" si="48"/>
        <v>0</v>
      </c>
      <c r="CO297" s="180">
        <f t="shared" si="48"/>
        <v>0</v>
      </c>
      <c r="CP297" s="180">
        <f t="shared" si="48"/>
        <v>0</v>
      </c>
      <c r="CQ297" s="180">
        <f t="shared" si="48"/>
        <v>0</v>
      </c>
      <c r="CR297" s="180">
        <f t="shared" si="48"/>
        <v>0</v>
      </c>
      <c r="CS297" s="180">
        <f t="shared" si="48"/>
        <v>0</v>
      </c>
      <c r="CT297" s="180">
        <f t="shared" si="48"/>
        <v>0</v>
      </c>
      <c r="CU297" s="180">
        <f t="shared" si="48"/>
        <v>0</v>
      </c>
      <c r="CV297" s="180">
        <f t="shared" si="48"/>
        <v>0</v>
      </c>
      <c r="CW297" s="180">
        <f t="shared" si="48"/>
        <v>0</v>
      </c>
      <c r="CX297" s="180">
        <f t="shared" si="48"/>
        <v>0</v>
      </c>
      <c r="CY297" s="180">
        <f t="shared" si="48"/>
        <v>0</v>
      </c>
      <c r="CZ297" s="180">
        <f t="shared" si="48"/>
        <v>0</v>
      </c>
    </row>
    <row r="298" spans="1:104" x14ac:dyDescent="0.3">
      <c r="A298" s="155">
        <v>998</v>
      </c>
      <c r="B298" s="180"/>
      <c r="C298" s="180">
        <v>238</v>
      </c>
      <c r="D298" s="180">
        <f t="shared" ref="D298:AI298" si="49">D238</f>
        <v>50</v>
      </c>
      <c r="E298" s="180">
        <f t="shared" si="49"/>
        <v>50</v>
      </c>
      <c r="F298" s="180">
        <f t="shared" si="49"/>
        <v>50</v>
      </c>
      <c r="G298" s="180">
        <f t="shared" si="49"/>
        <v>50</v>
      </c>
      <c r="H298" s="180">
        <f t="shared" si="49"/>
        <v>50</v>
      </c>
      <c r="I298" s="180">
        <f t="shared" si="49"/>
        <v>50</v>
      </c>
      <c r="J298" s="180">
        <f t="shared" si="49"/>
        <v>50</v>
      </c>
      <c r="K298" s="180">
        <f t="shared" si="49"/>
        <v>50</v>
      </c>
      <c r="L298" s="180">
        <f t="shared" si="49"/>
        <v>50</v>
      </c>
      <c r="M298" s="180">
        <f t="shared" si="49"/>
        <v>50</v>
      </c>
      <c r="N298" s="180">
        <f t="shared" si="49"/>
        <v>50</v>
      </c>
      <c r="O298" s="180">
        <f t="shared" si="49"/>
        <v>50</v>
      </c>
      <c r="P298" s="180">
        <f t="shared" si="49"/>
        <v>50</v>
      </c>
      <c r="Q298" s="180">
        <f t="shared" si="49"/>
        <v>50</v>
      </c>
      <c r="R298" s="180">
        <f t="shared" si="49"/>
        <v>50</v>
      </c>
      <c r="S298" s="180">
        <f t="shared" si="49"/>
        <v>50</v>
      </c>
      <c r="T298" s="180">
        <f t="shared" si="49"/>
        <v>50</v>
      </c>
      <c r="U298" s="180">
        <f t="shared" si="49"/>
        <v>50</v>
      </c>
      <c r="V298" s="180">
        <f t="shared" si="49"/>
        <v>50</v>
      </c>
      <c r="W298" s="180">
        <f t="shared" si="49"/>
        <v>50</v>
      </c>
      <c r="X298" s="180">
        <f t="shared" si="49"/>
        <v>50</v>
      </c>
      <c r="Y298" s="180">
        <f t="shared" si="49"/>
        <v>50</v>
      </c>
      <c r="Z298" s="180">
        <f t="shared" si="49"/>
        <v>50</v>
      </c>
      <c r="AA298" s="180">
        <f t="shared" si="49"/>
        <v>50</v>
      </c>
      <c r="AB298" s="180">
        <f t="shared" si="49"/>
        <v>50</v>
      </c>
      <c r="AC298" s="180">
        <f t="shared" si="49"/>
        <v>50</v>
      </c>
      <c r="AD298" s="180">
        <f t="shared" si="49"/>
        <v>50</v>
      </c>
      <c r="AE298" s="180">
        <f t="shared" si="49"/>
        <v>50</v>
      </c>
      <c r="AF298" s="180">
        <f t="shared" si="49"/>
        <v>50</v>
      </c>
      <c r="AG298" s="180">
        <f t="shared" si="49"/>
        <v>50</v>
      </c>
      <c r="AH298" s="180">
        <f t="shared" si="49"/>
        <v>50</v>
      </c>
      <c r="AI298" s="180">
        <f t="shared" si="49"/>
        <v>50</v>
      </c>
      <c r="AJ298" s="180">
        <f t="shared" ref="AJ298:BO298" si="50">AJ238</f>
        <v>50</v>
      </c>
      <c r="AK298" s="180">
        <f t="shared" si="50"/>
        <v>50</v>
      </c>
      <c r="AL298" s="180">
        <f t="shared" si="50"/>
        <v>50</v>
      </c>
      <c r="AM298" s="180">
        <f t="shared" si="50"/>
        <v>50</v>
      </c>
      <c r="AN298" s="180">
        <f t="shared" si="50"/>
        <v>50</v>
      </c>
      <c r="AO298" s="180">
        <f t="shared" si="50"/>
        <v>50</v>
      </c>
      <c r="AP298" s="180">
        <f t="shared" si="50"/>
        <v>50</v>
      </c>
      <c r="AQ298" s="180">
        <f t="shared" si="50"/>
        <v>50</v>
      </c>
      <c r="AR298" s="180">
        <f t="shared" si="50"/>
        <v>50</v>
      </c>
      <c r="AS298" s="180">
        <f t="shared" si="50"/>
        <v>50</v>
      </c>
      <c r="AT298" s="180">
        <f t="shared" si="50"/>
        <v>50</v>
      </c>
      <c r="AU298" s="180">
        <f t="shared" si="50"/>
        <v>50</v>
      </c>
      <c r="AV298" s="180">
        <f t="shared" si="50"/>
        <v>50</v>
      </c>
      <c r="AW298" s="180">
        <f t="shared" si="50"/>
        <v>50</v>
      </c>
      <c r="AX298" s="180">
        <f t="shared" si="50"/>
        <v>50</v>
      </c>
      <c r="AY298" s="180">
        <f t="shared" si="50"/>
        <v>50</v>
      </c>
      <c r="AZ298" s="180">
        <f t="shared" si="50"/>
        <v>50</v>
      </c>
      <c r="BA298" s="180">
        <f t="shared" si="50"/>
        <v>50</v>
      </c>
      <c r="BB298" s="180">
        <f t="shared" si="50"/>
        <v>50</v>
      </c>
      <c r="BC298" s="180">
        <f t="shared" si="50"/>
        <v>50</v>
      </c>
      <c r="BD298" s="180">
        <f t="shared" si="50"/>
        <v>50</v>
      </c>
      <c r="BE298" s="180">
        <f t="shared" si="50"/>
        <v>50</v>
      </c>
      <c r="BF298" s="180">
        <f t="shared" si="50"/>
        <v>50</v>
      </c>
      <c r="BG298" s="180">
        <f t="shared" si="50"/>
        <v>50</v>
      </c>
      <c r="BH298" s="180">
        <f t="shared" si="50"/>
        <v>50</v>
      </c>
      <c r="BI298" s="180">
        <f t="shared" si="50"/>
        <v>50</v>
      </c>
      <c r="BJ298" s="180">
        <f t="shared" si="50"/>
        <v>50</v>
      </c>
      <c r="BK298" s="180">
        <f t="shared" si="50"/>
        <v>50</v>
      </c>
      <c r="BL298" s="180">
        <f t="shared" si="50"/>
        <v>50</v>
      </c>
      <c r="BM298" s="180">
        <f t="shared" si="50"/>
        <v>50</v>
      </c>
      <c r="BN298" s="180">
        <f t="shared" si="50"/>
        <v>50</v>
      </c>
      <c r="BO298" s="180">
        <f t="shared" si="50"/>
        <v>50</v>
      </c>
      <c r="BP298" s="180">
        <f t="shared" ref="BP298:CZ298" si="51">BP238</f>
        <v>50</v>
      </c>
      <c r="BQ298" s="180">
        <f t="shared" si="51"/>
        <v>50</v>
      </c>
      <c r="BR298" s="180">
        <f t="shared" si="51"/>
        <v>50</v>
      </c>
      <c r="BS298" s="180">
        <f t="shared" si="51"/>
        <v>50</v>
      </c>
      <c r="BT298" s="180">
        <f t="shared" si="51"/>
        <v>50</v>
      </c>
      <c r="BU298" s="180">
        <f t="shared" si="51"/>
        <v>50</v>
      </c>
      <c r="BV298" s="180">
        <f t="shared" si="51"/>
        <v>50</v>
      </c>
      <c r="BW298" s="180">
        <f t="shared" si="51"/>
        <v>50</v>
      </c>
      <c r="BX298" s="180">
        <f t="shared" si="51"/>
        <v>50</v>
      </c>
      <c r="BY298" s="180">
        <f t="shared" si="51"/>
        <v>50</v>
      </c>
      <c r="BZ298" s="180">
        <f t="shared" si="51"/>
        <v>50</v>
      </c>
      <c r="CA298" s="180">
        <f t="shared" si="51"/>
        <v>50</v>
      </c>
      <c r="CB298" s="180">
        <f t="shared" si="51"/>
        <v>0</v>
      </c>
      <c r="CC298" s="180">
        <f t="shared" si="51"/>
        <v>0</v>
      </c>
      <c r="CD298" s="180">
        <f t="shared" si="51"/>
        <v>0</v>
      </c>
      <c r="CE298" s="180">
        <f t="shared" si="51"/>
        <v>0</v>
      </c>
      <c r="CF298" s="180">
        <f t="shared" si="51"/>
        <v>0</v>
      </c>
      <c r="CG298" s="180">
        <f t="shared" si="51"/>
        <v>0</v>
      </c>
      <c r="CH298" s="180">
        <f t="shared" si="51"/>
        <v>0</v>
      </c>
      <c r="CI298" s="180">
        <f t="shared" si="51"/>
        <v>0</v>
      </c>
      <c r="CJ298" s="180">
        <f t="shared" si="51"/>
        <v>0</v>
      </c>
      <c r="CK298" s="180">
        <f t="shared" si="51"/>
        <v>0</v>
      </c>
      <c r="CL298" s="180">
        <f t="shared" si="51"/>
        <v>0</v>
      </c>
      <c r="CM298" s="180">
        <f t="shared" si="51"/>
        <v>0</v>
      </c>
      <c r="CN298" s="180">
        <f t="shared" si="51"/>
        <v>0</v>
      </c>
      <c r="CO298" s="180">
        <f t="shared" si="51"/>
        <v>0</v>
      </c>
      <c r="CP298" s="180">
        <f t="shared" si="51"/>
        <v>0</v>
      </c>
      <c r="CQ298" s="180">
        <f t="shared" si="51"/>
        <v>0</v>
      </c>
      <c r="CR298" s="180">
        <f t="shared" si="51"/>
        <v>0</v>
      </c>
      <c r="CS298" s="180">
        <f t="shared" si="51"/>
        <v>0</v>
      </c>
      <c r="CT298" s="180">
        <f t="shared" si="51"/>
        <v>0</v>
      </c>
      <c r="CU298" s="180">
        <f t="shared" si="51"/>
        <v>0</v>
      </c>
      <c r="CV298" s="180">
        <f t="shared" si="51"/>
        <v>0</v>
      </c>
      <c r="CW298" s="180">
        <f t="shared" si="51"/>
        <v>0</v>
      </c>
      <c r="CX298" s="180">
        <f t="shared" si="51"/>
        <v>0</v>
      </c>
      <c r="CY298" s="180">
        <f t="shared" si="51"/>
        <v>0</v>
      </c>
      <c r="CZ298" s="180">
        <f t="shared" si="51"/>
        <v>0</v>
      </c>
    </row>
    <row r="299" spans="1:104" x14ac:dyDescent="0.3">
      <c r="A299" s="155">
        <v>999</v>
      </c>
      <c r="B299" s="180"/>
      <c r="C299" s="180">
        <v>239</v>
      </c>
      <c r="D299" s="180">
        <f t="shared" ref="D299:AI299" si="52">D239</f>
        <v>50476</v>
      </c>
      <c r="E299" s="180">
        <f t="shared" si="52"/>
        <v>50191</v>
      </c>
      <c r="F299" s="180">
        <f t="shared" si="52"/>
        <v>50192</v>
      </c>
      <c r="G299" s="180">
        <f t="shared" si="52"/>
        <v>50193</v>
      </c>
      <c r="H299" s="180">
        <f t="shared" si="52"/>
        <v>50194</v>
      </c>
      <c r="I299" s="180">
        <f t="shared" si="52"/>
        <v>50195</v>
      </c>
      <c r="J299" s="180">
        <f t="shared" si="52"/>
        <v>50196</v>
      </c>
      <c r="K299" s="180">
        <f t="shared" si="52"/>
        <v>50197</v>
      </c>
      <c r="L299" s="180">
        <f t="shared" si="52"/>
        <v>50498</v>
      </c>
      <c r="M299" s="180">
        <f t="shared" si="52"/>
        <v>50198</v>
      </c>
      <c r="N299" s="180">
        <f t="shared" si="52"/>
        <v>50199</v>
      </c>
      <c r="O299" s="180">
        <f t="shared" si="52"/>
        <v>50200</v>
      </c>
      <c r="P299" s="180">
        <f t="shared" si="52"/>
        <v>50201</v>
      </c>
      <c r="Q299" s="180">
        <f t="shared" si="52"/>
        <v>50202</v>
      </c>
      <c r="R299" s="180">
        <f t="shared" si="52"/>
        <v>50493</v>
      </c>
      <c r="S299" s="180">
        <f t="shared" si="52"/>
        <v>50203</v>
      </c>
      <c r="T299" s="180">
        <f t="shared" si="52"/>
        <v>50518</v>
      </c>
      <c r="U299" s="180">
        <f t="shared" si="52"/>
        <v>50204</v>
      </c>
      <c r="V299" s="180">
        <f t="shared" si="52"/>
        <v>50205</v>
      </c>
      <c r="W299" s="180">
        <f t="shared" si="52"/>
        <v>50206</v>
      </c>
      <c r="X299" s="180">
        <f t="shared" si="52"/>
        <v>50207</v>
      </c>
      <c r="Y299" s="180">
        <f t="shared" si="52"/>
        <v>50208</v>
      </c>
      <c r="Z299" s="180">
        <f t="shared" si="52"/>
        <v>50209</v>
      </c>
      <c r="AA299" s="180">
        <f t="shared" si="52"/>
        <v>50210</v>
      </c>
      <c r="AB299" s="180">
        <f t="shared" si="52"/>
        <v>50519</v>
      </c>
      <c r="AC299" s="180">
        <f t="shared" si="52"/>
        <v>50528</v>
      </c>
      <c r="AD299" s="180">
        <f t="shared" si="52"/>
        <v>50211</v>
      </c>
      <c r="AE299" s="180">
        <f t="shared" si="52"/>
        <v>50212</v>
      </c>
      <c r="AF299" s="180">
        <f t="shared" si="52"/>
        <v>50213</v>
      </c>
      <c r="AG299" s="180">
        <f t="shared" si="52"/>
        <v>50214</v>
      </c>
      <c r="AH299" s="180">
        <f t="shared" si="52"/>
        <v>50215</v>
      </c>
      <c r="AI299" s="180">
        <f t="shared" si="52"/>
        <v>50216</v>
      </c>
      <c r="AJ299" s="180">
        <f t="shared" ref="AJ299:BO299" si="53">AJ239</f>
        <v>50217</v>
      </c>
      <c r="AK299" s="180">
        <f t="shared" si="53"/>
        <v>50218</v>
      </c>
      <c r="AL299" s="180">
        <f t="shared" si="53"/>
        <v>50477</v>
      </c>
      <c r="AM299" s="180">
        <f t="shared" si="53"/>
        <v>50520</v>
      </c>
      <c r="AN299" s="180">
        <f t="shared" si="53"/>
        <v>50219</v>
      </c>
      <c r="AO299" s="180">
        <f t="shared" si="53"/>
        <v>50220</v>
      </c>
      <c r="AP299" s="180">
        <f t="shared" si="53"/>
        <v>50536</v>
      </c>
      <c r="AQ299" s="180">
        <f t="shared" si="53"/>
        <v>50221</v>
      </c>
      <c r="AR299" s="180">
        <f t="shared" si="53"/>
        <v>50222</v>
      </c>
      <c r="AS299" s="180">
        <f t="shared" si="53"/>
        <v>50223</v>
      </c>
      <c r="AT299" s="180">
        <f t="shared" si="53"/>
        <v>50224</v>
      </c>
      <c r="AU299" s="180">
        <f t="shared" si="53"/>
        <v>50225</v>
      </c>
      <c r="AV299" s="180">
        <f t="shared" si="53"/>
        <v>50226</v>
      </c>
      <c r="AW299" s="180">
        <f t="shared" si="53"/>
        <v>50227</v>
      </c>
      <c r="AX299" s="180">
        <f t="shared" si="53"/>
        <v>50455</v>
      </c>
      <c r="AY299" s="180">
        <f t="shared" si="53"/>
        <v>50229</v>
      </c>
      <c r="AZ299" s="180">
        <f t="shared" si="53"/>
        <v>50230</v>
      </c>
      <c r="BA299" s="180">
        <f t="shared" si="53"/>
        <v>50231</v>
      </c>
      <c r="BB299" s="180">
        <f t="shared" si="53"/>
        <v>50232</v>
      </c>
      <c r="BC299" s="180">
        <f t="shared" si="53"/>
        <v>50233</v>
      </c>
      <c r="BD299" s="180">
        <f t="shared" si="53"/>
        <v>50234</v>
      </c>
      <c r="BE299" s="180">
        <f t="shared" si="53"/>
        <v>50235</v>
      </c>
      <c r="BF299" s="180">
        <f t="shared" si="53"/>
        <v>50236</v>
      </c>
      <c r="BG299" s="180">
        <f t="shared" si="53"/>
        <v>50237</v>
      </c>
      <c r="BH299" s="180">
        <f t="shared" si="53"/>
        <v>50238</v>
      </c>
      <c r="BI299" s="180">
        <f t="shared" si="53"/>
        <v>50444</v>
      </c>
      <c r="BJ299" s="180">
        <f t="shared" si="53"/>
        <v>50239</v>
      </c>
      <c r="BK299" s="180">
        <f t="shared" si="53"/>
        <v>50240</v>
      </c>
      <c r="BL299" s="180">
        <f t="shared" si="53"/>
        <v>50241</v>
      </c>
      <c r="BM299" s="180">
        <f t="shared" si="53"/>
        <v>50521</v>
      </c>
      <c r="BN299" s="180">
        <f t="shared" si="53"/>
        <v>50242</v>
      </c>
      <c r="BO299" s="180">
        <f t="shared" si="53"/>
        <v>50244</v>
      </c>
      <c r="BP299" s="180">
        <f t="shared" ref="BP299:CZ299" si="54">BP239</f>
        <v>50243</v>
      </c>
      <c r="BQ299" s="180">
        <f t="shared" si="54"/>
        <v>50245</v>
      </c>
      <c r="BR299" s="180">
        <f t="shared" si="54"/>
        <v>50522</v>
      </c>
      <c r="BS299" s="180">
        <f t="shared" si="54"/>
        <v>50246</v>
      </c>
      <c r="BT299" s="180">
        <f t="shared" si="54"/>
        <v>50247</v>
      </c>
      <c r="BU299" s="180">
        <f t="shared" si="54"/>
        <v>50248</v>
      </c>
      <c r="BV299" s="180">
        <f t="shared" si="54"/>
        <v>50249</v>
      </c>
      <c r="BW299" s="180">
        <f t="shared" si="54"/>
        <v>50250</v>
      </c>
      <c r="BX299" s="180">
        <f t="shared" si="54"/>
        <v>50251</v>
      </c>
      <c r="BY299" s="180">
        <f t="shared" si="54"/>
        <v>50252</v>
      </c>
      <c r="BZ299" s="180">
        <f t="shared" si="54"/>
        <v>50253</v>
      </c>
      <c r="CA299" s="180">
        <f t="shared" si="54"/>
        <v>50454</v>
      </c>
      <c r="CB299" s="180">
        <f t="shared" si="54"/>
        <v>0</v>
      </c>
      <c r="CC299" s="180">
        <f t="shared" si="54"/>
        <v>0</v>
      </c>
      <c r="CD299" s="180">
        <f t="shared" si="54"/>
        <v>0</v>
      </c>
      <c r="CE299" s="180">
        <f t="shared" si="54"/>
        <v>0</v>
      </c>
      <c r="CF299" s="180">
        <f t="shared" si="54"/>
        <v>0</v>
      </c>
      <c r="CG299" s="180">
        <f t="shared" si="54"/>
        <v>0</v>
      </c>
      <c r="CH299" s="180">
        <f t="shared" si="54"/>
        <v>0</v>
      </c>
      <c r="CI299" s="180">
        <f t="shared" si="54"/>
        <v>0</v>
      </c>
      <c r="CJ299" s="180">
        <f t="shared" si="54"/>
        <v>0</v>
      </c>
      <c r="CK299" s="180">
        <f t="shared" si="54"/>
        <v>0</v>
      </c>
      <c r="CL299" s="180">
        <f t="shared" si="54"/>
        <v>0</v>
      </c>
      <c r="CM299" s="180">
        <f t="shared" si="54"/>
        <v>0</v>
      </c>
      <c r="CN299" s="180">
        <f t="shared" si="54"/>
        <v>0</v>
      </c>
      <c r="CO299" s="180">
        <f t="shared" si="54"/>
        <v>0</v>
      </c>
      <c r="CP299" s="180">
        <f t="shared" si="54"/>
        <v>0</v>
      </c>
      <c r="CQ299" s="180">
        <f t="shared" si="54"/>
        <v>0</v>
      </c>
      <c r="CR299" s="180">
        <f t="shared" si="54"/>
        <v>0</v>
      </c>
      <c r="CS299" s="180">
        <f t="shared" si="54"/>
        <v>0</v>
      </c>
      <c r="CT299" s="180">
        <f t="shared" si="54"/>
        <v>0</v>
      </c>
      <c r="CU299" s="180">
        <f t="shared" si="54"/>
        <v>0</v>
      </c>
      <c r="CV299" s="180">
        <f t="shared" si="54"/>
        <v>0</v>
      </c>
      <c r="CW299" s="180">
        <f t="shared" si="54"/>
        <v>0</v>
      </c>
      <c r="CX299" s="180">
        <f t="shared" si="54"/>
        <v>0</v>
      </c>
      <c r="CY299" s="180">
        <f t="shared" si="54"/>
        <v>0</v>
      </c>
      <c r="CZ299" s="180">
        <f t="shared" si="54"/>
        <v>0</v>
      </c>
    </row>
    <row r="300" spans="1:104" x14ac:dyDescent="0.3">
      <c r="A300" s="558">
        <v>554</v>
      </c>
      <c r="B300" s="180"/>
      <c r="C300" s="180">
        <v>144</v>
      </c>
      <c r="D300" s="555">
        <f t="shared" ref="D300:AI300" si="55">D144</f>
        <v>0</v>
      </c>
      <c r="E300" s="555">
        <f t="shared" si="55"/>
        <v>9769</v>
      </c>
      <c r="F300" s="555">
        <f t="shared" si="55"/>
        <v>0</v>
      </c>
      <c r="G300" s="555">
        <f t="shared" si="55"/>
        <v>8101121</v>
      </c>
      <c r="H300" s="555">
        <f t="shared" si="55"/>
        <v>0</v>
      </c>
      <c r="I300" s="555">
        <f t="shared" si="55"/>
        <v>0</v>
      </c>
      <c r="J300" s="555">
        <f t="shared" si="55"/>
        <v>0</v>
      </c>
      <c r="K300" s="555">
        <f t="shared" si="55"/>
        <v>1627302</v>
      </c>
      <c r="L300" s="555">
        <f t="shared" si="55"/>
        <v>10064372</v>
      </c>
      <c r="M300" s="555">
        <f t="shared" si="55"/>
        <v>0</v>
      </c>
      <c r="N300" s="555">
        <f t="shared" si="55"/>
        <v>0</v>
      </c>
      <c r="O300" s="555">
        <f t="shared" si="55"/>
        <v>0</v>
      </c>
      <c r="P300" s="555">
        <f t="shared" si="55"/>
        <v>4095702</v>
      </c>
      <c r="Q300" s="555">
        <f t="shared" si="55"/>
        <v>2172809</v>
      </c>
      <c r="R300" s="555">
        <f t="shared" si="55"/>
        <v>0</v>
      </c>
      <c r="S300" s="555">
        <f t="shared" si="55"/>
        <v>0</v>
      </c>
      <c r="T300" s="555">
        <f t="shared" si="55"/>
        <v>0</v>
      </c>
      <c r="U300" s="555">
        <f t="shared" si="55"/>
        <v>4456491</v>
      </c>
      <c r="V300" s="555">
        <f t="shared" si="55"/>
        <v>0</v>
      </c>
      <c r="W300" s="555">
        <f t="shared" si="55"/>
        <v>0</v>
      </c>
      <c r="X300" s="555">
        <f t="shared" si="55"/>
        <v>968677</v>
      </c>
      <c r="Y300" s="555">
        <f t="shared" si="55"/>
        <v>0</v>
      </c>
      <c r="Z300" s="555">
        <f t="shared" si="55"/>
        <v>0</v>
      </c>
      <c r="AA300" s="555">
        <f t="shared" si="55"/>
        <v>1762949</v>
      </c>
      <c r="AB300" s="555">
        <f t="shared" si="55"/>
        <v>0</v>
      </c>
      <c r="AC300" s="555">
        <f t="shared" si="55"/>
        <v>0</v>
      </c>
      <c r="AD300" s="555">
        <f t="shared" si="55"/>
        <v>0</v>
      </c>
      <c r="AE300" s="555">
        <f t="shared" si="55"/>
        <v>0</v>
      </c>
      <c r="AF300" s="555">
        <f t="shared" si="55"/>
        <v>0</v>
      </c>
      <c r="AG300" s="555">
        <f t="shared" si="55"/>
        <v>0</v>
      </c>
      <c r="AH300" s="555">
        <f t="shared" si="55"/>
        <v>0</v>
      </c>
      <c r="AI300" s="555">
        <f t="shared" si="55"/>
        <v>0</v>
      </c>
      <c r="AJ300" s="555">
        <f t="shared" ref="AJ300:BO300" si="56">AJ144</f>
        <v>810977</v>
      </c>
      <c r="AK300" s="555">
        <f t="shared" si="56"/>
        <v>0</v>
      </c>
      <c r="AL300" s="555">
        <f t="shared" si="56"/>
        <v>0</v>
      </c>
      <c r="AM300" s="555">
        <f t="shared" si="56"/>
        <v>1157205</v>
      </c>
      <c r="AN300" s="555">
        <f t="shared" si="56"/>
        <v>2189510</v>
      </c>
      <c r="AO300" s="555">
        <f t="shared" si="56"/>
        <v>0</v>
      </c>
      <c r="AP300" s="555">
        <f t="shared" si="56"/>
        <v>0</v>
      </c>
      <c r="AQ300" s="555">
        <f t="shared" si="56"/>
        <v>372955</v>
      </c>
      <c r="AR300" s="555">
        <f t="shared" si="56"/>
        <v>0</v>
      </c>
      <c r="AS300" s="555">
        <f t="shared" si="56"/>
        <v>0</v>
      </c>
      <c r="AT300" s="555">
        <f t="shared" si="56"/>
        <v>0</v>
      </c>
      <c r="AU300" s="555">
        <f t="shared" si="56"/>
        <v>898298</v>
      </c>
      <c r="AV300" s="555">
        <f t="shared" si="56"/>
        <v>0</v>
      </c>
      <c r="AW300" s="555">
        <f t="shared" si="56"/>
        <v>0</v>
      </c>
      <c r="AX300" s="555">
        <f t="shared" si="56"/>
        <v>0</v>
      </c>
      <c r="AY300" s="555">
        <f t="shared" si="56"/>
        <v>0</v>
      </c>
      <c r="AZ300" s="555">
        <f t="shared" si="56"/>
        <v>0</v>
      </c>
      <c r="BA300" s="555">
        <f t="shared" si="56"/>
        <v>0</v>
      </c>
      <c r="BB300" s="555">
        <f t="shared" si="56"/>
        <v>0</v>
      </c>
      <c r="BC300" s="555">
        <f t="shared" si="56"/>
        <v>0</v>
      </c>
      <c r="BD300" s="555">
        <f t="shared" si="56"/>
        <v>0</v>
      </c>
      <c r="BE300" s="555">
        <f t="shared" si="56"/>
        <v>6368876</v>
      </c>
      <c r="BF300" s="555">
        <f t="shared" si="56"/>
        <v>0</v>
      </c>
      <c r="BG300" s="555">
        <f t="shared" si="56"/>
        <v>0</v>
      </c>
      <c r="BH300" s="555">
        <f t="shared" si="56"/>
        <v>445432</v>
      </c>
      <c r="BI300" s="555">
        <f t="shared" si="56"/>
        <v>0</v>
      </c>
      <c r="BJ300" s="555">
        <f t="shared" si="56"/>
        <v>1102854</v>
      </c>
      <c r="BK300" s="555">
        <f t="shared" si="56"/>
        <v>0</v>
      </c>
      <c r="BL300" s="555">
        <f t="shared" si="56"/>
        <v>0</v>
      </c>
      <c r="BM300" s="555">
        <f t="shared" si="56"/>
        <v>0</v>
      </c>
      <c r="BN300" s="555">
        <f t="shared" si="56"/>
        <v>2038321</v>
      </c>
      <c r="BO300" s="555">
        <f t="shared" si="56"/>
        <v>0</v>
      </c>
      <c r="BP300" s="555">
        <f t="shared" ref="BP300:CZ300" si="57">BP144</f>
        <v>0</v>
      </c>
      <c r="BQ300" s="555">
        <f t="shared" si="57"/>
        <v>0</v>
      </c>
      <c r="BR300" s="555">
        <f t="shared" si="57"/>
        <v>0</v>
      </c>
      <c r="BS300" s="555">
        <f t="shared" si="57"/>
        <v>5748065</v>
      </c>
      <c r="BT300" s="555">
        <f t="shared" si="57"/>
        <v>0</v>
      </c>
      <c r="BU300" s="555">
        <f t="shared" si="57"/>
        <v>0</v>
      </c>
      <c r="BV300" s="555">
        <f t="shared" si="57"/>
        <v>0</v>
      </c>
      <c r="BW300" s="555">
        <f t="shared" si="57"/>
        <v>0</v>
      </c>
      <c r="BX300" s="555">
        <f t="shared" si="57"/>
        <v>0</v>
      </c>
      <c r="BY300" s="555">
        <f t="shared" si="57"/>
        <v>0</v>
      </c>
      <c r="BZ300" s="555">
        <f t="shared" si="57"/>
        <v>2145637</v>
      </c>
      <c r="CA300" s="555">
        <f t="shared" si="57"/>
        <v>0</v>
      </c>
      <c r="CB300" s="555">
        <f t="shared" si="57"/>
        <v>0</v>
      </c>
      <c r="CC300" s="555">
        <f t="shared" si="57"/>
        <v>0</v>
      </c>
      <c r="CD300" s="555">
        <f t="shared" si="57"/>
        <v>0</v>
      </c>
      <c r="CE300" s="555">
        <f t="shared" si="57"/>
        <v>0</v>
      </c>
      <c r="CF300" s="555">
        <f t="shared" si="57"/>
        <v>0</v>
      </c>
      <c r="CG300" s="555">
        <f t="shared" si="57"/>
        <v>0</v>
      </c>
      <c r="CH300" s="555">
        <f t="shared" si="57"/>
        <v>0</v>
      </c>
      <c r="CI300" s="555">
        <f t="shared" si="57"/>
        <v>0</v>
      </c>
      <c r="CJ300" s="555">
        <f t="shared" si="57"/>
        <v>0</v>
      </c>
      <c r="CK300" s="555">
        <f t="shared" si="57"/>
        <v>0</v>
      </c>
      <c r="CL300" s="555">
        <f t="shared" si="57"/>
        <v>0</v>
      </c>
      <c r="CM300" s="555">
        <f t="shared" si="57"/>
        <v>0</v>
      </c>
      <c r="CN300" s="555">
        <f t="shared" si="57"/>
        <v>0</v>
      </c>
      <c r="CO300" s="555">
        <f t="shared" si="57"/>
        <v>0</v>
      </c>
      <c r="CP300" s="555">
        <f t="shared" si="57"/>
        <v>0</v>
      </c>
      <c r="CQ300" s="555">
        <f t="shared" si="57"/>
        <v>0</v>
      </c>
      <c r="CR300" s="555">
        <f t="shared" si="57"/>
        <v>0</v>
      </c>
      <c r="CS300" s="555">
        <f t="shared" si="57"/>
        <v>0</v>
      </c>
      <c r="CT300" s="555">
        <f t="shared" si="57"/>
        <v>0</v>
      </c>
      <c r="CU300" s="555">
        <f t="shared" si="57"/>
        <v>0</v>
      </c>
      <c r="CV300" s="555">
        <f t="shared" si="57"/>
        <v>0</v>
      </c>
      <c r="CW300" s="555">
        <f t="shared" si="57"/>
        <v>0</v>
      </c>
      <c r="CX300" s="555">
        <f t="shared" si="57"/>
        <v>0</v>
      </c>
      <c r="CY300" s="555">
        <f t="shared" si="57"/>
        <v>0</v>
      </c>
      <c r="CZ300" s="555">
        <f t="shared" si="57"/>
        <v>0</v>
      </c>
    </row>
    <row r="301" spans="1:104" x14ac:dyDescent="0.3">
      <c r="A301" s="558">
        <v>555</v>
      </c>
      <c r="B301" s="180"/>
      <c r="C301" s="180">
        <v>145</v>
      </c>
      <c r="D301" s="555">
        <f t="shared" ref="D301:AI301" si="58">D145</f>
        <v>0</v>
      </c>
      <c r="E301" s="555">
        <f t="shared" si="58"/>
        <v>0</v>
      </c>
      <c r="F301" s="555">
        <f t="shared" si="58"/>
        <v>0</v>
      </c>
      <c r="G301" s="555">
        <f t="shared" si="58"/>
        <v>5177487</v>
      </c>
      <c r="H301" s="555">
        <f t="shared" si="58"/>
        <v>0</v>
      </c>
      <c r="I301" s="555">
        <f t="shared" si="58"/>
        <v>0</v>
      </c>
      <c r="J301" s="555">
        <f t="shared" si="58"/>
        <v>0</v>
      </c>
      <c r="K301" s="555">
        <f t="shared" si="58"/>
        <v>1414789</v>
      </c>
      <c r="L301" s="555">
        <f t="shared" si="58"/>
        <v>9352894</v>
      </c>
      <c r="M301" s="555">
        <f t="shared" si="58"/>
        <v>0</v>
      </c>
      <c r="N301" s="555">
        <f t="shared" si="58"/>
        <v>0</v>
      </c>
      <c r="O301" s="555">
        <f t="shared" si="58"/>
        <v>0</v>
      </c>
      <c r="P301" s="555">
        <f t="shared" si="58"/>
        <v>0</v>
      </c>
      <c r="Q301" s="555">
        <f t="shared" si="58"/>
        <v>2172809</v>
      </c>
      <c r="R301" s="555">
        <f t="shared" si="58"/>
        <v>0</v>
      </c>
      <c r="S301" s="555">
        <f t="shared" si="58"/>
        <v>2030249</v>
      </c>
      <c r="T301" s="555">
        <f t="shared" si="58"/>
        <v>0</v>
      </c>
      <c r="U301" s="555">
        <f t="shared" si="58"/>
        <v>3301689</v>
      </c>
      <c r="V301" s="555">
        <f t="shared" si="58"/>
        <v>0</v>
      </c>
      <c r="W301" s="555">
        <f t="shared" si="58"/>
        <v>0</v>
      </c>
      <c r="X301" s="555">
        <f t="shared" si="58"/>
        <v>445364</v>
      </c>
      <c r="Y301" s="555">
        <f t="shared" si="58"/>
        <v>0</v>
      </c>
      <c r="Z301" s="555">
        <f t="shared" si="58"/>
        <v>0</v>
      </c>
      <c r="AA301" s="555">
        <f t="shared" si="58"/>
        <v>1067061</v>
      </c>
      <c r="AB301" s="555">
        <f t="shared" si="58"/>
        <v>0</v>
      </c>
      <c r="AC301" s="555">
        <f t="shared" si="58"/>
        <v>0</v>
      </c>
      <c r="AD301" s="555">
        <f t="shared" si="58"/>
        <v>0</v>
      </c>
      <c r="AE301" s="555">
        <f t="shared" si="58"/>
        <v>0</v>
      </c>
      <c r="AF301" s="555">
        <f t="shared" si="58"/>
        <v>0</v>
      </c>
      <c r="AG301" s="555">
        <f t="shared" si="58"/>
        <v>0</v>
      </c>
      <c r="AH301" s="555">
        <f t="shared" si="58"/>
        <v>0</v>
      </c>
      <c r="AI301" s="555">
        <f t="shared" si="58"/>
        <v>0</v>
      </c>
      <c r="AJ301" s="555">
        <f t="shared" ref="AJ301:BO301" si="59">AJ145</f>
        <v>419783</v>
      </c>
      <c r="AK301" s="555">
        <f t="shared" si="59"/>
        <v>0</v>
      </c>
      <c r="AL301" s="555">
        <f t="shared" si="59"/>
        <v>0</v>
      </c>
      <c r="AM301" s="555">
        <f t="shared" si="59"/>
        <v>1145605</v>
      </c>
      <c r="AN301" s="555">
        <f t="shared" si="59"/>
        <v>677591</v>
      </c>
      <c r="AO301" s="555">
        <f t="shared" si="59"/>
        <v>0</v>
      </c>
      <c r="AP301" s="555">
        <f t="shared" si="59"/>
        <v>0</v>
      </c>
      <c r="AQ301" s="555">
        <f t="shared" si="59"/>
        <v>0</v>
      </c>
      <c r="AR301" s="555">
        <f t="shared" si="59"/>
        <v>0</v>
      </c>
      <c r="AS301" s="555">
        <f t="shared" si="59"/>
        <v>0</v>
      </c>
      <c r="AT301" s="555">
        <f t="shared" si="59"/>
        <v>0</v>
      </c>
      <c r="AU301" s="555">
        <f t="shared" si="59"/>
        <v>784706</v>
      </c>
      <c r="AV301" s="555">
        <f t="shared" si="59"/>
        <v>0</v>
      </c>
      <c r="AW301" s="555">
        <f t="shared" si="59"/>
        <v>0</v>
      </c>
      <c r="AX301" s="555">
        <f t="shared" si="59"/>
        <v>0</v>
      </c>
      <c r="AY301" s="555">
        <f t="shared" si="59"/>
        <v>0</v>
      </c>
      <c r="AZ301" s="555">
        <f t="shared" si="59"/>
        <v>0</v>
      </c>
      <c r="BA301" s="555">
        <f t="shared" si="59"/>
        <v>0</v>
      </c>
      <c r="BB301" s="555">
        <f t="shared" si="59"/>
        <v>0</v>
      </c>
      <c r="BC301" s="555">
        <f t="shared" si="59"/>
        <v>0</v>
      </c>
      <c r="BD301" s="555">
        <f t="shared" si="59"/>
        <v>0</v>
      </c>
      <c r="BE301" s="555">
        <f t="shared" si="59"/>
        <v>4040709</v>
      </c>
      <c r="BF301" s="555">
        <f t="shared" si="59"/>
        <v>0</v>
      </c>
      <c r="BG301" s="555">
        <f t="shared" si="59"/>
        <v>0</v>
      </c>
      <c r="BH301" s="555">
        <f t="shared" si="59"/>
        <v>0</v>
      </c>
      <c r="BI301" s="555">
        <f t="shared" si="59"/>
        <v>0</v>
      </c>
      <c r="BJ301" s="555">
        <f t="shared" si="59"/>
        <v>1018771</v>
      </c>
      <c r="BK301" s="555">
        <f t="shared" si="59"/>
        <v>0</v>
      </c>
      <c r="BL301" s="555">
        <f t="shared" si="59"/>
        <v>0</v>
      </c>
      <c r="BM301" s="555">
        <f t="shared" si="59"/>
        <v>0</v>
      </c>
      <c r="BN301" s="555">
        <f t="shared" si="59"/>
        <v>1749991</v>
      </c>
      <c r="BO301" s="555">
        <f t="shared" si="59"/>
        <v>0</v>
      </c>
      <c r="BP301" s="555">
        <f t="shared" ref="BP301:CZ301" si="60">BP145</f>
        <v>0</v>
      </c>
      <c r="BQ301" s="555">
        <f t="shared" si="60"/>
        <v>0</v>
      </c>
      <c r="BR301" s="555">
        <f t="shared" si="60"/>
        <v>0</v>
      </c>
      <c r="BS301" s="555">
        <f t="shared" si="60"/>
        <v>5280498</v>
      </c>
      <c r="BT301" s="555">
        <f t="shared" si="60"/>
        <v>0</v>
      </c>
      <c r="BU301" s="555">
        <f t="shared" si="60"/>
        <v>0</v>
      </c>
      <c r="BV301" s="555">
        <f t="shared" si="60"/>
        <v>0</v>
      </c>
      <c r="BW301" s="555">
        <f t="shared" si="60"/>
        <v>0</v>
      </c>
      <c r="BX301" s="555">
        <f t="shared" si="60"/>
        <v>0</v>
      </c>
      <c r="BY301" s="555">
        <f t="shared" si="60"/>
        <v>0</v>
      </c>
      <c r="BZ301" s="555">
        <f t="shared" si="60"/>
        <v>2045130</v>
      </c>
      <c r="CA301" s="555">
        <f t="shared" si="60"/>
        <v>0</v>
      </c>
      <c r="CB301" s="555">
        <f t="shared" si="60"/>
        <v>0</v>
      </c>
      <c r="CC301" s="555">
        <f t="shared" si="60"/>
        <v>0</v>
      </c>
      <c r="CD301" s="555">
        <f t="shared" si="60"/>
        <v>0</v>
      </c>
      <c r="CE301" s="555">
        <f t="shared" si="60"/>
        <v>0</v>
      </c>
      <c r="CF301" s="555">
        <f t="shared" si="60"/>
        <v>0</v>
      </c>
      <c r="CG301" s="555">
        <f t="shared" si="60"/>
        <v>0</v>
      </c>
      <c r="CH301" s="555">
        <f t="shared" si="60"/>
        <v>0</v>
      </c>
      <c r="CI301" s="555">
        <f t="shared" si="60"/>
        <v>0</v>
      </c>
      <c r="CJ301" s="555">
        <f t="shared" si="60"/>
        <v>0</v>
      </c>
      <c r="CK301" s="555">
        <f t="shared" si="60"/>
        <v>0</v>
      </c>
      <c r="CL301" s="555">
        <f t="shared" si="60"/>
        <v>0</v>
      </c>
      <c r="CM301" s="555">
        <f t="shared" si="60"/>
        <v>0</v>
      </c>
      <c r="CN301" s="555">
        <f t="shared" si="60"/>
        <v>0</v>
      </c>
      <c r="CO301" s="555">
        <f t="shared" si="60"/>
        <v>0</v>
      </c>
      <c r="CP301" s="555">
        <f t="shared" si="60"/>
        <v>0</v>
      </c>
      <c r="CQ301" s="555">
        <f t="shared" si="60"/>
        <v>0</v>
      </c>
      <c r="CR301" s="555">
        <f t="shared" si="60"/>
        <v>0</v>
      </c>
      <c r="CS301" s="555">
        <f t="shared" si="60"/>
        <v>0</v>
      </c>
      <c r="CT301" s="555">
        <f t="shared" si="60"/>
        <v>0</v>
      </c>
      <c r="CU301" s="555">
        <f t="shared" si="60"/>
        <v>0</v>
      </c>
      <c r="CV301" s="555">
        <f t="shared" si="60"/>
        <v>0</v>
      </c>
      <c r="CW301" s="555">
        <f t="shared" si="60"/>
        <v>0</v>
      </c>
      <c r="CX301" s="555">
        <f t="shared" si="60"/>
        <v>0</v>
      </c>
      <c r="CY301" s="555">
        <f t="shared" si="60"/>
        <v>0</v>
      </c>
      <c r="CZ301" s="555">
        <f t="shared" si="60"/>
        <v>0</v>
      </c>
    </row>
    <row r="302" spans="1:104" x14ac:dyDescent="0.3">
      <c r="A302" s="558">
        <v>556</v>
      </c>
      <c r="B302" s="180"/>
      <c r="C302" s="180">
        <v>146</v>
      </c>
      <c r="D302" s="555">
        <f t="shared" ref="D302:AI302" si="61">D146</f>
        <v>0</v>
      </c>
      <c r="E302" s="555">
        <f t="shared" si="61"/>
        <v>1413267</v>
      </c>
      <c r="F302" s="555">
        <f t="shared" si="61"/>
        <v>0</v>
      </c>
      <c r="G302" s="555">
        <f t="shared" si="61"/>
        <v>2555222</v>
      </c>
      <c r="H302" s="555">
        <f t="shared" si="61"/>
        <v>0</v>
      </c>
      <c r="I302" s="555">
        <f t="shared" si="61"/>
        <v>0</v>
      </c>
      <c r="J302" s="555">
        <f t="shared" si="61"/>
        <v>0</v>
      </c>
      <c r="K302" s="555">
        <f t="shared" si="61"/>
        <v>68475</v>
      </c>
      <c r="L302" s="555">
        <f t="shared" si="61"/>
        <v>1498929</v>
      </c>
      <c r="M302" s="555">
        <f t="shared" si="61"/>
        <v>0</v>
      </c>
      <c r="N302" s="555">
        <f t="shared" si="61"/>
        <v>0</v>
      </c>
      <c r="O302" s="555">
        <f t="shared" si="61"/>
        <v>0</v>
      </c>
      <c r="P302" s="555">
        <f t="shared" si="61"/>
        <v>1155576</v>
      </c>
      <c r="Q302" s="555">
        <f t="shared" si="61"/>
        <v>1288687</v>
      </c>
      <c r="R302" s="555">
        <f t="shared" si="61"/>
        <v>0</v>
      </c>
      <c r="S302" s="555">
        <f t="shared" si="61"/>
        <v>1906215</v>
      </c>
      <c r="T302" s="555">
        <f t="shared" si="61"/>
        <v>0</v>
      </c>
      <c r="U302" s="555">
        <f t="shared" si="61"/>
        <v>652466</v>
      </c>
      <c r="V302" s="555">
        <f t="shared" si="61"/>
        <v>0</v>
      </c>
      <c r="W302" s="555">
        <f t="shared" si="61"/>
        <v>0</v>
      </c>
      <c r="X302" s="555">
        <f t="shared" si="61"/>
        <v>375698</v>
      </c>
      <c r="Y302" s="555">
        <f t="shared" si="61"/>
        <v>0</v>
      </c>
      <c r="Z302" s="555">
        <f t="shared" si="61"/>
        <v>0</v>
      </c>
      <c r="AA302" s="555">
        <f t="shared" si="61"/>
        <v>745469</v>
      </c>
      <c r="AB302" s="555">
        <f t="shared" si="61"/>
        <v>0</v>
      </c>
      <c r="AC302" s="555">
        <f t="shared" si="61"/>
        <v>0</v>
      </c>
      <c r="AD302" s="555">
        <f t="shared" si="61"/>
        <v>0</v>
      </c>
      <c r="AE302" s="555">
        <f t="shared" si="61"/>
        <v>0</v>
      </c>
      <c r="AF302" s="555">
        <f t="shared" si="61"/>
        <v>0</v>
      </c>
      <c r="AG302" s="555">
        <f t="shared" si="61"/>
        <v>0</v>
      </c>
      <c r="AH302" s="555">
        <f t="shared" si="61"/>
        <v>0</v>
      </c>
      <c r="AI302" s="555">
        <f t="shared" si="61"/>
        <v>0</v>
      </c>
      <c r="AJ302" s="555">
        <f t="shared" ref="AJ302:BO302" si="62">AJ146</f>
        <v>398553</v>
      </c>
      <c r="AK302" s="555">
        <f t="shared" si="62"/>
        <v>0</v>
      </c>
      <c r="AL302" s="555">
        <f t="shared" si="62"/>
        <v>0</v>
      </c>
      <c r="AM302" s="555">
        <f t="shared" si="62"/>
        <v>1068483</v>
      </c>
      <c r="AN302" s="555">
        <f t="shared" si="62"/>
        <v>668564</v>
      </c>
      <c r="AO302" s="555">
        <f t="shared" si="62"/>
        <v>0</v>
      </c>
      <c r="AP302" s="555">
        <f t="shared" si="62"/>
        <v>0</v>
      </c>
      <c r="AQ302" s="555">
        <f t="shared" si="62"/>
        <v>1180221</v>
      </c>
      <c r="AR302" s="555">
        <f t="shared" si="62"/>
        <v>0</v>
      </c>
      <c r="AS302" s="555">
        <f t="shared" si="62"/>
        <v>0</v>
      </c>
      <c r="AT302" s="555">
        <f t="shared" si="62"/>
        <v>0</v>
      </c>
      <c r="AU302" s="555">
        <f t="shared" si="62"/>
        <v>389504</v>
      </c>
      <c r="AV302" s="555">
        <f t="shared" si="62"/>
        <v>0</v>
      </c>
      <c r="AW302" s="555">
        <f t="shared" si="62"/>
        <v>0</v>
      </c>
      <c r="AX302" s="555">
        <f t="shared" si="62"/>
        <v>0</v>
      </c>
      <c r="AY302" s="555">
        <f t="shared" si="62"/>
        <v>0</v>
      </c>
      <c r="AZ302" s="555">
        <f t="shared" si="62"/>
        <v>0</v>
      </c>
      <c r="BA302" s="555">
        <f t="shared" si="62"/>
        <v>0</v>
      </c>
      <c r="BB302" s="555">
        <f t="shared" si="62"/>
        <v>0</v>
      </c>
      <c r="BC302" s="555">
        <f t="shared" si="62"/>
        <v>0</v>
      </c>
      <c r="BD302" s="555">
        <f t="shared" si="62"/>
        <v>0</v>
      </c>
      <c r="BE302" s="555">
        <f t="shared" si="62"/>
        <v>2245011</v>
      </c>
      <c r="BF302" s="555">
        <f t="shared" si="62"/>
        <v>0</v>
      </c>
      <c r="BG302" s="555">
        <f t="shared" si="62"/>
        <v>0</v>
      </c>
      <c r="BH302" s="555">
        <f t="shared" si="62"/>
        <v>666238</v>
      </c>
      <c r="BI302" s="555">
        <f t="shared" si="62"/>
        <v>0</v>
      </c>
      <c r="BJ302" s="555">
        <f t="shared" si="62"/>
        <v>71973</v>
      </c>
      <c r="BK302" s="555">
        <f t="shared" si="62"/>
        <v>0</v>
      </c>
      <c r="BL302" s="555">
        <f t="shared" si="62"/>
        <v>0</v>
      </c>
      <c r="BM302" s="555">
        <f t="shared" si="62"/>
        <v>0</v>
      </c>
      <c r="BN302" s="555">
        <f t="shared" si="62"/>
        <v>1056174</v>
      </c>
      <c r="BO302" s="555">
        <f t="shared" si="62"/>
        <v>0</v>
      </c>
      <c r="BP302" s="555">
        <f t="shared" ref="BP302:CZ302" si="63">BP146</f>
        <v>0</v>
      </c>
      <c r="BQ302" s="555">
        <f t="shared" si="63"/>
        <v>0</v>
      </c>
      <c r="BR302" s="555">
        <f t="shared" si="63"/>
        <v>0</v>
      </c>
      <c r="BS302" s="555">
        <f t="shared" si="63"/>
        <v>791286</v>
      </c>
      <c r="BT302" s="555">
        <f t="shared" si="63"/>
        <v>0</v>
      </c>
      <c r="BU302" s="555">
        <f t="shared" si="63"/>
        <v>0</v>
      </c>
      <c r="BV302" s="555">
        <f t="shared" si="63"/>
        <v>0</v>
      </c>
      <c r="BW302" s="555">
        <f t="shared" si="63"/>
        <v>0</v>
      </c>
      <c r="BX302" s="555">
        <f t="shared" si="63"/>
        <v>0</v>
      </c>
      <c r="BY302" s="555">
        <f t="shared" si="63"/>
        <v>0</v>
      </c>
      <c r="BZ302" s="555">
        <f t="shared" si="63"/>
        <v>1043242</v>
      </c>
      <c r="CA302" s="555">
        <f t="shared" si="63"/>
        <v>0</v>
      </c>
      <c r="CB302" s="555">
        <f t="shared" si="63"/>
        <v>0</v>
      </c>
      <c r="CC302" s="555">
        <f t="shared" si="63"/>
        <v>0</v>
      </c>
      <c r="CD302" s="555">
        <f t="shared" si="63"/>
        <v>0</v>
      </c>
      <c r="CE302" s="555">
        <f t="shared" si="63"/>
        <v>0</v>
      </c>
      <c r="CF302" s="555">
        <f t="shared" si="63"/>
        <v>0</v>
      </c>
      <c r="CG302" s="555">
        <f t="shared" si="63"/>
        <v>0</v>
      </c>
      <c r="CH302" s="555">
        <f t="shared" si="63"/>
        <v>0</v>
      </c>
      <c r="CI302" s="555">
        <f t="shared" si="63"/>
        <v>0</v>
      </c>
      <c r="CJ302" s="555">
        <f t="shared" si="63"/>
        <v>0</v>
      </c>
      <c r="CK302" s="555">
        <f t="shared" si="63"/>
        <v>0</v>
      </c>
      <c r="CL302" s="555">
        <f t="shared" si="63"/>
        <v>0</v>
      </c>
      <c r="CM302" s="555">
        <f t="shared" si="63"/>
        <v>0</v>
      </c>
      <c r="CN302" s="555">
        <f t="shared" si="63"/>
        <v>0</v>
      </c>
      <c r="CO302" s="555">
        <f t="shared" si="63"/>
        <v>0</v>
      </c>
      <c r="CP302" s="555">
        <f t="shared" si="63"/>
        <v>0</v>
      </c>
      <c r="CQ302" s="555">
        <f t="shared" si="63"/>
        <v>0</v>
      </c>
      <c r="CR302" s="555">
        <f t="shared" si="63"/>
        <v>0</v>
      </c>
      <c r="CS302" s="555">
        <f t="shared" si="63"/>
        <v>0</v>
      </c>
      <c r="CT302" s="555">
        <f t="shared" si="63"/>
        <v>0</v>
      </c>
      <c r="CU302" s="555">
        <f t="shared" si="63"/>
        <v>0</v>
      </c>
      <c r="CV302" s="555">
        <f t="shared" si="63"/>
        <v>0</v>
      </c>
      <c r="CW302" s="555">
        <f t="shared" si="63"/>
        <v>0</v>
      </c>
      <c r="CX302" s="555">
        <f t="shared" si="63"/>
        <v>0</v>
      </c>
      <c r="CY302" s="555">
        <f t="shared" si="63"/>
        <v>0</v>
      </c>
      <c r="CZ302" s="555">
        <f t="shared" si="63"/>
        <v>0</v>
      </c>
    </row>
    <row r="303" spans="1:104" x14ac:dyDescent="0.3">
      <c r="A303" s="558">
        <v>557</v>
      </c>
      <c r="B303" s="180"/>
      <c r="C303" s="180">
        <v>147</v>
      </c>
      <c r="D303" s="555">
        <f t="shared" ref="D303:AI303" si="64">D147</f>
        <v>0</v>
      </c>
      <c r="E303" s="555">
        <f t="shared" si="64"/>
        <v>1407142</v>
      </c>
      <c r="F303" s="555">
        <f t="shared" si="64"/>
        <v>0</v>
      </c>
      <c r="G303" s="555">
        <f t="shared" si="64"/>
        <v>1624930</v>
      </c>
      <c r="H303" s="555">
        <f t="shared" si="64"/>
        <v>0</v>
      </c>
      <c r="I303" s="555">
        <f t="shared" si="64"/>
        <v>0</v>
      </c>
      <c r="J303" s="555">
        <f t="shared" si="64"/>
        <v>0</v>
      </c>
      <c r="K303" s="555">
        <f t="shared" si="64"/>
        <v>0</v>
      </c>
      <c r="L303" s="555">
        <f t="shared" si="64"/>
        <v>1463648</v>
      </c>
      <c r="M303" s="555">
        <f t="shared" si="64"/>
        <v>0</v>
      </c>
      <c r="N303" s="555">
        <f t="shared" si="64"/>
        <v>0</v>
      </c>
      <c r="O303" s="555">
        <f t="shared" si="64"/>
        <v>0</v>
      </c>
      <c r="P303" s="555">
        <f t="shared" si="64"/>
        <v>748199</v>
      </c>
      <c r="Q303" s="555">
        <f t="shared" si="64"/>
        <v>724269</v>
      </c>
      <c r="R303" s="555">
        <f t="shared" si="64"/>
        <v>0</v>
      </c>
      <c r="S303" s="555">
        <f t="shared" si="64"/>
        <v>327884</v>
      </c>
      <c r="T303" s="555">
        <f t="shared" si="64"/>
        <v>0</v>
      </c>
      <c r="U303" s="555">
        <f t="shared" si="64"/>
        <v>650216</v>
      </c>
      <c r="V303" s="555">
        <f t="shared" si="64"/>
        <v>0</v>
      </c>
      <c r="W303" s="555">
        <f t="shared" si="64"/>
        <v>0</v>
      </c>
      <c r="X303" s="555">
        <f t="shared" si="64"/>
        <v>0</v>
      </c>
      <c r="Y303" s="555">
        <f t="shared" si="64"/>
        <v>0</v>
      </c>
      <c r="Z303" s="555">
        <f t="shared" si="64"/>
        <v>0</v>
      </c>
      <c r="AA303" s="555">
        <f t="shared" si="64"/>
        <v>632969</v>
      </c>
      <c r="AB303" s="555">
        <f t="shared" si="64"/>
        <v>0</v>
      </c>
      <c r="AC303" s="555">
        <f t="shared" si="64"/>
        <v>0</v>
      </c>
      <c r="AD303" s="555">
        <f t="shared" si="64"/>
        <v>0</v>
      </c>
      <c r="AE303" s="555">
        <f t="shared" si="64"/>
        <v>0</v>
      </c>
      <c r="AF303" s="555">
        <f t="shared" si="64"/>
        <v>0</v>
      </c>
      <c r="AG303" s="555">
        <f t="shared" si="64"/>
        <v>0</v>
      </c>
      <c r="AH303" s="555">
        <f t="shared" si="64"/>
        <v>0</v>
      </c>
      <c r="AI303" s="555">
        <f t="shared" si="64"/>
        <v>0</v>
      </c>
      <c r="AJ303" s="555">
        <f t="shared" ref="AJ303:BO303" si="65">AJ147</f>
        <v>0</v>
      </c>
      <c r="AK303" s="555">
        <f t="shared" si="65"/>
        <v>0</v>
      </c>
      <c r="AL303" s="555">
        <f t="shared" si="65"/>
        <v>0</v>
      </c>
      <c r="AM303" s="555">
        <f t="shared" si="65"/>
        <v>680139</v>
      </c>
      <c r="AN303" s="555">
        <f t="shared" si="65"/>
        <v>618203</v>
      </c>
      <c r="AO303" s="555">
        <f t="shared" si="65"/>
        <v>0</v>
      </c>
      <c r="AP303" s="555">
        <f t="shared" si="65"/>
        <v>0</v>
      </c>
      <c r="AQ303" s="555">
        <f t="shared" si="65"/>
        <v>952928</v>
      </c>
      <c r="AR303" s="555">
        <f t="shared" si="65"/>
        <v>0</v>
      </c>
      <c r="AS303" s="555">
        <f t="shared" si="65"/>
        <v>0</v>
      </c>
      <c r="AT303" s="555">
        <f t="shared" si="65"/>
        <v>0</v>
      </c>
      <c r="AU303" s="555">
        <f t="shared" si="65"/>
        <v>0</v>
      </c>
      <c r="AV303" s="555">
        <f t="shared" si="65"/>
        <v>0</v>
      </c>
      <c r="AW303" s="555">
        <f t="shared" si="65"/>
        <v>0</v>
      </c>
      <c r="AX303" s="555">
        <f t="shared" si="65"/>
        <v>0</v>
      </c>
      <c r="AY303" s="555">
        <f t="shared" si="65"/>
        <v>0</v>
      </c>
      <c r="AZ303" s="555">
        <f t="shared" si="65"/>
        <v>0</v>
      </c>
      <c r="BA303" s="555">
        <f t="shared" si="65"/>
        <v>0</v>
      </c>
      <c r="BB303" s="555">
        <f t="shared" si="65"/>
        <v>0</v>
      </c>
      <c r="BC303" s="555">
        <f t="shared" si="65"/>
        <v>0</v>
      </c>
      <c r="BD303" s="555">
        <f t="shared" si="65"/>
        <v>0</v>
      </c>
      <c r="BE303" s="555">
        <f t="shared" si="65"/>
        <v>1679567</v>
      </c>
      <c r="BF303" s="555">
        <f t="shared" si="65"/>
        <v>0</v>
      </c>
      <c r="BG303" s="555">
        <f t="shared" si="65"/>
        <v>0</v>
      </c>
      <c r="BH303" s="555">
        <f t="shared" si="65"/>
        <v>481792</v>
      </c>
      <c r="BI303" s="555">
        <f t="shared" si="65"/>
        <v>0</v>
      </c>
      <c r="BJ303" s="555">
        <f t="shared" si="65"/>
        <v>0</v>
      </c>
      <c r="BK303" s="555">
        <f t="shared" si="65"/>
        <v>0</v>
      </c>
      <c r="BL303" s="555">
        <f t="shared" si="65"/>
        <v>0</v>
      </c>
      <c r="BM303" s="555">
        <f t="shared" si="65"/>
        <v>0</v>
      </c>
      <c r="BN303" s="555">
        <f t="shared" si="65"/>
        <v>581552</v>
      </c>
      <c r="BO303" s="555">
        <f t="shared" si="65"/>
        <v>0</v>
      </c>
      <c r="BP303" s="555">
        <f t="shared" ref="BP303:CZ303" si="66">BP147</f>
        <v>0</v>
      </c>
      <c r="BQ303" s="555">
        <f t="shared" si="66"/>
        <v>0</v>
      </c>
      <c r="BR303" s="555">
        <f t="shared" si="66"/>
        <v>0</v>
      </c>
      <c r="BS303" s="555">
        <f t="shared" si="66"/>
        <v>788486</v>
      </c>
      <c r="BT303" s="555">
        <f t="shared" si="66"/>
        <v>0</v>
      </c>
      <c r="BU303" s="555">
        <f t="shared" si="66"/>
        <v>0</v>
      </c>
      <c r="BV303" s="555">
        <f t="shared" si="66"/>
        <v>0</v>
      </c>
      <c r="BW303" s="555">
        <f t="shared" si="66"/>
        <v>0</v>
      </c>
      <c r="BX303" s="555">
        <f t="shared" si="66"/>
        <v>0</v>
      </c>
      <c r="BY303" s="555">
        <f t="shared" si="66"/>
        <v>0</v>
      </c>
      <c r="BZ303" s="555">
        <f t="shared" si="66"/>
        <v>977992</v>
      </c>
      <c r="CA303" s="555">
        <f t="shared" si="66"/>
        <v>0</v>
      </c>
      <c r="CB303" s="555">
        <f t="shared" si="66"/>
        <v>0</v>
      </c>
      <c r="CC303" s="555">
        <f t="shared" si="66"/>
        <v>0</v>
      </c>
      <c r="CD303" s="555">
        <f t="shared" si="66"/>
        <v>0</v>
      </c>
      <c r="CE303" s="555">
        <f t="shared" si="66"/>
        <v>0</v>
      </c>
      <c r="CF303" s="555">
        <f t="shared" si="66"/>
        <v>0</v>
      </c>
      <c r="CG303" s="555">
        <f t="shared" si="66"/>
        <v>0</v>
      </c>
      <c r="CH303" s="555">
        <f t="shared" si="66"/>
        <v>0</v>
      </c>
      <c r="CI303" s="555">
        <f t="shared" si="66"/>
        <v>0</v>
      </c>
      <c r="CJ303" s="555">
        <f t="shared" si="66"/>
        <v>0</v>
      </c>
      <c r="CK303" s="555">
        <f t="shared" si="66"/>
        <v>0</v>
      </c>
      <c r="CL303" s="555">
        <f t="shared" si="66"/>
        <v>0</v>
      </c>
      <c r="CM303" s="555">
        <f t="shared" si="66"/>
        <v>0</v>
      </c>
      <c r="CN303" s="555">
        <f t="shared" si="66"/>
        <v>0</v>
      </c>
      <c r="CO303" s="555">
        <f t="shared" si="66"/>
        <v>0</v>
      </c>
      <c r="CP303" s="555">
        <f t="shared" si="66"/>
        <v>0</v>
      </c>
      <c r="CQ303" s="555">
        <f t="shared" si="66"/>
        <v>0</v>
      </c>
      <c r="CR303" s="555">
        <f t="shared" si="66"/>
        <v>0</v>
      </c>
      <c r="CS303" s="555">
        <f t="shared" si="66"/>
        <v>0</v>
      </c>
      <c r="CT303" s="555">
        <f t="shared" si="66"/>
        <v>0</v>
      </c>
      <c r="CU303" s="555">
        <f t="shared" si="66"/>
        <v>0</v>
      </c>
      <c r="CV303" s="555">
        <f t="shared" si="66"/>
        <v>0</v>
      </c>
      <c r="CW303" s="555">
        <f t="shared" si="66"/>
        <v>0</v>
      </c>
      <c r="CX303" s="555">
        <f t="shared" si="66"/>
        <v>0</v>
      </c>
      <c r="CY303" s="555">
        <f t="shared" si="66"/>
        <v>0</v>
      </c>
      <c r="CZ303" s="555">
        <f t="shared" si="66"/>
        <v>0</v>
      </c>
    </row>
    <row r="304" spans="1:104" x14ac:dyDescent="0.3">
      <c r="A304" s="558">
        <v>606</v>
      </c>
      <c r="B304" s="180"/>
      <c r="C304" s="180">
        <v>164</v>
      </c>
      <c r="D304" s="555">
        <f t="shared" ref="D304:AI304" si="67">D164</f>
        <v>0</v>
      </c>
      <c r="E304" s="555">
        <f t="shared" si="67"/>
        <v>1</v>
      </c>
      <c r="F304" s="555">
        <f t="shared" si="67"/>
        <v>0</v>
      </c>
      <c r="G304" s="555">
        <f t="shared" si="67"/>
        <v>1</v>
      </c>
      <c r="H304" s="555">
        <f t="shared" si="67"/>
        <v>0</v>
      </c>
      <c r="I304" s="555">
        <f t="shared" si="67"/>
        <v>0</v>
      </c>
      <c r="J304" s="555">
        <f t="shared" si="67"/>
        <v>0</v>
      </c>
      <c r="K304" s="555">
        <f t="shared" si="67"/>
        <v>1</v>
      </c>
      <c r="L304" s="555">
        <f t="shared" si="67"/>
        <v>1</v>
      </c>
      <c r="M304" s="555">
        <f t="shared" si="67"/>
        <v>0</v>
      </c>
      <c r="N304" s="555">
        <f t="shared" si="67"/>
        <v>0</v>
      </c>
      <c r="O304" s="555">
        <f t="shared" si="67"/>
        <v>0</v>
      </c>
      <c r="P304" s="555">
        <f t="shared" si="67"/>
        <v>1</v>
      </c>
      <c r="Q304" s="555">
        <f t="shared" si="67"/>
        <v>1</v>
      </c>
      <c r="R304" s="555">
        <f t="shared" si="67"/>
        <v>0</v>
      </c>
      <c r="S304" s="555">
        <f t="shared" si="67"/>
        <v>0</v>
      </c>
      <c r="T304" s="555">
        <f t="shared" si="67"/>
        <v>0</v>
      </c>
      <c r="U304" s="555">
        <f t="shared" si="67"/>
        <v>1</v>
      </c>
      <c r="V304" s="555">
        <f t="shared" si="67"/>
        <v>0</v>
      </c>
      <c r="W304" s="555">
        <f t="shared" si="67"/>
        <v>0</v>
      </c>
      <c r="X304" s="555">
        <f t="shared" si="67"/>
        <v>1</v>
      </c>
      <c r="Y304" s="555">
        <f t="shared" si="67"/>
        <v>1</v>
      </c>
      <c r="Z304" s="555">
        <f t="shared" si="67"/>
        <v>0</v>
      </c>
      <c r="AA304" s="555">
        <f t="shared" si="67"/>
        <v>1</v>
      </c>
      <c r="AB304" s="555">
        <f t="shared" si="67"/>
        <v>0</v>
      </c>
      <c r="AC304" s="555">
        <f t="shared" si="67"/>
        <v>0</v>
      </c>
      <c r="AD304" s="555">
        <f t="shared" si="67"/>
        <v>0</v>
      </c>
      <c r="AE304" s="555">
        <f t="shared" si="67"/>
        <v>0</v>
      </c>
      <c r="AF304" s="555">
        <f t="shared" si="67"/>
        <v>0</v>
      </c>
      <c r="AG304" s="555">
        <f t="shared" si="67"/>
        <v>0</v>
      </c>
      <c r="AH304" s="555">
        <f t="shared" si="67"/>
        <v>0</v>
      </c>
      <c r="AI304" s="555">
        <f t="shared" si="67"/>
        <v>0</v>
      </c>
      <c r="AJ304" s="555">
        <f t="shared" ref="AJ304:BO304" si="68">AJ164</f>
        <v>1</v>
      </c>
      <c r="AK304" s="555">
        <f t="shared" si="68"/>
        <v>0</v>
      </c>
      <c r="AL304" s="555">
        <f t="shared" si="68"/>
        <v>0</v>
      </c>
      <c r="AM304" s="555">
        <f t="shared" si="68"/>
        <v>1</v>
      </c>
      <c r="AN304" s="555">
        <f t="shared" si="68"/>
        <v>1</v>
      </c>
      <c r="AO304" s="555">
        <f t="shared" si="68"/>
        <v>0</v>
      </c>
      <c r="AP304" s="555">
        <f t="shared" si="68"/>
        <v>0</v>
      </c>
      <c r="AQ304" s="555">
        <f t="shared" si="68"/>
        <v>1</v>
      </c>
      <c r="AR304" s="555">
        <f t="shared" si="68"/>
        <v>0</v>
      </c>
      <c r="AS304" s="555">
        <f t="shared" si="68"/>
        <v>0</v>
      </c>
      <c r="AT304" s="555">
        <f t="shared" si="68"/>
        <v>0</v>
      </c>
      <c r="AU304" s="555">
        <f t="shared" si="68"/>
        <v>1</v>
      </c>
      <c r="AV304" s="555">
        <f t="shared" si="68"/>
        <v>0</v>
      </c>
      <c r="AW304" s="555">
        <f t="shared" si="68"/>
        <v>0</v>
      </c>
      <c r="AX304" s="555">
        <f t="shared" si="68"/>
        <v>0</v>
      </c>
      <c r="AY304" s="555">
        <f t="shared" si="68"/>
        <v>0</v>
      </c>
      <c r="AZ304" s="555">
        <f t="shared" si="68"/>
        <v>0</v>
      </c>
      <c r="BA304" s="555">
        <f t="shared" si="68"/>
        <v>0</v>
      </c>
      <c r="BB304" s="555">
        <f t="shared" si="68"/>
        <v>0</v>
      </c>
      <c r="BC304" s="555">
        <f t="shared" si="68"/>
        <v>0</v>
      </c>
      <c r="BD304" s="555">
        <f t="shared" si="68"/>
        <v>0</v>
      </c>
      <c r="BE304" s="555">
        <f t="shared" si="68"/>
        <v>1</v>
      </c>
      <c r="BF304" s="555">
        <f t="shared" si="68"/>
        <v>0</v>
      </c>
      <c r="BG304" s="555">
        <f t="shared" si="68"/>
        <v>0</v>
      </c>
      <c r="BH304" s="555">
        <f t="shared" si="68"/>
        <v>1</v>
      </c>
      <c r="BI304" s="555">
        <f t="shared" si="68"/>
        <v>0</v>
      </c>
      <c r="BJ304" s="555">
        <f t="shared" si="68"/>
        <v>1</v>
      </c>
      <c r="BK304" s="555">
        <f t="shared" si="68"/>
        <v>0</v>
      </c>
      <c r="BL304" s="555">
        <f t="shared" si="68"/>
        <v>0</v>
      </c>
      <c r="BM304" s="555">
        <f t="shared" si="68"/>
        <v>0</v>
      </c>
      <c r="BN304" s="555">
        <f t="shared" si="68"/>
        <v>1</v>
      </c>
      <c r="BO304" s="555">
        <f t="shared" si="68"/>
        <v>0</v>
      </c>
      <c r="BP304" s="555">
        <f t="shared" ref="BP304:CZ304" si="69">BP164</f>
        <v>0</v>
      </c>
      <c r="BQ304" s="555">
        <f t="shared" si="69"/>
        <v>0</v>
      </c>
      <c r="BR304" s="555">
        <f t="shared" si="69"/>
        <v>0</v>
      </c>
      <c r="BS304" s="555">
        <f t="shared" si="69"/>
        <v>1</v>
      </c>
      <c r="BT304" s="555">
        <f t="shared" si="69"/>
        <v>0</v>
      </c>
      <c r="BU304" s="555">
        <f t="shared" si="69"/>
        <v>0</v>
      </c>
      <c r="BV304" s="555">
        <f t="shared" si="69"/>
        <v>0</v>
      </c>
      <c r="BW304" s="555">
        <f t="shared" si="69"/>
        <v>0</v>
      </c>
      <c r="BX304" s="555">
        <f t="shared" si="69"/>
        <v>0</v>
      </c>
      <c r="BY304" s="555">
        <f t="shared" si="69"/>
        <v>0</v>
      </c>
      <c r="BZ304" s="555">
        <f t="shared" si="69"/>
        <v>1</v>
      </c>
      <c r="CA304" s="555">
        <f t="shared" si="69"/>
        <v>0</v>
      </c>
      <c r="CB304" s="555">
        <f t="shared" si="69"/>
        <v>0</v>
      </c>
      <c r="CC304" s="555">
        <f t="shared" si="69"/>
        <v>0</v>
      </c>
      <c r="CD304" s="555">
        <f t="shared" si="69"/>
        <v>0</v>
      </c>
      <c r="CE304" s="555">
        <f t="shared" si="69"/>
        <v>0</v>
      </c>
      <c r="CF304" s="555">
        <f t="shared" si="69"/>
        <v>0</v>
      </c>
      <c r="CG304" s="555">
        <f t="shared" si="69"/>
        <v>0</v>
      </c>
      <c r="CH304" s="555">
        <f t="shared" si="69"/>
        <v>0</v>
      </c>
      <c r="CI304" s="555">
        <f t="shared" si="69"/>
        <v>0</v>
      </c>
      <c r="CJ304" s="555">
        <f t="shared" si="69"/>
        <v>0</v>
      </c>
      <c r="CK304" s="555">
        <f t="shared" si="69"/>
        <v>0</v>
      </c>
      <c r="CL304" s="555">
        <f t="shared" si="69"/>
        <v>0</v>
      </c>
      <c r="CM304" s="555">
        <f t="shared" si="69"/>
        <v>0</v>
      </c>
      <c r="CN304" s="555">
        <f t="shared" si="69"/>
        <v>0</v>
      </c>
      <c r="CO304" s="555">
        <f t="shared" si="69"/>
        <v>0</v>
      </c>
      <c r="CP304" s="555">
        <f t="shared" si="69"/>
        <v>0</v>
      </c>
      <c r="CQ304" s="555">
        <f t="shared" si="69"/>
        <v>0</v>
      </c>
      <c r="CR304" s="555">
        <f t="shared" si="69"/>
        <v>0</v>
      </c>
      <c r="CS304" s="555">
        <f t="shared" si="69"/>
        <v>0</v>
      </c>
      <c r="CT304" s="555">
        <f t="shared" si="69"/>
        <v>0</v>
      </c>
      <c r="CU304" s="555">
        <f t="shared" si="69"/>
        <v>0</v>
      </c>
      <c r="CV304" s="555">
        <f t="shared" si="69"/>
        <v>0</v>
      </c>
      <c r="CW304" s="555">
        <f t="shared" si="69"/>
        <v>0</v>
      </c>
      <c r="CX304" s="555">
        <f t="shared" si="69"/>
        <v>0</v>
      </c>
      <c r="CY304" s="555">
        <f t="shared" si="69"/>
        <v>0</v>
      </c>
      <c r="CZ304" s="555">
        <f t="shared" si="69"/>
        <v>0</v>
      </c>
    </row>
    <row r="305" spans="1:104" x14ac:dyDescent="0.3">
      <c r="A305" s="558">
        <v>662</v>
      </c>
      <c r="B305" s="180" t="s">
        <v>451</v>
      </c>
      <c r="C305" s="180">
        <v>201</v>
      </c>
      <c r="D305" s="555">
        <f t="shared" ref="D305:AI305" si="70">D201</f>
        <v>0</v>
      </c>
      <c r="E305" s="555">
        <f t="shared" si="70"/>
        <v>0</v>
      </c>
      <c r="F305" s="555">
        <f t="shared" si="70"/>
        <v>0</v>
      </c>
      <c r="G305" s="555">
        <f t="shared" si="70"/>
        <v>128807</v>
      </c>
      <c r="H305" s="555">
        <f t="shared" si="70"/>
        <v>0</v>
      </c>
      <c r="I305" s="555">
        <f t="shared" si="70"/>
        <v>0</v>
      </c>
      <c r="J305" s="555">
        <f t="shared" si="70"/>
        <v>0</v>
      </c>
      <c r="K305" s="555">
        <f t="shared" si="70"/>
        <v>0</v>
      </c>
      <c r="L305" s="555">
        <f t="shared" si="70"/>
        <v>0</v>
      </c>
      <c r="M305" s="555">
        <f t="shared" si="70"/>
        <v>0</v>
      </c>
      <c r="N305" s="555">
        <f t="shared" si="70"/>
        <v>0</v>
      </c>
      <c r="O305" s="555">
        <f t="shared" si="70"/>
        <v>0</v>
      </c>
      <c r="P305" s="555">
        <f t="shared" si="70"/>
        <v>0</v>
      </c>
      <c r="Q305" s="555">
        <f t="shared" si="70"/>
        <v>0</v>
      </c>
      <c r="R305" s="555">
        <f t="shared" si="70"/>
        <v>0</v>
      </c>
      <c r="S305" s="555">
        <f t="shared" si="70"/>
        <v>1</v>
      </c>
      <c r="T305" s="555">
        <f t="shared" si="70"/>
        <v>0</v>
      </c>
      <c r="U305" s="555">
        <f t="shared" si="70"/>
        <v>16214</v>
      </c>
      <c r="V305" s="555">
        <f t="shared" si="70"/>
        <v>0</v>
      </c>
      <c r="W305" s="555">
        <f t="shared" si="70"/>
        <v>0</v>
      </c>
      <c r="X305" s="555">
        <f t="shared" si="70"/>
        <v>445364</v>
      </c>
      <c r="Y305" s="555">
        <f t="shared" si="70"/>
        <v>0</v>
      </c>
      <c r="Z305" s="555">
        <f t="shared" si="70"/>
        <v>0</v>
      </c>
      <c r="AA305" s="555">
        <f t="shared" si="70"/>
        <v>0</v>
      </c>
      <c r="AB305" s="555">
        <f t="shared" si="70"/>
        <v>0</v>
      </c>
      <c r="AC305" s="555">
        <f t="shared" si="70"/>
        <v>0</v>
      </c>
      <c r="AD305" s="555">
        <f t="shared" si="70"/>
        <v>0</v>
      </c>
      <c r="AE305" s="555">
        <f t="shared" si="70"/>
        <v>0</v>
      </c>
      <c r="AF305" s="555">
        <f t="shared" si="70"/>
        <v>0</v>
      </c>
      <c r="AG305" s="555">
        <f t="shared" si="70"/>
        <v>0</v>
      </c>
      <c r="AH305" s="555">
        <f t="shared" si="70"/>
        <v>0</v>
      </c>
      <c r="AI305" s="555">
        <f t="shared" si="70"/>
        <v>0</v>
      </c>
      <c r="AJ305" s="555">
        <f t="shared" ref="AJ305:BO305" si="71">AJ201</f>
        <v>0</v>
      </c>
      <c r="AK305" s="555">
        <f t="shared" si="71"/>
        <v>0</v>
      </c>
      <c r="AL305" s="555">
        <f t="shared" si="71"/>
        <v>0</v>
      </c>
      <c r="AM305" s="555">
        <f t="shared" si="71"/>
        <v>0</v>
      </c>
      <c r="AN305" s="555">
        <f t="shared" si="71"/>
        <v>0</v>
      </c>
      <c r="AO305" s="555">
        <f t="shared" si="71"/>
        <v>0</v>
      </c>
      <c r="AP305" s="555">
        <f t="shared" si="71"/>
        <v>0</v>
      </c>
      <c r="AQ305" s="555">
        <f t="shared" si="71"/>
        <v>0</v>
      </c>
      <c r="AR305" s="555">
        <f t="shared" si="71"/>
        <v>0</v>
      </c>
      <c r="AS305" s="555">
        <f t="shared" si="71"/>
        <v>0</v>
      </c>
      <c r="AT305" s="555">
        <f t="shared" si="71"/>
        <v>0</v>
      </c>
      <c r="AU305" s="555">
        <f t="shared" si="71"/>
        <v>0</v>
      </c>
      <c r="AV305" s="555">
        <f t="shared" si="71"/>
        <v>0</v>
      </c>
      <c r="AW305" s="555">
        <f t="shared" si="71"/>
        <v>0</v>
      </c>
      <c r="AX305" s="555">
        <f t="shared" si="71"/>
        <v>0</v>
      </c>
      <c r="AY305" s="555">
        <f t="shared" si="71"/>
        <v>0</v>
      </c>
      <c r="AZ305" s="555">
        <f t="shared" si="71"/>
        <v>0</v>
      </c>
      <c r="BA305" s="555">
        <f t="shared" si="71"/>
        <v>0</v>
      </c>
      <c r="BB305" s="555">
        <f t="shared" si="71"/>
        <v>0</v>
      </c>
      <c r="BC305" s="555">
        <f t="shared" si="71"/>
        <v>0</v>
      </c>
      <c r="BD305" s="555">
        <f t="shared" si="71"/>
        <v>0</v>
      </c>
      <c r="BE305" s="555">
        <f t="shared" si="71"/>
        <v>0</v>
      </c>
      <c r="BF305" s="555">
        <f t="shared" si="71"/>
        <v>0</v>
      </c>
      <c r="BG305" s="555">
        <f t="shared" si="71"/>
        <v>0</v>
      </c>
      <c r="BH305" s="555">
        <f t="shared" si="71"/>
        <v>0</v>
      </c>
      <c r="BI305" s="555">
        <f t="shared" si="71"/>
        <v>0</v>
      </c>
      <c r="BJ305" s="555">
        <f t="shared" si="71"/>
        <v>0</v>
      </c>
      <c r="BK305" s="555">
        <f t="shared" si="71"/>
        <v>0</v>
      </c>
      <c r="BL305" s="555">
        <f t="shared" si="71"/>
        <v>0</v>
      </c>
      <c r="BM305" s="555">
        <f t="shared" si="71"/>
        <v>0</v>
      </c>
      <c r="BN305" s="555">
        <f t="shared" si="71"/>
        <v>0</v>
      </c>
      <c r="BO305" s="555">
        <f t="shared" si="71"/>
        <v>0</v>
      </c>
      <c r="BP305" s="555">
        <f t="shared" ref="BP305:CZ305" si="72">BP201</f>
        <v>0</v>
      </c>
      <c r="BQ305" s="555">
        <f t="shared" si="72"/>
        <v>0</v>
      </c>
      <c r="BR305" s="555">
        <f t="shared" si="72"/>
        <v>0</v>
      </c>
      <c r="BS305" s="555">
        <f t="shared" si="72"/>
        <v>0</v>
      </c>
      <c r="BT305" s="555">
        <f t="shared" si="72"/>
        <v>0</v>
      </c>
      <c r="BU305" s="555">
        <f t="shared" si="72"/>
        <v>0</v>
      </c>
      <c r="BV305" s="555">
        <f t="shared" si="72"/>
        <v>0</v>
      </c>
      <c r="BW305" s="555">
        <f t="shared" si="72"/>
        <v>0</v>
      </c>
      <c r="BX305" s="555">
        <f t="shared" si="72"/>
        <v>0</v>
      </c>
      <c r="BY305" s="555">
        <f t="shared" si="72"/>
        <v>0</v>
      </c>
      <c r="BZ305" s="555">
        <f t="shared" si="72"/>
        <v>0</v>
      </c>
      <c r="CA305" s="555">
        <f t="shared" si="72"/>
        <v>0</v>
      </c>
      <c r="CB305" s="555">
        <f t="shared" si="72"/>
        <v>0</v>
      </c>
      <c r="CC305" s="555">
        <f t="shared" si="72"/>
        <v>0</v>
      </c>
      <c r="CD305" s="555">
        <f t="shared" si="72"/>
        <v>0</v>
      </c>
      <c r="CE305" s="555">
        <f t="shared" si="72"/>
        <v>0</v>
      </c>
      <c r="CF305" s="555">
        <f t="shared" si="72"/>
        <v>0</v>
      </c>
      <c r="CG305" s="555">
        <f t="shared" si="72"/>
        <v>0</v>
      </c>
      <c r="CH305" s="555">
        <f t="shared" si="72"/>
        <v>0</v>
      </c>
      <c r="CI305" s="555">
        <f t="shared" si="72"/>
        <v>0</v>
      </c>
      <c r="CJ305" s="555">
        <f t="shared" si="72"/>
        <v>0</v>
      </c>
      <c r="CK305" s="555">
        <f t="shared" si="72"/>
        <v>0</v>
      </c>
      <c r="CL305" s="555">
        <f t="shared" si="72"/>
        <v>0</v>
      </c>
      <c r="CM305" s="555">
        <f t="shared" si="72"/>
        <v>0</v>
      </c>
      <c r="CN305" s="555">
        <f t="shared" si="72"/>
        <v>0</v>
      </c>
      <c r="CO305" s="555">
        <f t="shared" si="72"/>
        <v>0</v>
      </c>
      <c r="CP305" s="555">
        <f t="shared" si="72"/>
        <v>0</v>
      </c>
      <c r="CQ305" s="555">
        <f t="shared" si="72"/>
        <v>0</v>
      </c>
      <c r="CR305" s="555">
        <f t="shared" si="72"/>
        <v>0</v>
      </c>
      <c r="CS305" s="555">
        <f t="shared" si="72"/>
        <v>0</v>
      </c>
      <c r="CT305" s="555">
        <f t="shared" si="72"/>
        <v>0</v>
      </c>
      <c r="CU305" s="555">
        <f t="shared" si="72"/>
        <v>0</v>
      </c>
      <c r="CV305" s="555">
        <f t="shared" si="72"/>
        <v>0</v>
      </c>
      <c r="CW305" s="555">
        <f t="shared" si="72"/>
        <v>0</v>
      </c>
      <c r="CX305" s="555">
        <f t="shared" si="72"/>
        <v>0</v>
      </c>
      <c r="CY305" s="555">
        <f t="shared" si="72"/>
        <v>0</v>
      </c>
      <c r="CZ305" s="555">
        <f t="shared" si="72"/>
        <v>0</v>
      </c>
    </row>
    <row r="306" spans="1:104" x14ac:dyDescent="0.3">
      <c r="A306" s="558">
        <v>663</v>
      </c>
      <c r="B306" s="180" t="s">
        <v>975</v>
      </c>
      <c r="C306" s="180">
        <v>202</v>
      </c>
      <c r="D306" s="555">
        <f t="shared" ref="D306:AI306" si="73">D202</f>
        <v>0</v>
      </c>
      <c r="E306" s="555">
        <f t="shared" si="73"/>
        <v>0</v>
      </c>
      <c r="F306" s="555">
        <f t="shared" si="73"/>
        <v>0</v>
      </c>
      <c r="G306" s="555">
        <f t="shared" si="73"/>
        <v>0</v>
      </c>
      <c r="H306" s="555">
        <f t="shared" si="73"/>
        <v>0</v>
      </c>
      <c r="I306" s="555">
        <f t="shared" si="73"/>
        <v>0</v>
      </c>
      <c r="J306" s="555">
        <f t="shared" si="73"/>
        <v>0</v>
      </c>
      <c r="K306" s="555">
        <f t="shared" si="73"/>
        <v>0</v>
      </c>
      <c r="L306" s="555">
        <f t="shared" si="73"/>
        <v>1463648</v>
      </c>
      <c r="M306" s="555">
        <f t="shared" si="73"/>
        <v>0</v>
      </c>
      <c r="N306" s="555">
        <f t="shared" si="73"/>
        <v>0</v>
      </c>
      <c r="O306" s="555">
        <f t="shared" si="73"/>
        <v>0</v>
      </c>
      <c r="P306" s="555">
        <f t="shared" si="73"/>
        <v>0</v>
      </c>
      <c r="Q306" s="555">
        <f t="shared" si="73"/>
        <v>0</v>
      </c>
      <c r="R306" s="555">
        <f t="shared" si="73"/>
        <v>0</v>
      </c>
      <c r="S306" s="555">
        <f t="shared" si="73"/>
        <v>11629</v>
      </c>
      <c r="T306" s="555">
        <f t="shared" si="73"/>
        <v>0</v>
      </c>
      <c r="U306" s="555">
        <f t="shared" si="73"/>
        <v>421234</v>
      </c>
      <c r="V306" s="555">
        <f t="shared" si="73"/>
        <v>0</v>
      </c>
      <c r="W306" s="555">
        <f t="shared" si="73"/>
        <v>0</v>
      </c>
      <c r="X306" s="555">
        <f t="shared" si="73"/>
        <v>0</v>
      </c>
      <c r="Y306" s="555">
        <f t="shared" si="73"/>
        <v>0</v>
      </c>
      <c r="Z306" s="555">
        <f t="shared" si="73"/>
        <v>0</v>
      </c>
      <c r="AA306" s="555">
        <f t="shared" si="73"/>
        <v>0</v>
      </c>
      <c r="AB306" s="555">
        <f t="shared" si="73"/>
        <v>0</v>
      </c>
      <c r="AC306" s="555">
        <f t="shared" si="73"/>
        <v>0</v>
      </c>
      <c r="AD306" s="555">
        <f t="shared" si="73"/>
        <v>0</v>
      </c>
      <c r="AE306" s="555">
        <f t="shared" si="73"/>
        <v>0</v>
      </c>
      <c r="AF306" s="555">
        <f t="shared" si="73"/>
        <v>0</v>
      </c>
      <c r="AG306" s="555">
        <f t="shared" si="73"/>
        <v>0</v>
      </c>
      <c r="AH306" s="555">
        <f t="shared" si="73"/>
        <v>0</v>
      </c>
      <c r="AI306" s="555">
        <f t="shared" si="73"/>
        <v>0</v>
      </c>
      <c r="AJ306" s="555">
        <f t="shared" ref="AJ306:BO306" si="74">AJ202</f>
        <v>0</v>
      </c>
      <c r="AK306" s="555">
        <f t="shared" si="74"/>
        <v>0</v>
      </c>
      <c r="AL306" s="555">
        <f t="shared" si="74"/>
        <v>0</v>
      </c>
      <c r="AM306" s="555">
        <f t="shared" si="74"/>
        <v>0</v>
      </c>
      <c r="AN306" s="555">
        <f t="shared" si="74"/>
        <v>0</v>
      </c>
      <c r="AO306" s="555">
        <f t="shared" si="74"/>
        <v>0</v>
      </c>
      <c r="AP306" s="555">
        <f t="shared" si="74"/>
        <v>0</v>
      </c>
      <c r="AQ306" s="555">
        <f t="shared" si="74"/>
        <v>0</v>
      </c>
      <c r="AR306" s="555">
        <f t="shared" si="74"/>
        <v>0</v>
      </c>
      <c r="AS306" s="555">
        <f t="shared" si="74"/>
        <v>0</v>
      </c>
      <c r="AT306" s="555">
        <f t="shared" si="74"/>
        <v>0</v>
      </c>
      <c r="AU306" s="555">
        <f t="shared" si="74"/>
        <v>0</v>
      </c>
      <c r="AV306" s="555">
        <f t="shared" si="74"/>
        <v>0</v>
      </c>
      <c r="AW306" s="555">
        <f t="shared" si="74"/>
        <v>0</v>
      </c>
      <c r="AX306" s="555">
        <f t="shared" si="74"/>
        <v>0</v>
      </c>
      <c r="AY306" s="555">
        <f t="shared" si="74"/>
        <v>0</v>
      </c>
      <c r="AZ306" s="555">
        <f t="shared" si="74"/>
        <v>0</v>
      </c>
      <c r="BA306" s="555">
        <f t="shared" si="74"/>
        <v>0</v>
      </c>
      <c r="BB306" s="555">
        <f t="shared" si="74"/>
        <v>0</v>
      </c>
      <c r="BC306" s="555">
        <f t="shared" si="74"/>
        <v>0</v>
      </c>
      <c r="BD306" s="555">
        <f t="shared" si="74"/>
        <v>0</v>
      </c>
      <c r="BE306" s="555">
        <f t="shared" si="74"/>
        <v>0</v>
      </c>
      <c r="BF306" s="555">
        <f t="shared" si="74"/>
        <v>0</v>
      </c>
      <c r="BG306" s="555">
        <f t="shared" si="74"/>
        <v>0</v>
      </c>
      <c r="BH306" s="555">
        <f t="shared" si="74"/>
        <v>0</v>
      </c>
      <c r="BI306" s="555">
        <f t="shared" si="74"/>
        <v>0</v>
      </c>
      <c r="BJ306" s="555">
        <f t="shared" si="74"/>
        <v>0</v>
      </c>
      <c r="BK306" s="555">
        <f t="shared" si="74"/>
        <v>0</v>
      </c>
      <c r="BL306" s="555">
        <f t="shared" si="74"/>
        <v>0</v>
      </c>
      <c r="BM306" s="555">
        <f t="shared" si="74"/>
        <v>0</v>
      </c>
      <c r="BN306" s="555">
        <f t="shared" si="74"/>
        <v>0</v>
      </c>
      <c r="BO306" s="555">
        <f t="shared" si="74"/>
        <v>0</v>
      </c>
      <c r="BP306" s="555">
        <f t="shared" ref="BP306:CZ306" si="75">BP202</f>
        <v>0</v>
      </c>
      <c r="BQ306" s="555">
        <f t="shared" si="75"/>
        <v>0</v>
      </c>
      <c r="BR306" s="555">
        <f t="shared" si="75"/>
        <v>0</v>
      </c>
      <c r="BS306" s="555">
        <f t="shared" si="75"/>
        <v>0</v>
      </c>
      <c r="BT306" s="555">
        <f t="shared" si="75"/>
        <v>0</v>
      </c>
      <c r="BU306" s="555">
        <f t="shared" si="75"/>
        <v>0</v>
      </c>
      <c r="BV306" s="555">
        <f t="shared" si="75"/>
        <v>0</v>
      </c>
      <c r="BW306" s="555">
        <f t="shared" si="75"/>
        <v>0</v>
      </c>
      <c r="BX306" s="555">
        <f t="shared" si="75"/>
        <v>0</v>
      </c>
      <c r="BY306" s="555">
        <f t="shared" si="75"/>
        <v>0</v>
      </c>
      <c r="BZ306" s="555">
        <f t="shared" si="75"/>
        <v>0</v>
      </c>
      <c r="CA306" s="555">
        <f t="shared" si="75"/>
        <v>0</v>
      </c>
      <c r="CB306" s="555">
        <f t="shared" si="75"/>
        <v>0</v>
      </c>
      <c r="CC306" s="555">
        <f t="shared" si="75"/>
        <v>0</v>
      </c>
      <c r="CD306" s="555">
        <f t="shared" si="75"/>
        <v>0</v>
      </c>
      <c r="CE306" s="555">
        <f t="shared" si="75"/>
        <v>0</v>
      </c>
      <c r="CF306" s="555">
        <f t="shared" si="75"/>
        <v>0</v>
      </c>
      <c r="CG306" s="555">
        <f t="shared" si="75"/>
        <v>0</v>
      </c>
      <c r="CH306" s="555">
        <f t="shared" si="75"/>
        <v>0</v>
      </c>
      <c r="CI306" s="555">
        <f t="shared" si="75"/>
        <v>0</v>
      </c>
      <c r="CJ306" s="555">
        <f t="shared" si="75"/>
        <v>0</v>
      </c>
      <c r="CK306" s="555">
        <f t="shared" si="75"/>
        <v>0</v>
      </c>
      <c r="CL306" s="555">
        <f t="shared" si="75"/>
        <v>0</v>
      </c>
      <c r="CM306" s="555">
        <f t="shared" si="75"/>
        <v>0</v>
      </c>
      <c r="CN306" s="555">
        <f t="shared" si="75"/>
        <v>0</v>
      </c>
      <c r="CO306" s="555">
        <f t="shared" si="75"/>
        <v>0</v>
      </c>
      <c r="CP306" s="555">
        <f t="shared" si="75"/>
        <v>0</v>
      </c>
      <c r="CQ306" s="555">
        <f t="shared" si="75"/>
        <v>0</v>
      </c>
      <c r="CR306" s="555">
        <f t="shared" si="75"/>
        <v>0</v>
      </c>
      <c r="CS306" s="555">
        <f t="shared" si="75"/>
        <v>0</v>
      </c>
      <c r="CT306" s="555">
        <f t="shared" si="75"/>
        <v>0</v>
      </c>
      <c r="CU306" s="555">
        <f t="shared" si="75"/>
        <v>0</v>
      </c>
      <c r="CV306" s="555">
        <f t="shared" si="75"/>
        <v>0</v>
      </c>
      <c r="CW306" s="555">
        <f t="shared" si="75"/>
        <v>0</v>
      </c>
      <c r="CX306" s="555">
        <f t="shared" si="75"/>
        <v>0</v>
      </c>
      <c r="CY306" s="555">
        <f t="shared" si="75"/>
        <v>0</v>
      </c>
      <c r="CZ306" s="555">
        <f t="shared" si="75"/>
        <v>0</v>
      </c>
    </row>
    <row r="307" spans="1:104" s="180" customFormat="1" x14ac:dyDescent="0.3">
      <c r="A307" s="558">
        <v>1064</v>
      </c>
      <c r="C307" s="180">
        <v>254</v>
      </c>
      <c r="D307" s="555">
        <f t="shared" ref="D307:AI307" si="76">D254</f>
        <v>0</v>
      </c>
      <c r="E307" s="555">
        <f t="shared" si="76"/>
        <v>0</v>
      </c>
      <c r="F307" s="555">
        <f t="shared" si="76"/>
        <v>0</v>
      </c>
      <c r="G307" s="555">
        <f t="shared" si="76"/>
        <v>190869</v>
      </c>
      <c r="H307" s="555">
        <f t="shared" si="76"/>
        <v>0</v>
      </c>
      <c r="I307" s="555">
        <f t="shared" si="76"/>
        <v>0</v>
      </c>
      <c r="J307" s="555">
        <f t="shared" si="76"/>
        <v>0</v>
      </c>
      <c r="K307" s="555">
        <f t="shared" si="76"/>
        <v>0</v>
      </c>
      <c r="L307" s="555">
        <f t="shared" si="76"/>
        <v>9352894</v>
      </c>
      <c r="M307" s="555">
        <f t="shared" si="76"/>
        <v>0</v>
      </c>
      <c r="N307" s="555">
        <f t="shared" si="76"/>
        <v>0</v>
      </c>
      <c r="O307" s="555">
        <f t="shared" si="76"/>
        <v>0</v>
      </c>
      <c r="P307" s="555">
        <f t="shared" si="76"/>
        <v>3929539</v>
      </c>
      <c r="Q307" s="555">
        <f t="shared" si="76"/>
        <v>0</v>
      </c>
      <c r="R307" s="555">
        <f t="shared" si="76"/>
        <v>0</v>
      </c>
      <c r="S307" s="555">
        <f t="shared" si="76"/>
        <v>0</v>
      </c>
      <c r="T307" s="555">
        <f t="shared" si="76"/>
        <v>0</v>
      </c>
      <c r="U307" s="555">
        <f t="shared" si="76"/>
        <v>2550556</v>
      </c>
      <c r="V307" s="555">
        <f t="shared" si="76"/>
        <v>0</v>
      </c>
      <c r="W307" s="555">
        <f t="shared" si="76"/>
        <v>0</v>
      </c>
      <c r="X307" s="555">
        <f t="shared" si="76"/>
        <v>0</v>
      </c>
      <c r="Y307" s="555">
        <f t="shared" si="76"/>
        <v>0</v>
      </c>
      <c r="Z307" s="555">
        <f t="shared" si="76"/>
        <v>0</v>
      </c>
      <c r="AA307" s="555">
        <f t="shared" si="76"/>
        <v>695888</v>
      </c>
      <c r="AB307" s="555">
        <f t="shared" si="76"/>
        <v>0</v>
      </c>
      <c r="AC307" s="555">
        <f t="shared" si="76"/>
        <v>0</v>
      </c>
      <c r="AD307" s="555">
        <f t="shared" si="76"/>
        <v>0</v>
      </c>
      <c r="AE307" s="555">
        <f t="shared" si="76"/>
        <v>0</v>
      </c>
      <c r="AF307" s="555">
        <f t="shared" si="76"/>
        <v>0</v>
      </c>
      <c r="AG307" s="555">
        <f t="shared" si="76"/>
        <v>0</v>
      </c>
      <c r="AH307" s="555">
        <f t="shared" si="76"/>
        <v>0</v>
      </c>
      <c r="AI307" s="555">
        <f t="shared" si="76"/>
        <v>0</v>
      </c>
      <c r="AJ307" s="555">
        <f t="shared" ref="AJ307:BO307" si="77">AJ254</f>
        <v>419783</v>
      </c>
      <c r="AK307" s="555">
        <f t="shared" si="77"/>
        <v>0</v>
      </c>
      <c r="AL307" s="555">
        <f t="shared" si="77"/>
        <v>0</v>
      </c>
      <c r="AM307" s="555">
        <f t="shared" si="77"/>
        <v>0</v>
      </c>
      <c r="AN307" s="555">
        <f t="shared" si="77"/>
        <v>647423</v>
      </c>
      <c r="AO307" s="555">
        <f t="shared" si="77"/>
        <v>0</v>
      </c>
      <c r="AP307" s="555">
        <f t="shared" si="77"/>
        <v>0</v>
      </c>
      <c r="AQ307" s="555">
        <f t="shared" si="77"/>
        <v>0</v>
      </c>
      <c r="AR307" s="555">
        <f t="shared" si="77"/>
        <v>0</v>
      </c>
      <c r="AS307" s="555">
        <f t="shared" si="77"/>
        <v>0</v>
      </c>
      <c r="AT307" s="555">
        <f t="shared" si="77"/>
        <v>0</v>
      </c>
      <c r="AU307" s="555">
        <f t="shared" si="77"/>
        <v>784706</v>
      </c>
      <c r="AV307" s="555">
        <f t="shared" si="77"/>
        <v>0</v>
      </c>
      <c r="AW307" s="555">
        <f t="shared" si="77"/>
        <v>0</v>
      </c>
      <c r="AX307" s="555">
        <f t="shared" si="77"/>
        <v>0</v>
      </c>
      <c r="AY307" s="555">
        <f t="shared" si="77"/>
        <v>0</v>
      </c>
      <c r="AZ307" s="555">
        <f t="shared" si="77"/>
        <v>0</v>
      </c>
      <c r="BA307" s="555">
        <f t="shared" si="77"/>
        <v>0</v>
      </c>
      <c r="BB307" s="555">
        <f t="shared" si="77"/>
        <v>0</v>
      </c>
      <c r="BC307" s="555">
        <f t="shared" si="77"/>
        <v>0</v>
      </c>
      <c r="BD307" s="555">
        <f t="shared" si="77"/>
        <v>0</v>
      </c>
      <c r="BE307" s="555">
        <f t="shared" si="77"/>
        <v>1948640</v>
      </c>
      <c r="BF307" s="555">
        <f t="shared" si="77"/>
        <v>0</v>
      </c>
      <c r="BG307" s="555">
        <f t="shared" si="77"/>
        <v>0</v>
      </c>
      <c r="BH307" s="555">
        <f t="shared" si="77"/>
        <v>337182</v>
      </c>
      <c r="BI307" s="555">
        <f t="shared" si="77"/>
        <v>0</v>
      </c>
      <c r="BJ307" s="555">
        <f t="shared" si="77"/>
        <v>84083</v>
      </c>
      <c r="BK307" s="555">
        <f t="shared" si="77"/>
        <v>0</v>
      </c>
      <c r="BL307" s="555">
        <f t="shared" si="77"/>
        <v>0</v>
      </c>
      <c r="BM307" s="555">
        <f t="shared" si="77"/>
        <v>0</v>
      </c>
      <c r="BN307" s="555">
        <f t="shared" si="77"/>
        <v>1257421</v>
      </c>
      <c r="BO307" s="555">
        <f t="shared" si="77"/>
        <v>0</v>
      </c>
      <c r="BP307" s="555">
        <f t="shared" ref="BP307:CZ307" si="78">BP254</f>
        <v>0</v>
      </c>
      <c r="BQ307" s="555">
        <f t="shared" si="78"/>
        <v>0</v>
      </c>
      <c r="BR307" s="555">
        <f t="shared" si="78"/>
        <v>0</v>
      </c>
      <c r="BS307" s="555">
        <f t="shared" si="78"/>
        <v>5280498</v>
      </c>
      <c r="BT307" s="555">
        <f t="shared" si="78"/>
        <v>0</v>
      </c>
      <c r="BU307" s="555">
        <f t="shared" si="78"/>
        <v>0</v>
      </c>
      <c r="BV307" s="555">
        <f t="shared" si="78"/>
        <v>0</v>
      </c>
      <c r="BW307" s="555">
        <f t="shared" si="78"/>
        <v>0</v>
      </c>
      <c r="BX307" s="555">
        <f t="shared" si="78"/>
        <v>0</v>
      </c>
      <c r="BY307" s="555">
        <f t="shared" si="78"/>
        <v>0</v>
      </c>
      <c r="BZ307" s="555">
        <f t="shared" si="78"/>
        <v>2045130</v>
      </c>
      <c r="CA307" s="555">
        <f t="shared" si="78"/>
        <v>0</v>
      </c>
      <c r="CB307" s="555">
        <f t="shared" si="78"/>
        <v>0</v>
      </c>
      <c r="CC307" s="555">
        <f t="shared" si="78"/>
        <v>0</v>
      </c>
      <c r="CD307" s="555">
        <f t="shared" si="78"/>
        <v>0</v>
      </c>
      <c r="CE307" s="555">
        <f t="shared" si="78"/>
        <v>0</v>
      </c>
      <c r="CF307" s="555">
        <f t="shared" si="78"/>
        <v>0</v>
      </c>
      <c r="CG307" s="555">
        <f t="shared" si="78"/>
        <v>0</v>
      </c>
      <c r="CH307" s="555">
        <f t="shared" si="78"/>
        <v>0</v>
      </c>
      <c r="CI307" s="555">
        <f t="shared" si="78"/>
        <v>0</v>
      </c>
      <c r="CJ307" s="555">
        <f t="shared" si="78"/>
        <v>0</v>
      </c>
      <c r="CK307" s="555">
        <f t="shared" si="78"/>
        <v>0</v>
      </c>
      <c r="CL307" s="555">
        <f t="shared" si="78"/>
        <v>0</v>
      </c>
      <c r="CM307" s="555">
        <f t="shared" si="78"/>
        <v>0</v>
      </c>
      <c r="CN307" s="555">
        <f t="shared" si="78"/>
        <v>0</v>
      </c>
      <c r="CO307" s="555">
        <f t="shared" si="78"/>
        <v>0</v>
      </c>
      <c r="CP307" s="555">
        <f t="shared" si="78"/>
        <v>0</v>
      </c>
      <c r="CQ307" s="555">
        <f t="shared" si="78"/>
        <v>0</v>
      </c>
      <c r="CR307" s="555">
        <f t="shared" si="78"/>
        <v>0</v>
      </c>
      <c r="CS307" s="555">
        <f t="shared" si="78"/>
        <v>0</v>
      </c>
      <c r="CT307" s="555">
        <f t="shared" si="78"/>
        <v>0</v>
      </c>
      <c r="CU307" s="555">
        <f t="shared" si="78"/>
        <v>0</v>
      </c>
      <c r="CV307" s="555">
        <f t="shared" si="78"/>
        <v>0</v>
      </c>
      <c r="CW307" s="555">
        <f t="shared" si="78"/>
        <v>0</v>
      </c>
      <c r="CX307" s="555">
        <f t="shared" si="78"/>
        <v>0</v>
      </c>
      <c r="CY307" s="555">
        <f t="shared" si="78"/>
        <v>0</v>
      </c>
      <c r="CZ307" s="555">
        <f t="shared" si="78"/>
        <v>0</v>
      </c>
    </row>
    <row r="308" spans="1:104" s="180" customFormat="1" x14ac:dyDescent="0.3">
      <c r="A308" s="558">
        <v>1065</v>
      </c>
      <c r="C308" s="180">
        <v>258</v>
      </c>
      <c r="D308" s="555">
        <f t="shared" ref="D308:AI308" si="79">D255</f>
        <v>0</v>
      </c>
      <c r="E308" s="555">
        <f t="shared" si="79"/>
        <v>0</v>
      </c>
      <c r="F308" s="555">
        <f t="shared" si="79"/>
        <v>0</v>
      </c>
      <c r="G308" s="555">
        <f t="shared" si="79"/>
        <v>0</v>
      </c>
      <c r="H308" s="555">
        <f t="shared" si="79"/>
        <v>0</v>
      </c>
      <c r="I308" s="555">
        <f t="shared" si="79"/>
        <v>0</v>
      </c>
      <c r="J308" s="555">
        <f t="shared" si="79"/>
        <v>0</v>
      </c>
      <c r="K308" s="555">
        <f t="shared" si="79"/>
        <v>0</v>
      </c>
      <c r="L308" s="555">
        <f t="shared" si="79"/>
        <v>0</v>
      </c>
      <c r="M308" s="555">
        <f t="shared" si="79"/>
        <v>0</v>
      </c>
      <c r="N308" s="555">
        <f t="shared" si="79"/>
        <v>0</v>
      </c>
      <c r="O308" s="555">
        <f t="shared" si="79"/>
        <v>0</v>
      </c>
      <c r="P308" s="555">
        <f t="shared" si="79"/>
        <v>0</v>
      </c>
      <c r="Q308" s="555">
        <f t="shared" si="79"/>
        <v>0</v>
      </c>
      <c r="R308" s="555">
        <f t="shared" si="79"/>
        <v>0</v>
      </c>
      <c r="S308" s="555">
        <f t="shared" si="79"/>
        <v>1906215</v>
      </c>
      <c r="T308" s="555">
        <f t="shared" si="79"/>
        <v>0</v>
      </c>
      <c r="U308" s="555">
        <f t="shared" si="79"/>
        <v>0</v>
      </c>
      <c r="V308" s="555">
        <f t="shared" si="79"/>
        <v>0</v>
      </c>
      <c r="W308" s="555">
        <f t="shared" si="79"/>
        <v>0</v>
      </c>
      <c r="X308" s="555">
        <f t="shared" si="79"/>
        <v>0</v>
      </c>
      <c r="Y308" s="555">
        <f t="shared" si="79"/>
        <v>0</v>
      </c>
      <c r="Z308" s="555">
        <f t="shared" si="79"/>
        <v>0</v>
      </c>
      <c r="AA308" s="555">
        <f t="shared" si="79"/>
        <v>0</v>
      </c>
      <c r="AB308" s="555">
        <f t="shared" si="79"/>
        <v>0</v>
      </c>
      <c r="AC308" s="555">
        <f t="shared" si="79"/>
        <v>0</v>
      </c>
      <c r="AD308" s="555">
        <f t="shared" si="79"/>
        <v>0</v>
      </c>
      <c r="AE308" s="555">
        <f t="shared" si="79"/>
        <v>0</v>
      </c>
      <c r="AF308" s="555">
        <f t="shared" si="79"/>
        <v>0</v>
      </c>
      <c r="AG308" s="555">
        <f t="shared" si="79"/>
        <v>0</v>
      </c>
      <c r="AH308" s="555">
        <f t="shared" si="79"/>
        <v>0</v>
      </c>
      <c r="AI308" s="555">
        <f t="shared" si="79"/>
        <v>0</v>
      </c>
      <c r="AJ308" s="555">
        <f t="shared" ref="AJ308:BO308" si="80">AJ255</f>
        <v>0</v>
      </c>
      <c r="AK308" s="555">
        <f t="shared" si="80"/>
        <v>0</v>
      </c>
      <c r="AL308" s="555">
        <f t="shared" si="80"/>
        <v>0</v>
      </c>
      <c r="AM308" s="555">
        <f t="shared" si="80"/>
        <v>0</v>
      </c>
      <c r="AN308" s="555">
        <f t="shared" si="80"/>
        <v>0</v>
      </c>
      <c r="AO308" s="555">
        <f t="shared" si="80"/>
        <v>0</v>
      </c>
      <c r="AP308" s="555">
        <f t="shared" si="80"/>
        <v>0</v>
      </c>
      <c r="AQ308" s="555">
        <f t="shared" si="80"/>
        <v>0</v>
      </c>
      <c r="AR308" s="555">
        <f t="shared" si="80"/>
        <v>0</v>
      </c>
      <c r="AS308" s="555">
        <f t="shared" si="80"/>
        <v>0</v>
      </c>
      <c r="AT308" s="555">
        <f t="shared" si="80"/>
        <v>0</v>
      </c>
      <c r="AU308" s="555">
        <f t="shared" si="80"/>
        <v>0</v>
      </c>
      <c r="AV308" s="555">
        <f t="shared" si="80"/>
        <v>0</v>
      </c>
      <c r="AW308" s="555">
        <f t="shared" si="80"/>
        <v>0</v>
      </c>
      <c r="AX308" s="555">
        <f t="shared" si="80"/>
        <v>0</v>
      </c>
      <c r="AY308" s="555">
        <f t="shared" si="80"/>
        <v>0</v>
      </c>
      <c r="AZ308" s="555">
        <f t="shared" si="80"/>
        <v>0</v>
      </c>
      <c r="BA308" s="555">
        <f t="shared" si="80"/>
        <v>0</v>
      </c>
      <c r="BB308" s="555">
        <f t="shared" si="80"/>
        <v>0</v>
      </c>
      <c r="BC308" s="555">
        <f t="shared" si="80"/>
        <v>0</v>
      </c>
      <c r="BD308" s="555">
        <f t="shared" si="80"/>
        <v>0</v>
      </c>
      <c r="BE308" s="555">
        <f t="shared" si="80"/>
        <v>0</v>
      </c>
      <c r="BF308" s="555">
        <f t="shared" si="80"/>
        <v>0</v>
      </c>
      <c r="BG308" s="555">
        <f t="shared" si="80"/>
        <v>0</v>
      </c>
      <c r="BH308" s="555">
        <f t="shared" si="80"/>
        <v>0</v>
      </c>
      <c r="BI308" s="555">
        <f t="shared" si="80"/>
        <v>0</v>
      </c>
      <c r="BJ308" s="555">
        <f t="shared" si="80"/>
        <v>0</v>
      </c>
      <c r="BK308" s="555">
        <f t="shared" si="80"/>
        <v>0</v>
      </c>
      <c r="BL308" s="555">
        <f t="shared" si="80"/>
        <v>0</v>
      </c>
      <c r="BM308" s="555">
        <f t="shared" si="80"/>
        <v>0</v>
      </c>
      <c r="BN308" s="555">
        <f t="shared" si="80"/>
        <v>0</v>
      </c>
      <c r="BO308" s="555">
        <f t="shared" si="80"/>
        <v>0</v>
      </c>
      <c r="BP308" s="555">
        <f t="shared" ref="BP308:CZ308" si="81">BP255</f>
        <v>0</v>
      </c>
      <c r="BQ308" s="555">
        <f t="shared" si="81"/>
        <v>0</v>
      </c>
      <c r="BR308" s="555">
        <f t="shared" si="81"/>
        <v>0</v>
      </c>
      <c r="BS308" s="555">
        <f t="shared" si="81"/>
        <v>0</v>
      </c>
      <c r="BT308" s="555">
        <f t="shared" si="81"/>
        <v>0</v>
      </c>
      <c r="BU308" s="555">
        <f t="shared" si="81"/>
        <v>0</v>
      </c>
      <c r="BV308" s="555">
        <f t="shared" si="81"/>
        <v>0</v>
      </c>
      <c r="BW308" s="555">
        <f t="shared" si="81"/>
        <v>0</v>
      </c>
      <c r="BX308" s="555">
        <f t="shared" si="81"/>
        <v>0</v>
      </c>
      <c r="BY308" s="555">
        <f t="shared" si="81"/>
        <v>0</v>
      </c>
      <c r="BZ308" s="555">
        <f t="shared" si="81"/>
        <v>0</v>
      </c>
      <c r="CA308" s="555">
        <f t="shared" si="81"/>
        <v>0</v>
      </c>
      <c r="CB308" s="555">
        <f t="shared" si="81"/>
        <v>0</v>
      </c>
      <c r="CC308" s="555">
        <f t="shared" si="81"/>
        <v>0</v>
      </c>
      <c r="CD308" s="555">
        <f t="shared" si="81"/>
        <v>0</v>
      </c>
      <c r="CE308" s="555">
        <f t="shared" si="81"/>
        <v>0</v>
      </c>
      <c r="CF308" s="555">
        <f t="shared" si="81"/>
        <v>0</v>
      </c>
      <c r="CG308" s="555">
        <f t="shared" si="81"/>
        <v>0</v>
      </c>
      <c r="CH308" s="555">
        <f t="shared" si="81"/>
        <v>0</v>
      </c>
      <c r="CI308" s="555">
        <f t="shared" si="81"/>
        <v>0</v>
      </c>
      <c r="CJ308" s="555">
        <f t="shared" si="81"/>
        <v>0</v>
      </c>
      <c r="CK308" s="555">
        <f t="shared" si="81"/>
        <v>0</v>
      </c>
      <c r="CL308" s="555">
        <f t="shared" si="81"/>
        <v>0</v>
      </c>
      <c r="CM308" s="555">
        <f t="shared" si="81"/>
        <v>0</v>
      </c>
      <c r="CN308" s="555">
        <f t="shared" si="81"/>
        <v>0</v>
      </c>
      <c r="CO308" s="555">
        <f t="shared" si="81"/>
        <v>0</v>
      </c>
      <c r="CP308" s="555">
        <f t="shared" si="81"/>
        <v>0</v>
      </c>
      <c r="CQ308" s="555">
        <f t="shared" si="81"/>
        <v>0</v>
      </c>
      <c r="CR308" s="555">
        <f t="shared" si="81"/>
        <v>0</v>
      </c>
      <c r="CS308" s="555">
        <f t="shared" si="81"/>
        <v>0</v>
      </c>
      <c r="CT308" s="555">
        <f t="shared" si="81"/>
        <v>0</v>
      </c>
      <c r="CU308" s="555">
        <f t="shared" si="81"/>
        <v>0</v>
      </c>
      <c r="CV308" s="555">
        <f t="shared" si="81"/>
        <v>0</v>
      </c>
      <c r="CW308" s="555">
        <f t="shared" si="81"/>
        <v>0</v>
      </c>
      <c r="CX308" s="555">
        <f t="shared" si="81"/>
        <v>0</v>
      </c>
      <c r="CY308" s="555">
        <f t="shared" si="81"/>
        <v>0</v>
      </c>
      <c r="CZ308" s="555">
        <f t="shared" si="81"/>
        <v>0</v>
      </c>
    </row>
    <row r="309" spans="1:104" x14ac:dyDescent="0.3">
      <c r="A309" s="559">
        <v>336</v>
      </c>
      <c r="B309" s="180"/>
      <c r="C309" s="180">
        <v>58</v>
      </c>
      <c r="D309" s="560">
        <f t="shared" ref="D309:AI309" si="82">D58</f>
        <v>113665</v>
      </c>
      <c r="E309" s="560">
        <f t="shared" si="82"/>
        <v>2921807</v>
      </c>
      <c r="F309" s="560">
        <f t="shared" si="82"/>
        <v>0</v>
      </c>
      <c r="G309" s="560">
        <f t="shared" si="82"/>
        <v>7257802</v>
      </c>
      <c r="H309" s="560">
        <f t="shared" si="82"/>
        <v>581047</v>
      </c>
      <c r="I309" s="560">
        <f t="shared" si="82"/>
        <v>15890</v>
      </c>
      <c r="J309" s="560">
        <f t="shared" si="82"/>
        <v>15585</v>
      </c>
      <c r="K309" s="560">
        <f t="shared" si="82"/>
        <v>485347</v>
      </c>
      <c r="L309" s="560">
        <f t="shared" si="82"/>
        <v>16335164</v>
      </c>
      <c r="M309" s="560">
        <f t="shared" si="82"/>
        <v>0</v>
      </c>
      <c r="N309" s="560">
        <f t="shared" si="82"/>
        <v>51252</v>
      </c>
      <c r="O309" s="560">
        <f t="shared" si="82"/>
        <v>0</v>
      </c>
      <c r="P309" s="560">
        <f t="shared" si="82"/>
        <v>5900525</v>
      </c>
      <c r="Q309" s="560">
        <f t="shared" si="82"/>
        <v>5781008</v>
      </c>
      <c r="R309" s="560">
        <f t="shared" si="82"/>
        <v>1237733</v>
      </c>
      <c r="S309" s="560">
        <f t="shared" si="82"/>
        <v>2574535</v>
      </c>
      <c r="T309" s="560">
        <f t="shared" si="82"/>
        <v>8350</v>
      </c>
      <c r="U309" s="560">
        <f t="shared" si="82"/>
        <v>3362554</v>
      </c>
      <c r="V309" s="560">
        <f t="shared" si="82"/>
        <v>2859</v>
      </c>
      <c r="W309" s="560">
        <f t="shared" si="82"/>
        <v>1609502</v>
      </c>
      <c r="X309" s="560">
        <f t="shared" si="82"/>
        <v>3090626</v>
      </c>
      <c r="Y309" s="560">
        <f t="shared" si="82"/>
        <v>1062770</v>
      </c>
      <c r="Z309" s="560">
        <f t="shared" si="82"/>
        <v>482570</v>
      </c>
      <c r="AA309" s="560">
        <f t="shared" si="82"/>
        <v>17216551</v>
      </c>
      <c r="AB309" s="560">
        <f t="shared" si="82"/>
        <v>540012</v>
      </c>
      <c r="AC309" s="560">
        <f t="shared" si="82"/>
        <v>4905</v>
      </c>
      <c r="AD309" s="560">
        <f t="shared" si="82"/>
        <v>32304</v>
      </c>
      <c r="AE309" s="560">
        <f t="shared" si="82"/>
        <v>671462</v>
      </c>
      <c r="AF309" s="560">
        <f t="shared" si="82"/>
        <v>3779</v>
      </c>
      <c r="AG309" s="560">
        <f t="shared" si="82"/>
        <v>1204</v>
      </c>
      <c r="AH309" s="560">
        <f t="shared" si="82"/>
        <v>440</v>
      </c>
      <c r="AI309" s="560">
        <f t="shared" si="82"/>
        <v>451332</v>
      </c>
      <c r="AJ309" s="560">
        <f t="shared" ref="AJ309:BO309" si="83">AJ58</f>
        <v>3668346</v>
      </c>
      <c r="AK309" s="560">
        <f t="shared" si="83"/>
        <v>5765</v>
      </c>
      <c r="AL309" s="560">
        <f t="shared" si="83"/>
        <v>4343</v>
      </c>
      <c r="AM309" s="560">
        <f t="shared" si="83"/>
        <v>10671786</v>
      </c>
      <c r="AN309" s="560">
        <f t="shared" si="83"/>
        <v>4270409</v>
      </c>
      <c r="AO309" s="560">
        <f t="shared" si="83"/>
        <v>0</v>
      </c>
      <c r="AP309" s="560">
        <f t="shared" si="83"/>
        <v>1381014</v>
      </c>
      <c r="AQ309" s="560">
        <f t="shared" si="83"/>
        <v>9838702</v>
      </c>
      <c r="AR309" s="560">
        <f t="shared" si="83"/>
        <v>0</v>
      </c>
      <c r="AS309" s="560">
        <f t="shared" si="83"/>
        <v>0</v>
      </c>
      <c r="AT309" s="560">
        <f t="shared" si="83"/>
        <v>0</v>
      </c>
      <c r="AU309" s="560">
        <f t="shared" si="83"/>
        <v>4541902</v>
      </c>
      <c r="AV309" s="560">
        <f t="shared" si="83"/>
        <v>60271</v>
      </c>
      <c r="AW309" s="560">
        <f t="shared" si="83"/>
        <v>0</v>
      </c>
      <c r="AX309" s="560">
        <f t="shared" si="83"/>
        <v>2344142</v>
      </c>
      <c r="AY309" s="560">
        <f t="shared" si="83"/>
        <v>53231</v>
      </c>
      <c r="AZ309" s="560">
        <f t="shared" si="83"/>
        <v>0</v>
      </c>
      <c r="BA309" s="560">
        <f t="shared" si="83"/>
        <v>0</v>
      </c>
      <c r="BB309" s="560">
        <f t="shared" si="83"/>
        <v>878514</v>
      </c>
      <c r="BC309" s="560">
        <f t="shared" si="83"/>
        <v>0</v>
      </c>
      <c r="BD309" s="560">
        <f t="shared" si="83"/>
        <v>1038</v>
      </c>
      <c r="BE309" s="560">
        <f t="shared" si="83"/>
        <v>6750078</v>
      </c>
      <c r="BF309" s="560">
        <f t="shared" si="83"/>
        <v>0</v>
      </c>
      <c r="BG309" s="560">
        <f t="shared" si="83"/>
        <v>0</v>
      </c>
      <c r="BH309" s="560">
        <f t="shared" si="83"/>
        <v>56836</v>
      </c>
      <c r="BI309" s="560">
        <f t="shared" si="83"/>
        <v>372294</v>
      </c>
      <c r="BJ309" s="560">
        <f t="shared" si="83"/>
        <v>42179</v>
      </c>
      <c r="BK309" s="560">
        <f t="shared" si="83"/>
        <v>252188</v>
      </c>
      <c r="BL309" s="560">
        <f t="shared" si="83"/>
        <v>410329</v>
      </c>
      <c r="BM309" s="560">
        <f t="shared" si="83"/>
        <v>-15750</v>
      </c>
      <c r="BN309" s="560">
        <f t="shared" si="83"/>
        <v>938809</v>
      </c>
      <c r="BO309" s="560">
        <f t="shared" si="83"/>
        <v>381197</v>
      </c>
      <c r="BP309" s="560">
        <f t="shared" ref="BP309:CZ309" si="84">BP58</f>
        <v>15166</v>
      </c>
      <c r="BQ309" s="560">
        <f t="shared" si="84"/>
        <v>102774</v>
      </c>
      <c r="BR309" s="560">
        <f t="shared" si="84"/>
        <v>130435</v>
      </c>
      <c r="BS309" s="560">
        <f t="shared" si="84"/>
        <v>2840683</v>
      </c>
      <c r="BT309" s="560">
        <f t="shared" si="84"/>
        <v>117767</v>
      </c>
      <c r="BU309" s="560">
        <f t="shared" si="84"/>
        <v>1465121</v>
      </c>
      <c r="BV309" s="560">
        <f t="shared" si="84"/>
        <v>118767</v>
      </c>
      <c r="BW309" s="560">
        <f t="shared" si="84"/>
        <v>111777</v>
      </c>
      <c r="BX309" s="560">
        <f t="shared" si="84"/>
        <v>0</v>
      </c>
      <c r="BY309" s="560">
        <f t="shared" si="84"/>
        <v>0</v>
      </c>
      <c r="BZ309" s="560">
        <f t="shared" si="84"/>
        <v>3161023</v>
      </c>
      <c r="CA309" s="560">
        <f t="shared" si="84"/>
        <v>35549</v>
      </c>
      <c r="CB309" s="560">
        <f t="shared" si="84"/>
        <v>0</v>
      </c>
      <c r="CC309" s="560">
        <f t="shared" si="84"/>
        <v>0</v>
      </c>
      <c r="CD309" s="560">
        <f t="shared" si="84"/>
        <v>0</v>
      </c>
      <c r="CE309" s="560">
        <f t="shared" si="84"/>
        <v>0</v>
      </c>
      <c r="CF309" s="560">
        <f t="shared" si="84"/>
        <v>0</v>
      </c>
      <c r="CG309" s="560">
        <f t="shared" si="84"/>
        <v>0</v>
      </c>
      <c r="CH309" s="560">
        <f t="shared" si="84"/>
        <v>0</v>
      </c>
      <c r="CI309" s="560">
        <f t="shared" si="84"/>
        <v>0</v>
      </c>
      <c r="CJ309" s="560">
        <f t="shared" si="84"/>
        <v>0</v>
      </c>
      <c r="CK309" s="560">
        <f t="shared" si="84"/>
        <v>0</v>
      </c>
      <c r="CL309" s="560">
        <f t="shared" si="84"/>
        <v>0</v>
      </c>
      <c r="CM309" s="560">
        <f t="shared" si="84"/>
        <v>0</v>
      </c>
      <c r="CN309" s="560">
        <f t="shared" si="84"/>
        <v>0</v>
      </c>
      <c r="CO309" s="560">
        <f t="shared" si="84"/>
        <v>0</v>
      </c>
      <c r="CP309" s="560">
        <f t="shared" si="84"/>
        <v>0</v>
      </c>
      <c r="CQ309" s="560">
        <f t="shared" si="84"/>
        <v>0</v>
      </c>
      <c r="CR309" s="560">
        <f t="shared" si="84"/>
        <v>0</v>
      </c>
      <c r="CS309" s="560">
        <f t="shared" si="84"/>
        <v>0</v>
      </c>
      <c r="CT309" s="560">
        <f t="shared" si="84"/>
        <v>0</v>
      </c>
      <c r="CU309" s="560">
        <f t="shared" si="84"/>
        <v>0</v>
      </c>
      <c r="CV309" s="560">
        <f t="shared" si="84"/>
        <v>0</v>
      </c>
      <c r="CW309" s="560">
        <f t="shared" si="84"/>
        <v>0</v>
      </c>
      <c r="CX309" s="560">
        <f t="shared" si="84"/>
        <v>0</v>
      </c>
      <c r="CY309" s="560">
        <f t="shared" si="84"/>
        <v>0</v>
      </c>
      <c r="CZ309" s="560">
        <f t="shared" si="84"/>
        <v>0</v>
      </c>
    </row>
    <row r="310" spans="1:104" x14ac:dyDescent="0.3">
      <c r="A310" s="559">
        <v>44</v>
      </c>
      <c r="B310" s="180"/>
      <c r="C310" s="180">
        <v>14</v>
      </c>
      <c r="D310" s="560">
        <f t="shared" ref="D310:AI310" si="85">D14</f>
        <v>0</v>
      </c>
      <c r="E310" s="560">
        <f t="shared" si="85"/>
        <v>0</v>
      </c>
      <c r="F310" s="560">
        <f t="shared" si="85"/>
        <v>0</v>
      </c>
      <c r="G310" s="560">
        <f t="shared" si="85"/>
        <v>59157562</v>
      </c>
      <c r="H310" s="560">
        <f t="shared" si="85"/>
        <v>10239148</v>
      </c>
      <c r="I310" s="560">
        <f t="shared" si="85"/>
        <v>253619</v>
      </c>
      <c r="J310" s="560">
        <f t="shared" si="85"/>
        <v>6558780</v>
      </c>
      <c r="K310" s="560">
        <f t="shared" si="85"/>
        <v>1195527</v>
      </c>
      <c r="L310" s="560">
        <f t="shared" si="85"/>
        <v>19843565</v>
      </c>
      <c r="M310" s="560">
        <f t="shared" si="85"/>
        <v>0</v>
      </c>
      <c r="N310" s="560">
        <f t="shared" si="85"/>
        <v>1788319</v>
      </c>
      <c r="O310" s="560">
        <f t="shared" si="85"/>
        <v>0</v>
      </c>
      <c r="P310" s="560">
        <f t="shared" si="85"/>
        <v>0</v>
      </c>
      <c r="Q310" s="560">
        <f t="shared" si="85"/>
        <v>9264382</v>
      </c>
      <c r="R310" s="560">
        <f t="shared" si="85"/>
        <v>8804312</v>
      </c>
      <c r="S310" s="560">
        <f t="shared" si="85"/>
        <v>8346745</v>
      </c>
      <c r="T310" s="560">
        <f t="shared" si="85"/>
        <v>74484</v>
      </c>
      <c r="U310" s="560">
        <f t="shared" si="85"/>
        <v>14864001</v>
      </c>
      <c r="V310" s="560">
        <f t="shared" si="85"/>
        <v>0</v>
      </c>
      <c r="W310" s="560">
        <f t="shared" si="85"/>
        <v>0</v>
      </c>
      <c r="X310" s="560">
        <f t="shared" si="85"/>
        <v>0</v>
      </c>
      <c r="Y310" s="560">
        <f t="shared" si="85"/>
        <v>4078395</v>
      </c>
      <c r="Z310" s="560">
        <f t="shared" si="85"/>
        <v>1585180</v>
      </c>
      <c r="AA310" s="560">
        <f t="shared" si="85"/>
        <v>2328448</v>
      </c>
      <c r="AB310" s="560">
        <f t="shared" si="85"/>
        <v>0</v>
      </c>
      <c r="AC310" s="560">
        <f t="shared" si="85"/>
        <v>115006</v>
      </c>
      <c r="AD310" s="560">
        <f t="shared" si="85"/>
        <v>2429679</v>
      </c>
      <c r="AE310" s="560">
        <f t="shared" si="85"/>
        <v>2703829</v>
      </c>
      <c r="AF310" s="560">
        <f t="shared" si="85"/>
        <v>51072</v>
      </c>
      <c r="AG310" s="560">
        <f t="shared" si="85"/>
        <v>0</v>
      </c>
      <c r="AH310" s="560">
        <f t="shared" si="85"/>
        <v>0</v>
      </c>
      <c r="AI310" s="560">
        <f t="shared" si="85"/>
        <v>0</v>
      </c>
      <c r="AJ310" s="560">
        <f t="shared" ref="AJ310:BO310" si="86">AJ14</f>
        <v>4154565</v>
      </c>
      <c r="AK310" s="560">
        <f t="shared" si="86"/>
        <v>187058</v>
      </c>
      <c r="AL310" s="560">
        <f t="shared" si="86"/>
        <v>0</v>
      </c>
      <c r="AM310" s="560">
        <f t="shared" si="86"/>
        <v>0</v>
      </c>
      <c r="AN310" s="560">
        <f t="shared" si="86"/>
        <v>12464696</v>
      </c>
      <c r="AO310" s="560">
        <f t="shared" si="86"/>
        <v>0</v>
      </c>
      <c r="AP310" s="560">
        <f t="shared" si="86"/>
        <v>0</v>
      </c>
      <c r="AQ310" s="560">
        <f t="shared" si="86"/>
        <v>8228952</v>
      </c>
      <c r="AR310" s="560">
        <f t="shared" si="86"/>
        <v>0</v>
      </c>
      <c r="AS310" s="560">
        <f t="shared" si="86"/>
        <v>0</v>
      </c>
      <c r="AT310" s="560">
        <f t="shared" si="86"/>
        <v>0</v>
      </c>
      <c r="AU310" s="560">
        <f t="shared" si="86"/>
        <v>8450301</v>
      </c>
      <c r="AV310" s="560">
        <f t="shared" si="86"/>
        <v>1401667</v>
      </c>
      <c r="AW310" s="560">
        <f t="shared" si="86"/>
        <v>0</v>
      </c>
      <c r="AX310" s="560">
        <f t="shared" si="86"/>
        <v>3008673</v>
      </c>
      <c r="AY310" s="560">
        <f t="shared" si="86"/>
        <v>1583112</v>
      </c>
      <c r="AZ310" s="560">
        <f t="shared" si="86"/>
        <v>0</v>
      </c>
      <c r="BA310" s="560">
        <f t="shared" si="86"/>
        <v>5335</v>
      </c>
      <c r="BB310" s="560">
        <f t="shared" si="86"/>
        <v>827628</v>
      </c>
      <c r="BC310" s="560">
        <f t="shared" si="86"/>
        <v>0</v>
      </c>
      <c r="BD310" s="560">
        <f t="shared" si="86"/>
        <v>0</v>
      </c>
      <c r="BE310" s="560">
        <f t="shared" si="86"/>
        <v>9822629</v>
      </c>
      <c r="BF310" s="560">
        <f t="shared" si="86"/>
        <v>0</v>
      </c>
      <c r="BG310" s="560">
        <f t="shared" si="86"/>
        <v>0</v>
      </c>
      <c r="BH310" s="560">
        <f t="shared" si="86"/>
        <v>992460</v>
      </c>
      <c r="BI310" s="560">
        <f t="shared" si="86"/>
        <v>2666211</v>
      </c>
      <c r="BJ310" s="560">
        <f t="shared" si="86"/>
        <v>272056</v>
      </c>
      <c r="BK310" s="560">
        <f t="shared" si="86"/>
        <v>6255378</v>
      </c>
      <c r="BL310" s="560">
        <f t="shared" si="86"/>
        <v>8981882</v>
      </c>
      <c r="BM310" s="560">
        <f t="shared" si="86"/>
        <v>0</v>
      </c>
      <c r="BN310" s="560">
        <f t="shared" si="86"/>
        <v>3291999</v>
      </c>
      <c r="BO310" s="560">
        <f t="shared" si="86"/>
        <v>4121378</v>
      </c>
      <c r="BP310" s="560">
        <f t="shared" ref="BP310:CZ310" si="87">BP14</f>
        <v>1644161</v>
      </c>
      <c r="BQ310" s="560">
        <f t="shared" si="87"/>
        <v>3057112</v>
      </c>
      <c r="BR310" s="560">
        <f t="shared" si="87"/>
        <v>0</v>
      </c>
      <c r="BS310" s="560">
        <f t="shared" si="87"/>
        <v>0</v>
      </c>
      <c r="BT310" s="560">
        <f t="shared" si="87"/>
        <v>1199833</v>
      </c>
      <c r="BU310" s="560">
        <f t="shared" si="87"/>
        <v>2790993</v>
      </c>
      <c r="BV310" s="560">
        <f t="shared" si="87"/>
        <v>789500</v>
      </c>
      <c r="BW310" s="560">
        <f t="shared" si="87"/>
        <v>1800953</v>
      </c>
      <c r="BX310" s="560">
        <f t="shared" si="87"/>
        <v>0</v>
      </c>
      <c r="BY310" s="560">
        <f t="shared" si="87"/>
        <v>0</v>
      </c>
      <c r="BZ310" s="560">
        <f t="shared" si="87"/>
        <v>11173521</v>
      </c>
      <c r="CA310" s="560">
        <f t="shared" si="87"/>
        <v>0</v>
      </c>
      <c r="CB310" s="560">
        <f t="shared" si="87"/>
        <v>0</v>
      </c>
      <c r="CC310" s="560">
        <f t="shared" si="87"/>
        <v>0</v>
      </c>
      <c r="CD310" s="560">
        <f t="shared" si="87"/>
        <v>0</v>
      </c>
      <c r="CE310" s="560">
        <f t="shared" si="87"/>
        <v>0</v>
      </c>
      <c r="CF310" s="560">
        <f t="shared" si="87"/>
        <v>0</v>
      </c>
      <c r="CG310" s="560">
        <f t="shared" si="87"/>
        <v>0</v>
      </c>
      <c r="CH310" s="560">
        <f t="shared" si="87"/>
        <v>0</v>
      </c>
      <c r="CI310" s="560">
        <f t="shared" si="87"/>
        <v>0</v>
      </c>
      <c r="CJ310" s="560">
        <f t="shared" si="87"/>
        <v>0</v>
      </c>
      <c r="CK310" s="560">
        <f t="shared" si="87"/>
        <v>0</v>
      </c>
      <c r="CL310" s="560">
        <f t="shared" si="87"/>
        <v>0</v>
      </c>
      <c r="CM310" s="560">
        <f t="shared" si="87"/>
        <v>0</v>
      </c>
      <c r="CN310" s="560">
        <f t="shared" si="87"/>
        <v>0</v>
      </c>
      <c r="CO310" s="560">
        <f t="shared" si="87"/>
        <v>0</v>
      </c>
      <c r="CP310" s="560">
        <f t="shared" si="87"/>
        <v>0</v>
      </c>
      <c r="CQ310" s="560">
        <f t="shared" si="87"/>
        <v>0</v>
      </c>
      <c r="CR310" s="560">
        <f t="shared" si="87"/>
        <v>0</v>
      </c>
      <c r="CS310" s="560">
        <f t="shared" si="87"/>
        <v>0</v>
      </c>
      <c r="CT310" s="560">
        <f t="shared" si="87"/>
        <v>0</v>
      </c>
      <c r="CU310" s="560">
        <f t="shared" si="87"/>
        <v>0</v>
      </c>
      <c r="CV310" s="560">
        <f t="shared" si="87"/>
        <v>0</v>
      </c>
      <c r="CW310" s="560">
        <f t="shared" si="87"/>
        <v>0</v>
      </c>
      <c r="CX310" s="560">
        <f t="shared" si="87"/>
        <v>0</v>
      </c>
      <c r="CY310" s="560">
        <f t="shared" si="87"/>
        <v>0</v>
      </c>
      <c r="CZ310" s="560">
        <f t="shared" si="87"/>
        <v>0</v>
      </c>
    </row>
    <row r="311" spans="1:104" x14ac:dyDescent="0.3">
      <c r="A311" s="559">
        <v>45</v>
      </c>
      <c r="B311" s="180"/>
      <c r="C311" s="180">
        <v>15</v>
      </c>
      <c r="D311" s="560">
        <f t="shared" ref="D311:AI311" si="88">D15</f>
        <v>0</v>
      </c>
      <c r="E311" s="560">
        <f t="shared" si="88"/>
        <v>0</v>
      </c>
      <c r="F311" s="560">
        <f t="shared" si="88"/>
        <v>0</v>
      </c>
      <c r="G311" s="560">
        <f t="shared" si="88"/>
        <v>15591761</v>
      </c>
      <c r="H311" s="560">
        <f t="shared" si="88"/>
        <v>322128</v>
      </c>
      <c r="I311" s="560">
        <f t="shared" si="88"/>
        <v>36243</v>
      </c>
      <c r="J311" s="560">
        <f t="shared" si="88"/>
        <v>9779</v>
      </c>
      <c r="K311" s="560">
        <f t="shared" si="88"/>
        <v>349315</v>
      </c>
      <c r="L311" s="560">
        <f t="shared" si="88"/>
        <v>6241525</v>
      </c>
      <c r="M311" s="560">
        <f t="shared" si="88"/>
        <v>0</v>
      </c>
      <c r="N311" s="560">
        <f t="shared" si="88"/>
        <v>20340</v>
      </c>
      <c r="O311" s="560">
        <f t="shared" si="88"/>
        <v>0</v>
      </c>
      <c r="P311" s="560">
        <f t="shared" si="88"/>
        <v>0</v>
      </c>
      <c r="Q311" s="560">
        <f t="shared" si="88"/>
        <v>1049367</v>
      </c>
      <c r="R311" s="560">
        <f t="shared" si="88"/>
        <v>952021</v>
      </c>
      <c r="S311" s="560">
        <f t="shared" si="88"/>
        <v>1996257</v>
      </c>
      <c r="T311" s="560">
        <f t="shared" si="88"/>
        <v>134173</v>
      </c>
      <c r="U311" s="560">
        <f t="shared" si="88"/>
        <v>2381679</v>
      </c>
      <c r="V311" s="560">
        <f t="shared" si="88"/>
        <v>0</v>
      </c>
      <c r="W311" s="560">
        <f t="shared" si="88"/>
        <v>0</v>
      </c>
      <c r="X311" s="560">
        <f t="shared" si="88"/>
        <v>0</v>
      </c>
      <c r="Y311" s="560">
        <f t="shared" si="88"/>
        <v>797620</v>
      </c>
      <c r="Z311" s="560">
        <f t="shared" si="88"/>
        <v>55362</v>
      </c>
      <c r="AA311" s="560">
        <f t="shared" si="88"/>
        <v>991283</v>
      </c>
      <c r="AB311" s="560">
        <f t="shared" si="88"/>
        <v>0</v>
      </c>
      <c r="AC311" s="560">
        <f t="shared" si="88"/>
        <v>32477</v>
      </c>
      <c r="AD311" s="560">
        <f t="shared" si="88"/>
        <v>192210</v>
      </c>
      <c r="AE311" s="560">
        <f t="shared" si="88"/>
        <v>304805</v>
      </c>
      <c r="AF311" s="560">
        <f t="shared" si="88"/>
        <v>7475</v>
      </c>
      <c r="AG311" s="560">
        <f t="shared" si="88"/>
        <v>0</v>
      </c>
      <c r="AH311" s="560">
        <f t="shared" si="88"/>
        <v>0</v>
      </c>
      <c r="AI311" s="560">
        <f t="shared" si="88"/>
        <v>0</v>
      </c>
      <c r="AJ311" s="560">
        <f t="shared" ref="AJ311:BO311" si="89">AJ15</f>
        <v>1491008</v>
      </c>
      <c r="AK311" s="560">
        <f t="shared" si="89"/>
        <v>62817</v>
      </c>
      <c r="AL311" s="560">
        <f t="shared" si="89"/>
        <v>0</v>
      </c>
      <c r="AM311" s="560">
        <f t="shared" si="89"/>
        <v>0</v>
      </c>
      <c r="AN311" s="560">
        <f t="shared" si="89"/>
        <v>1924131</v>
      </c>
      <c r="AO311" s="560">
        <f t="shared" si="89"/>
        <v>0</v>
      </c>
      <c r="AP311" s="560">
        <f t="shared" si="89"/>
        <v>0</v>
      </c>
      <c r="AQ311" s="560">
        <f t="shared" si="89"/>
        <v>1067235</v>
      </c>
      <c r="AR311" s="560">
        <f t="shared" si="89"/>
        <v>0</v>
      </c>
      <c r="AS311" s="560">
        <f t="shared" si="89"/>
        <v>0</v>
      </c>
      <c r="AT311" s="560">
        <f t="shared" si="89"/>
        <v>0</v>
      </c>
      <c r="AU311" s="560">
        <f t="shared" si="89"/>
        <v>1251336</v>
      </c>
      <c r="AV311" s="560">
        <f t="shared" si="89"/>
        <v>35777</v>
      </c>
      <c r="AW311" s="560">
        <f t="shared" si="89"/>
        <v>0</v>
      </c>
      <c r="AX311" s="560">
        <f t="shared" si="89"/>
        <v>70894</v>
      </c>
      <c r="AY311" s="560">
        <f t="shared" si="89"/>
        <v>87804</v>
      </c>
      <c r="AZ311" s="560">
        <f t="shared" si="89"/>
        <v>0</v>
      </c>
      <c r="BA311" s="560">
        <f t="shared" si="89"/>
        <v>37846</v>
      </c>
      <c r="BB311" s="560">
        <f t="shared" si="89"/>
        <v>160025</v>
      </c>
      <c r="BC311" s="560">
        <f t="shared" si="89"/>
        <v>0</v>
      </c>
      <c r="BD311" s="560">
        <f t="shared" si="89"/>
        <v>0</v>
      </c>
      <c r="BE311" s="560">
        <f t="shared" si="89"/>
        <v>3776011</v>
      </c>
      <c r="BF311" s="560">
        <f t="shared" si="89"/>
        <v>0</v>
      </c>
      <c r="BG311" s="560">
        <f t="shared" si="89"/>
        <v>0</v>
      </c>
      <c r="BH311" s="560">
        <f t="shared" si="89"/>
        <v>396433</v>
      </c>
      <c r="BI311" s="560">
        <f t="shared" si="89"/>
        <v>192495</v>
      </c>
      <c r="BJ311" s="560">
        <f t="shared" si="89"/>
        <v>172872</v>
      </c>
      <c r="BK311" s="560">
        <f t="shared" si="89"/>
        <v>170835</v>
      </c>
      <c r="BL311" s="560">
        <f t="shared" si="89"/>
        <v>525246</v>
      </c>
      <c r="BM311" s="560">
        <f t="shared" si="89"/>
        <v>0</v>
      </c>
      <c r="BN311" s="560">
        <f t="shared" si="89"/>
        <v>386801</v>
      </c>
      <c r="BO311" s="560">
        <f t="shared" si="89"/>
        <v>49524</v>
      </c>
      <c r="BP311" s="560">
        <f t="shared" ref="BP311:CZ311" si="90">BP15</f>
        <v>40539</v>
      </c>
      <c r="BQ311" s="560">
        <f t="shared" si="90"/>
        <v>213564</v>
      </c>
      <c r="BR311" s="560">
        <f t="shared" si="90"/>
        <v>0</v>
      </c>
      <c r="BS311" s="560">
        <f t="shared" si="90"/>
        <v>0</v>
      </c>
      <c r="BT311" s="560">
        <f t="shared" si="90"/>
        <v>130735</v>
      </c>
      <c r="BU311" s="560">
        <f t="shared" si="90"/>
        <v>349358</v>
      </c>
      <c r="BV311" s="560">
        <f t="shared" si="90"/>
        <v>96441</v>
      </c>
      <c r="BW311" s="560">
        <f t="shared" si="90"/>
        <v>129085</v>
      </c>
      <c r="BX311" s="560">
        <f t="shared" si="90"/>
        <v>0</v>
      </c>
      <c r="BY311" s="560">
        <f t="shared" si="90"/>
        <v>0</v>
      </c>
      <c r="BZ311" s="560">
        <f t="shared" si="90"/>
        <v>3753181</v>
      </c>
      <c r="CA311" s="560">
        <f t="shared" si="90"/>
        <v>0</v>
      </c>
      <c r="CB311" s="560">
        <f t="shared" si="90"/>
        <v>0</v>
      </c>
      <c r="CC311" s="560">
        <f t="shared" si="90"/>
        <v>0</v>
      </c>
      <c r="CD311" s="560">
        <f t="shared" si="90"/>
        <v>0</v>
      </c>
      <c r="CE311" s="560">
        <f t="shared" si="90"/>
        <v>0</v>
      </c>
      <c r="CF311" s="560">
        <f t="shared" si="90"/>
        <v>0</v>
      </c>
      <c r="CG311" s="560">
        <f t="shared" si="90"/>
        <v>0</v>
      </c>
      <c r="CH311" s="560">
        <f t="shared" si="90"/>
        <v>0</v>
      </c>
      <c r="CI311" s="560">
        <f t="shared" si="90"/>
        <v>0</v>
      </c>
      <c r="CJ311" s="560">
        <f t="shared" si="90"/>
        <v>0</v>
      </c>
      <c r="CK311" s="560">
        <f t="shared" si="90"/>
        <v>0</v>
      </c>
      <c r="CL311" s="560">
        <f t="shared" si="90"/>
        <v>0</v>
      </c>
      <c r="CM311" s="560">
        <f t="shared" si="90"/>
        <v>0</v>
      </c>
      <c r="CN311" s="560">
        <f t="shared" si="90"/>
        <v>0</v>
      </c>
      <c r="CO311" s="560">
        <f t="shared" si="90"/>
        <v>0</v>
      </c>
      <c r="CP311" s="560">
        <f t="shared" si="90"/>
        <v>0</v>
      </c>
      <c r="CQ311" s="560">
        <f t="shared" si="90"/>
        <v>0</v>
      </c>
      <c r="CR311" s="560">
        <f t="shared" si="90"/>
        <v>0</v>
      </c>
      <c r="CS311" s="560">
        <f t="shared" si="90"/>
        <v>0</v>
      </c>
      <c r="CT311" s="560">
        <f t="shared" si="90"/>
        <v>0</v>
      </c>
      <c r="CU311" s="560">
        <f t="shared" si="90"/>
        <v>0</v>
      </c>
      <c r="CV311" s="560">
        <f t="shared" si="90"/>
        <v>0</v>
      </c>
      <c r="CW311" s="560">
        <f t="shared" si="90"/>
        <v>0</v>
      </c>
      <c r="CX311" s="560">
        <f t="shared" si="90"/>
        <v>0</v>
      </c>
      <c r="CY311" s="560">
        <f t="shared" si="90"/>
        <v>0</v>
      </c>
      <c r="CZ311" s="560">
        <f t="shared" si="90"/>
        <v>0</v>
      </c>
    </row>
    <row r="312" spans="1:104" x14ac:dyDescent="0.3">
      <c r="A312" s="559">
        <v>47</v>
      </c>
      <c r="B312" s="180"/>
      <c r="C312" s="180">
        <v>16</v>
      </c>
      <c r="D312" s="560">
        <f t="shared" ref="D312:AI312" si="91">D16</f>
        <v>0</v>
      </c>
      <c r="E312" s="560">
        <f t="shared" si="91"/>
        <v>0</v>
      </c>
      <c r="F312" s="560">
        <f t="shared" si="91"/>
        <v>0</v>
      </c>
      <c r="G312" s="560">
        <f t="shared" si="91"/>
        <v>0</v>
      </c>
      <c r="H312" s="560">
        <f t="shared" si="91"/>
        <v>0</v>
      </c>
      <c r="I312" s="560">
        <f t="shared" si="91"/>
        <v>0</v>
      </c>
      <c r="J312" s="560">
        <f t="shared" si="91"/>
        <v>0</v>
      </c>
      <c r="K312" s="560">
        <f t="shared" si="91"/>
        <v>0</v>
      </c>
      <c r="L312" s="560">
        <f t="shared" si="91"/>
        <v>0</v>
      </c>
      <c r="M312" s="560">
        <f t="shared" si="91"/>
        <v>0</v>
      </c>
      <c r="N312" s="560">
        <f t="shared" si="91"/>
        <v>0</v>
      </c>
      <c r="O312" s="560">
        <f t="shared" si="91"/>
        <v>0</v>
      </c>
      <c r="P312" s="560">
        <f t="shared" si="91"/>
        <v>0</v>
      </c>
      <c r="Q312" s="560">
        <f t="shared" si="91"/>
        <v>0</v>
      </c>
      <c r="R312" s="560">
        <f t="shared" si="91"/>
        <v>0</v>
      </c>
      <c r="S312" s="560">
        <f t="shared" si="91"/>
        <v>4722443</v>
      </c>
      <c r="T312" s="560">
        <f t="shared" si="91"/>
        <v>0</v>
      </c>
      <c r="U312" s="560">
        <f t="shared" si="91"/>
        <v>42419749</v>
      </c>
      <c r="V312" s="560">
        <f t="shared" si="91"/>
        <v>0</v>
      </c>
      <c r="W312" s="560">
        <f t="shared" si="91"/>
        <v>0</v>
      </c>
      <c r="X312" s="560">
        <f t="shared" si="91"/>
        <v>0</v>
      </c>
      <c r="Y312" s="560">
        <f t="shared" si="91"/>
        <v>0</v>
      </c>
      <c r="Z312" s="560">
        <f t="shared" si="91"/>
        <v>1282182</v>
      </c>
      <c r="AA312" s="560">
        <f t="shared" si="91"/>
        <v>0</v>
      </c>
      <c r="AB312" s="560">
        <f t="shared" si="91"/>
        <v>0</v>
      </c>
      <c r="AC312" s="560">
        <f t="shared" si="91"/>
        <v>0</v>
      </c>
      <c r="AD312" s="560">
        <f t="shared" si="91"/>
        <v>0</v>
      </c>
      <c r="AE312" s="560">
        <f t="shared" si="91"/>
        <v>2937560</v>
      </c>
      <c r="AF312" s="560">
        <f t="shared" si="91"/>
        <v>0</v>
      </c>
      <c r="AG312" s="560">
        <f t="shared" si="91"/>
        <v>0</v>
      </c>
      <c r="AH312" s="560">
        <f t="shared" si="91"/>
        <v>0</v>
      </c>
      <c r="AI312" s="560">
        <f t="shared" si="91"/>
        <v>0</v>
      </c>
      <c r="AJ312" s="560">
        <f t="shared" ref="AJ312:BO312" si="92">AJ16</f>
        <v>4954291</v>
      </c>
      <c r="AK312" s="560">
        <f t="shared" si="92"/>
        <v>0</v>
      </c>
      <c r="AL312" s="560">
        <f t="shared" si="92"/>
        <v>0</v>
      </c>
      <c r="AM312" s="560">
        <f t="shared" si="92"/>
        <v>0</v>
      </c>
      <c r="AN312" s="560">
        <f t="shared" si="92"/>
        <v>0</v>
      </c>
      <c r="AO312" s="560">
        <f t="shared" si="92"/>
        <v>0</v>
      </c>
      <c r="AP312" s="560">
        <f t="shared" si="92"/>
        <v>0</v>
      </c>
      <c r="AQ312" s="560">
        <f t="shared" si="92"/>
        <v>24443460</v>
      </c>
      <c r="AR312" s="560">
        <f t="shared" si="92"/>
        <v>0</v>
      </c>
      <c r="AS312" s="560">
        <f t="shared" si="92"/>
        <v>0</v>
      </c>
      <c r="AT312" s="560">
        <f t="shared" si="92"/>
        <v>0</v>
      </c>
      <c r="AU312" s="560">
        <f t="shared" si="92"/>
        <v>3335706</v>
      </c>
      <c r="AV312" s="560">
        <f t="shared" si="92"/>
        <v>0</v>
      </c>
      <c r="AW312" s="560">
        <f t="shared" si="92"/>
        <v>0</v>
      </c>
      <c r="AX312" s="560">
        <f t="shared" si="92"/>
        <v>0</v>
      </c>
      <c r="AY312" s="560">
        <f t="shared" si="92"/>
        <v>0</v>
      </c>
      <c r="AZ312" s="560">
        <f t="shared" si="92"/>
        <v>0</v>
      </c>
      <c r="BA312" s="560">
        <f t="shared" si="92"/>
        <v>0</v>
      </c>
      <c r="BB312" s="560">
        <f t="shared" si="92"/>
        <v>0</v>
      </c>
      <c r="BC312" s="560">
        <f t="shared" si="92"/>
        <v>0</v>
      </c>
      <c r="BD312" s="560">
        <f t="shared" si="92"/>
        <v>0</v>
      </c>
      <c r="BE312" s="560">
        <f t="shared" si="92"/>
        <v>14463323</v>
      </c>
      <c r="BF312" s="560">
        <f t="shared" si="92"/>
        <v>0</v>
      </c>
      <c r="BG312" s="560">
        <f t="shared" si="92"/>
        <v>0</v>
      </c>
      <c r="BH312" s="560">
        <f t="shared" si="92"/>
        <v>0</v>
      </c>
      <c r="BI312" s="560">
        <f t="shared" si="92"/>
        <v>0</v>
      </c>
      <c r="BJ312" s="560">
        <f t="shared" si="92"/>
        <v>0</v>
      </c>
      <c r="BK312" s="560">
        <f t="shared" si="92"/>
        <v>3989422</v>
      </c>
      <c r="BL312" s="560">
        <f t="shared" si="92"/>
        <v>0</v>
      </c>
      <c r="BM312" s="560">
        <f t="shared" si="92"/>
        <v>0</v>
      </c>
      <c r="BN312" s="560">
        <f t="shared" si="92"/>
        <v>0</v>
      </c>
      <c r="BO312" s="560">
        <f t="shared" si="92"/>
        <v>0</v>
      </c>
      <c r="BP312" s="560">
        <f t="shared" ref="BP312:CZ312" si="93">BP16</f>
        <v>0</v>
      </c>
      <c r="BQ312" s="560">
        <f t="shared" si="93"/>
        <v>0</v>
      </c>
      <c r="BR312" s="560">
        <f t="shared" si="93"/>
        <v>0</v>
      </c>
      <c r="BS312" s="560">
        <f t="shared" si="93"/>
        <v>0</v>
      </c>
      <c r="BT312" s="560">
        <f t="shared" si="93"/>
        <v>0</v>
      </c>
      <c r="BU312" s="560">
        <f t="shared" si="93"/>
        <v>0</v>
      </c>
      <c r="BV312" s="560">
        <f t="shared" si="93"/>
        <v>0</v>
      </c>
      <c r="BW312" s="560">
        <f t="shared" si="93"/>
        <v>0</v>
      </c>
      <c r="BX312" s="560">
        <f t="shared" si="93"/>
        <v>0</v>
      </c>
      <c r="BY312" s="560">
        <f t="shared" si="93"/>
        <v>0</v>
      </c>
      <c r="BZ312" s="560">
        <f t="shared" si="93"/>
        <v>0</v>
      </c>
      <c r="CA312" s="560">
        <f t="shared" si="93"/>
        <v>0</v>
      </c>
      <c r="CB312" s="560">
        <f t="shared" si="93"/>
        <v>0</v>
      </c>
      <c r="CC312" s="560">
        <f t="shared" si="93"/>
        <v>0</v>
      </c>
      <c r="CD312" s="560">
        <f t="shared" si="93"/>
        <v>0</v>
      </c>
      <c r="CE312" s="560">
        <f t="shared" si="93"/>
        <v>0</v>
      </c>
      <c r="CF312" s="560">
        <f t="shared" si="93"/>
        <v>0</v>
      </c>
      <c r="CG312" s="560">
        <f t="shared" si="93"/>
        <v>0</v>
      </c>
      <c r="CH312" s="560">
        <f t="shared" si="93"/>
        <v>0</v>
      </c>
      <c r="CI312" s="560">
        <f t="shared" si="93"/>
        <v>0</v>
      </c>
      <c r="CJ312" s="560">
        <f t="shared" si="93"/>
        <v>0</v>
      </c>
      <c r="CK312" s="560">
        <f t="shared" si="93"/>
        <v>0</v>
      </c>
      <c r="CL312" s="560">
        <f t="shared" si="93"/>
        <v>0</v>
      </c>
      <c r="CM312" s="560">
        <f t="shared" si="93"/>
        <v>0</v>
      </c>
      <c r="CN312" s="560">
        <f t="shared" si="93"/>
        <v>0</v>
      </c>
      <c r="CO312" s="560">
        <f t="shared" si="93"/>
        <v>0</v>
      </c>
      <c r="CP312" s="560">
        <f t="shared" si="93"/>
        <v>0</v>
      </c>
      <c r="CQ312" s="560">
        <f t="shared" si="93"/>
        <v>0</v>
      </c>
      <c r="CR312" s="560">
        <f t="shared" si="93"/>
        <v>0</v>
      </c>
      <c r="CS312" s="560">
        <f t="shared" si="93"/>
        <v>0</v>
      </c>
      <c r="CT312" s="560">
        <f t="shared" si="93"/>
        <v>0</v>
      </c>
      <c r="CU312" s="560">
        <f t="shared" si="93"/>
        <v>0</v>
      </c>
      <c r="CV312" s="560">
        <f t="shared" si="93"/>
        <v>0</v>
      </c>
      <c r="CW312" s="560">
        <f t="shared" si="93"/>
        <v>0</v>
      </c>
      <c r="CX312" s="560">
        <f t="shared" si="93"/>
        <v>0</v>
      </c>
      <c r="CY312" s="560">
        <f t="shared" si="93"/>
        <v>0</v>
      </c>
      <c r="CZ312" s="560">
        <f t="shared" si="93"/>
        <v>0</v>
      </c>
    </row>
    <row r="313" spans="1:104" x14ac:dyDescent="0.3">
      <c r="A313" s="559">
        <v>48</v>
      </c>
      <c r="B313" s="180"/>
      <c r="C313" s="180">
        <v>17</v>
      </c>
      <c r="D313" s="560">
        <f t="shared" ref="D313:AI313" si="94">D17</f>
        <v>0</v>
      </c>
      <c r="E313" s="560">
        <f t="shared" si="94"/>
        <v>0</v>
      </c>
      <c r="F313" s="560">
        <f t="shared" si="94"/>
        <v>0</v>
      </c>
      <c r="G313" s="560">
        <f t="shared" si="94"/>
        <v>0</v>
      </c>
      <c r="H313" s="560">
        <f t="shared" si="94"/>
        <v>0</v>
      </c>
      <c r="I313" s="560">
        <f t="shared" si="94"/>
        <v>0</v>
      </c>
      <c r="J313" s="560">
        <f t="shared" si="94"/>
        <v>0</v>
      </c>
      <c r="K313" s="560">
        <f t="shared" si="94"/>
        <v>0</v>
      </c>
      <c r="L313" s="560">
        <f t="shared" si="94"/>
        <v>0</v>
      </c>
      <c r="M313" s="560">
        <f t="shared" si="94"/>
        <v>0</v>
      </c>
      <c r="N313" s="560">
        <f t="shared" si="94"/>
        <v>0</v>
      </c>
      <c r="O313" s="560">
        <f t="shared" si="94"/>
        <v>0</v>
      </c>
      <c r="P313" s="560">
        <f t="shared" si="94"/>
        <v>0</v>
      </c>
      <c r="Q313" s="560">
        <f t="shared" si="94"/>
        <v>0</v>
      </c>
      <c r="R313" s="560">
        <f t="shared" si="94"/>
        <v>0</v>
      </c>
      <c r="S313" s="560">
        <f t="shared" si="94"/>
        <v>1580297</v>
      </c>
      <c r="T313" s="560">
        <f t="shared" si="94"/>
        <v>0</v>
      </c>
      <c r="U313" s="560">
        <f t="shared" si="94"/>
        <v>1837837</v>
      </c>
      <c r="V313" s="560">
        <f t="shared" si="94"/>
        <v>0</v>
      </c>
      <c r="W313" s="560">
        <f t="shared" si="94"/>
        <v>0</v>
      </c>
      <c r="X313" s="560">
        <f t="shared" si="94"/>
        <v>0</v>
      </c>
      <c r="Y313" s="560">
        <f t="shared" si="94"/>
        <v>0</v>
      </c>
      <c r="Z313" s="560">
        <f t="shared" si="94"/>
        <v>760916</v>
      </c>
      <c r="AA313" s="560">
        <f t="shared" si="94"/>
        <v>333900</v>
      </c>
      <c r="AB313" s="560">
        <f t="shared" si="94"/>
        <v>0</v>
      </c>
      <c r="AC313" s="560">
        <f t="shared" si="94"/>
        <v>0</v>
      </c>
      <c r="AD313" s="560">
        <f t="shared" si="94"/>
        <v>0</v>
      </c>
      <c r="AE313" s="560">
        <f t="shared" si="94"/>
        <v>477797</v>
      </c>
      <c r="AF313" s="560">
        <f t="shared" si="94"/>
        <v>0</v>
      </c>
      <c r="AG313" s="560">
        <f t="shared" si="94"/>
        <v>0</v>
      </c>
      <c r="AH313" s="560">
        <f t="shared" si="94"/>
        <v>0</v>
      </c>
      <c r="AI313" s="560">
        <f t="shared" si="94"/>
        <v>0</v>
      </c>
      <c r="AJ313" s="560">
        <f t="shared" ref="AJ313:BO313" si="95">AJ17</f>
        <v>2082589</v>
      </c>
      <c r="AK313" s="560">
        <f t="shared" si="95"/>
        <v>0</v>
      </c>
      <c r="AL313" s="560">
        <f t="shared" si="95"/>
        <v>0</v>
      </c>
      <c r="AM313" s="560">
        <f t="shared" si="95"/>
        <v>0</v>
      </c>
      <c r="AN313" s="560">
        <f t="shared" si="95"/>
        <v>0</v>
      </c>
      <c r="AO313" s="560">
        <f t="shared" si="95"/>
        <v>0</v>
      </c>
      <c r="AP313" s="560">
        <f t="shared" si="95"/>
        <v>0</v>
      </c>
      <c r="AQ313" s="560">
        <f t="shared" si="95"/>
        <v>4768395</v>
      </c>
      <c r="AR313" s="560">
        <f t="shared" si="95"/>
        <v>0</v>
      </c>
      <c r="AS313" s="560">
        <f t="shared" si="95"/>
        <v>0</v>
      </c>
      <c r="AT313" s="560">
        <f t="shared" si="95"/>
        <v>0</v>
      </c>
      <c r="AU313" s="560">
        <f t="shared" si="95"/>
        <v>638525</v>
      </c>
      <c r="AV313" s="560">
        <f t="shared" si="95"/>
        <v>0</v>
      </c>
      <c r="AW313" s="560">
        <f t="shared" si="95"/>
        <v>0</v>
      </c>
      <c r="AX313" s="560">
        <f t="shared" si="95"/>
        <v>0</v>
      </c>
      <c r="AY313" s="560">
        <f t="shared" si="95"/>
        <v>0</v>
      </c>
      <c r="AZ313" s="560">
        <f t="shared" si="95"/>
        <v>0</v>
      </c>
      <c r="BA313" s="560">
        <f t="shared" si="95"/>
        <v>0</v>
      </c>
      <c r="BB313" s="560">
        <f t="shared" si="95"/>
        <v>0</v>
      </c>
      <c r="BC313" s="560">
        <f t="shared" si="95"/>
        <v>0</v>
      </c>
      <c r="BD313" s="560">
        <f t="shared" si="95"/>
        <v>0</v>
      </c>
      <c r="BE313" s="560">
        <f t="shared" si="95"/>
        <v>2536908</v>
      </c>
      <c r="BF313" s="560">
        <f t="shared" si="95"/>
        <v>0</v>
      </c>
      <c r="BG313" s="560">
        <f t="shared" si="95"/>
        <v>0</v>
      </c>
      <c r="BH313" s="560">
        <f t="shared" si="95"/>
        <v>0</v>
      </c>
      <c r="BI313" s="560">
        <f t="shared" si="95"/>
        <v>0</v>
      </c>
      <c r="BJ313" s="560">
        <f t="shared" si="95"/>
        <v>0</v>
      </c>
      <c r="BK313" s="560">
        <f t="shared" si="95"/>
        <v>20894</v>
      </c>
      <c r="BL313" s="560">
        <f t="shared" si="95"/>
        <v>0</v>
      </c>
      <c r="BM313" s="560">
        <f t="shared" si="95"/>
        <v>0</v>
      </c>
      <c r="BN313" s="560">
        <f t="shared" si="95"/>
        <v>0</v>
      </c>
      <c r="BO313" s="560">
        <f t="shared" si="95"/>
        <v>0</v>
      </c>
      <c r="BP313" s="560">
        <f t="shared" ref="BP313:CZ313" si="96">BP17</f>
        <v>0</v>
      </c>
      <c r="BQ313" s="560">
        <f t="shared" si="96"/>
        <v>0</v>
      </c>
      <c r="BR313" s="560">
        <f t="shared" si="96"/>
        <v>0</v>
      </c>
      <c r="BS313" s="560">
        <f t="shared" si="96"/>
        <v>0</v>
      </c>
      <c r="BT313" s="560">
        <f t="shared" si="96"/>
        <v>0</v>
      </c>
      <c r="BU313" s="560">
        <f t="shared" si="96"/>
        <v>0</v>
      </c>
      <c r="BV313" s="560">
        <f t="shared" si="96"/>
        <v>0</v>
      </c>
      <c r="BW313" s="560">
        <f t="shared" si="96"/>
        <v>0</v>
      </c>
      <c r="BX313" s="560">
        <f t="shared" si="96"/>
        <v>0</v>
      </c>
      <c r="BY313" s="560">
        <f t="shared" si="96"/>
        <v>0</v>
      </c>
      <c r="BZ313" s="560">
        <f t="shared" si="96"/>
        <v>0</v>
      </c>
      <c r="CA313" s="560">
        <f t="shared" si="96"/>
        <v>0</v>
      </c>
      <c r="CB313" s="560">
        <f t="shared" si="96"/>
        <v>0</v>
      </c>
      <c r="CC313" s="560">
        <f t="shared" si="96"/>
        <v>0</v>
      </c>
      <c r="CD313" s="560">
        <f t="shared" si="96"/>
        <v>0</v>
      </c>
      <c r="CE313" s="560">
        <f t="shared" si="96"/>
        <v>0</v>
      </c>
      <c r="CF313" s="560">
        <f t="shared" si="96"/>
        <v>0</v>
      </c>
      <c r="CG313" s="560">
        <f t="shared" si="96"/>
        <v>0</v>
      </c>
      <c r="CH313" s="560">
        <f t="shared" si="96"/>
        <v>0</v>
      </c>
      <c r="CI313" s="560">
        <f t="shared" si="96"/>
        <v>0</v>
      </c>
      <c r="CJ313" s="560">
        <f t="shared" si="96"/>
        <v>0</v>
      </c>
      <c r="CK313" s="560">
        <f t="shared" si="96"/>
        <v>0</v>
      </c>
      <c r="CL313" s="560">
        <f t="shared" si="96"/>
        <v>0</v>
      </c>
      <c r="CM313" s="560">
        <f t="shared" si="96"/>
        <v>0</v>
      </c>
      <c r="CN313" s="560">
        <f t="shared" si="96"/>
        <v>0</v>
      </c>
      <c r="CO313" s="560">
        <f t="shared" si="96"/>
        <v>0</v>
      </c>
      <c r="CP313" s="560">
        <f t="shared" si="96"/>
        <v>0</v>
      </c>
      <c r="CQ313" s="560">
        <f t="shared" si="96"/>
        <v>0</v>
      </c>
      <c r="CR313" s="560">
        <f t="shared" si="96"/>
        <v>0</v>
      </c>
      <c r="CS313" s="560">
        <f t="shared" si="96"/>
        <v>0</v>
      </c>
      <c r="CT313" s="560">
        <f t="shared" si="96"/>
        <v>0</v>
      </c>
      <c r="CU313" s="560">
        <f t="shared" si="96"/>
        <v>0</v>
      </c>
      <c r="CV313" s="560">
        <f t="shared" si="96"/>
        <v>0</v>
      </c>
      <c r="CW313" s="560">
        <f t="shared" si="96"/>
        <v>0</v>
      </c>
      <c r="CX313" s="560">
        <f t="shared" si="96"/>
        <v>0</v>
      </c>
      <c r="CY313" s="560">
        <f t="shared" si="96"/>
        <v>0</v>
      </c>
      <c r="CZ313" s="560">
        <f t="shared" si="96"/>
        <v>0</v>
      </c>
    </row>
    <row r="314" spans="1:104" x14ac:dyDescent="0.3">
      <c r="A314" s="563">
        <v>385</v>
      </c>
      <c r="B314" s="180"/>
      <c r="C314" s="180">
        <v>95</v>
      </c>
      <c r="D314" s="564">
        <f t="shared" ref="D314:AI314" si="97">D95</f>
        <v>6907418</v>
      </c>
      <c r="E314" s="564">
        <f t="shared" si="97"/>
        <v>115256806</v>
      </c>
      <c r="F314" s="564">
        <f t="shared" si="97"/>
        <v>0</v>
      </c>
      <c r="G314" s="564">
        <f t="shared" si="97"/>
        <v>180317889</v>
      </c>
      <c r="H314" s="564">
        <f t="shared" si="97"/>
        <v>18940554</v>
      </c>
      <c r="I314" s="564">
        <f t="shared" si="97"/>
        <v>818393</v>
      </c>
      <c r="J314" s="564">
        <f t="shared" si="97"/>
        <v>4349504</v>
      </c>
      <c r="K314" s="564">
        <f t="shared" si="97"/>
        <v>5931555</v>
      </c>
      <c r="L314" s="564">
        <f t="shared" si="97"/>
        <v>371259393</v>
      </c>
      <c r="M314" s="564">
        <f t="shared" si="97"/>
        <v>0</v>
      </c>
      <c r="N314" s="564">
        <f t="shared" si="97"/>
        <v>2505832</v>
      </c>
      <c r="O314" s="564">
        <f t="shared" si="97"/>
        <v>0</v>
      </c>
      <c r="P314" s="564">
        <f t="shared" si="97"/>
        <v>198800343</v>
      </c>
      <c r="Q314" s="564">
        <f t="shared" si="97"/>
        <v>74123689</v>
      </c>
      <c r="R314" s="564">
        <f t="shared" si="97"/>
        <v>18010406</v>
      </c>
      <c r="S314" s="564">
        <f t="shared" si="97"/>
        <v>40480548</v>
      </c>
      <c r="T314" s="564">
        <f t="shared" si="97"/>
        <v>878366</v>
      </c>
      <c r="U314" s="564">
        <f t="shared" si="97"/>
        <v>60962430</v>
      </c>
      <c r="V314" s="564">
        <f t="shared" si="97"/>
        <v>278063</v>
      </c>
      <c r="W314" s="564">
        <f t="shared" si="97"/>
        <v>37621797</v>
      </c>
      <c r="X314" s="564">
        <f t="shared" si="97"/>
        <v>141351324</v>
      </c>
      <c r="Y314" s="564">
        <f t="shared" si="97"/>
        <v>22742424</v>
      </c>
      <c r="Z314" s="564">
        <f t="shared" si="97"/>
        <v>6337195</v>
      </c>
      <c r="AA314" s="564">
        <f t="shared" si="97"/>
        <v>36458646</v>
      </c>
      <c r="AB314" s="564">
        <f t="shared" si="97"/>
        <v>2507307</v>
      </c>
      <c r="AC314" s="564">
        <f t="shared" si="97"/>
        <v>706965</v>
      </c>
      <c r="AD314" s="564">
        <f t="shared" si="97"/>
        <v>4201260</v>
      </c>
      <c r="AE314" s="564">
        <f t="shared" si="97"/>
        <v>11672864</v>
      </c>
      <c r="AF314" s="564">
        <f t="shared" si="97"/>
        <v>1714491</v>
      </c>
      <c r="AG314" s="564">
        <f t="shared" si="97"/>
        <v>185295</v>
      </c>
      <c r="AH314" s="564">
        <f t="shared" si="97"/>
        <v>1270346</v>
      </c>
      <c r="AI314" s="564">
        <f t="shared" si="97"/>
        <v>7175023</v>
      </c>
      <c r="AJ314" s="564">
        <f t="shared" ref="AJ314:BO314" si="98">AJ95</f>
        <v>24151368</v>
      </c>
      <c r="AK314" s="564">
        <f t="shared" si="98"/>
        <v>1363421</v>
      </c>
      <c r="AL314" s="564">
        <f t="shared" si="98"/>
        <v>159398</v>
      </c>
      <c r="AM314" s="564">
        <f t="shared" si="98"/>
        <v>150929802</v>
      </c>
      <c r="AN314" s="564">
        <f t="shared" si="98"/>
        <v>50907108</v>
      </c>
      <c r="AO314" s="564">
        <f t="shared" si="98"/>
        <v>0</v>
      </c>
      <c r="AP314" s="564">
        <f t="shared" si="98"/>
        <v>25433246</v>
      </c>
      <c r="AQ314" s="564">
        <f t="shared" si="98"/>
        <v>83241245</v>
      </c>
      <c r="AR314" s="564">
        <f t="shared" si="98"/>
        <v>0</v>
      </c>
      <c r="AS314" s="564">
        <f t="shared" si="98"/>
        <v>0</v>
      </c>
      <c r="AT314" s="564">
        <f t="shared" si="98"/>
        <v>0</v>
      </c>
      <c r="AU314" s="564">
        <f t="shared" si="98"/>
        <v>38875106</v>
      </c>
      <c r="AV314" s="564">
        <f t="shared" si="98"/>
        <v>1195686</v>
      </c>
      <c r="AW314" s="564">
        <f t="shared" si="98"/>
        <v>0</v>
      </c>
      <c r="AX314" s="564">
        <f t="shared" si="98"/>
        <v>19084320</v>
      </c>
      <c r="AY314" s="564">
        <f t="shared" si="98"/>
        <v>8535374</v>
      </c>
      <c r="AZ314" s="564">
        <f t="shared" si="98"/>
        <v>0</v>
      </c>
      <c r="BA314" s="564">
        <f t="shared" si="98"/>
        <v>257423</v>
      </c>
      <c r="BB314" s="564">
        <f t="shared" si="98"/>
        <v>7806767</v>
      </c>
      <c r="BC314" s="564">
        <f t="shared" si="98"/>
        <v>0</v>
      </c>
      <c r="BD314" s="564">
        <f t="shared" si="98"/>
        <v>448225</v>
      </c>
      <c r="BE314" s="564">
        <f t="shared" si="98"/>
        <v>69538896</v>
      </c>
      <c r="BF314" s="564">
        <f t="shared" si="98"/>
        <v>0</v>
      </c>
      <c r="BG314" s="564">
        <f t="shared" si="98"/>
        <v>0</v>
      </c>
      <c r="BH314" s="564">
        <f t="shared" si="98"/>
        <v>13203243</v>
      </c>
      <c r="BI314" s="564">
        <f t="shared" si="98"/>
        <v>13452584</v>
      </c>
      <c r="BJ314" s="564">
        <f t="shared" si="98"/>
        <v>1264606</v>
      </c>
      <c r="BK314" s="564">
        <f t="shared" si="98"/>
        <v>18097402</v>
      </c>
      <c r="BL314" s="564">
        <f t="shared" si="98"/>
        <v>16925786</v>
      </c>
      <c r="BM314" s="564">
        <f t="shared" si="98"/>
        <v>237783</v>
      </c>
      <c r="BN314" s="564">
        <f t="shared" si="98"/>
        <v>20054096</v>
      </c>
      <c r="BO314" s="564">
        <f t="shared" si="98"/>
        <v>9837493</v>
      </c>
      <c r="BP314" s="564">
        <f t="shared" ref="BP314:CZ314" si="99">BP95</f>
        <v>2548726</v>
      </c>
      <c r="BQ314" s="564">
        <f t="shared" si="99"/>
        <v>5802420</v>
      </c>
      <c r="BR314" s="564">
        <f t="shared" si="99"/>
        <v>15686236</v>
      </c>
      <c r="BS314" s="564">
        <f t="shared" si="99"/>
        <v>289168054</v>
      </c>
      <c r="BT314" s="564">
        <f t="shared" si="99"/>
        <v>6001654</v>
      </c>
      <c r="BU314" s="564">
        <f t="shared" si="99"/>
        <v>8268115</v>
      </c>
      <c r="BV314" s="564">
        <f t="shared" si="99"/>
        <v>2629744</v>
      </c>
      <c r="BW314" s="564">
        <f t="shared" si="99"/>
        <v>5087501</v>
      </c>
      <c r="BX314" s="564">
        <f t="shared" si="99"/>
        <v>0</v>
      </c>
      <c r="BY314" s="564">
        <f t="shared" si="99"/>
        <v>262073</v>
      </c>
      <c r="BZ314" s="564">
        <f t="shared" si="99"/>
        <v>97289750</v>
      </c>
      <c r="CA314" s="564">
        <f t="shared" si="99"/>
        <v>379794</v>
      </c>
      <c r="CB314" s="564">
        <f t="shared" si="99"/>
        <v>0</v>
      </c>
      <c r="CC314" s="564">
        <f t="shared" si="99"/>
        <v>0</v>
      </c>
      <c r="CD314" s="564">
        <f t="shared" si="99"/>
        <v>0</v>
      </c>
      <c r="CE314" s="564">
        <f t="shared" si="99"/>
        <v>0</v>
      </c>
      <c r="CF314" s="564">
        <f t="shared" si="99"/>
        <v>0</v>
      </c>
      <c r="CG314" s="564">
        <f t="shared" si="99"/>
        <v>0</v>
      </c>
      <c r="CH314" s="564">
        <f t="shared" si="99"/>
        <v>0</v>
      </c>
      <c r="CI314" s="564">
        <f t="shared" si="99"/>
        <v>0</v>
      </c>
      <c r="CJ314" s="564">
        <f t="shared" si="99"/>
        <v>0</v>
      </c>
      <c r="CK314" s="564">
        <f t="shared" si="99"/>
        <v>0</v>
      </c>
      <c r="CL314" s="564">
        <f t="shared" si="99"/>
        <v>0</v>
      </c>
      <c r="CM314" s="564">
        <f t="shared" si="99"/>
        <v>0</v>
      </c>
      <c r="CN314" s="564">
        <f t="shared" si="99"/>
        <v>0</v>
      </c>
      <c r="CO314" s="564">
        <f t="shared" si="99"/>
        <v>0</v>
      </c>
      <c r="CP314" s="564">
        <f t="shared" si="99"/>
        <v>0</v>
      </c>
      <c r="CQ314" s="564">
        <f t="shared" si="99"/>
        <v>0</v>
      </c>
      <c r="CR314" s="564">
        <f t="shared" si="99"/>
        <v>0</v>
      </c>
      <c r="CS314" s="564">
        <f t="shared" si="99"/>
        <v>0</v>
      </c>
      <c r="CT314" s="564">
        <f t="shared" si="99"/>
        <v>0</v>
      </c>
      <c r="CU314" s="564">
        <f t="shared" si="99"/>
        <v>0</v>
      </c>
      <c r="CV314" s="564">
        <f t="shared" si="99"/>
        <v>0</v>
      </c>
      <c r="CW314" s="564">
        <f t="shared" si="99"/>
        <v>0</v>
      </c>
      <c r="CX314" s="564">
        <f t="shared" si="99"/>
        <v>0</v>
      </c>
      <c r="CY314" s="564">
        <f t="shared" si="99"/>
        <v>0</v>
      </c>
      <c r="CZ314" s="564">
        <f t="shared" si="99"/>
        <v>0</v>
      </c>
    </row>
    <row r="315" spans="1:104" x14ac:dyDescent="0.3">
      <c r="A315" s="563">
        <v>626</v>
      </c>
      <c r="B315" s="180"/>
      <c r="C315" s="180">
        <v>170</v>
      </c>
      <c r="D315" s="564">
        <f t="shared" ref="D315:AI315" si="100">D170</f>
        <v>125753</v>
      </c>
      <c r="E315" s="564">
        <f t="shared" si="100"/>
        <v>9636713</v>
      </c>
      <c r="F315" s="564">
        <f t="shared" si="100"/>
        <v>0</v>
      </c>
      <c r="G315" s="564">
        <f t="shared" si="100"/>
        <v>8106811</v>
      </c>
      <c r="H315" s="564">
        <f t="shared" si="100"/>
        <v>617572</v>
      </c>
      <c r="I315" s="564">
        <f t="shared" si="100"/>
        <v>16822</v>
      </c>
      <c r="J315" s="564">
        <f t="shared" si="100"/>
        <v>49695</v>
      </c>
      <c r="K315" s="564">
        <f t="shared" si="100"/>
        <v>495399</v>
      </c>
      <c r="L315" s="564">
        <f t="shared" si="100"/>
        <v>17536164</v>
      </c>
      <c r="M315" s="564">
        <f t="shared" si="100"/>
        <v>0</v>
      </c>
      <c r="N315" s="564">
        <f t="shared" si="100"/>
        <v>185264</v>
      </c>
      <c r="O315" s="564">
        <f t="shared" si="100"/>
        <v>0</v>
      </c>
      <c r="P315" s="564">
        <f t="shared" si="100"/>
        <v>8676254</v>
      </c>
      <c r="Q315" s="564">
        <f t="shared" si="100"/>
        <v>10019177</v>
      </c>
      <c r="R315" s="564">
        <f t="shared" si="100"/>
        <v>1516557</v>
      </c>
      <c r="S315" s="564">
        <f t="shared" si="100"/>
        <v>2808783</v>
      </c>
      <c r="T315" s="564">
        <f t="shared" si="100"/>
        <v>116694</v>
      </c>
      <c r="U315" s="564">
        <f t="shared" si="100"/>
        <v>3584679</v>
      </c>
      <c r="V315" s="564">
        <f t="shared" si="100"/>
        <v>2859</v>
      </c>
      <c r="W315" s="564">
        <f t="shared" si="100"/>
        <v>2557460</v>
      </c>
      <c r="X315" s="564">
        <f t="shared" si="100"/>
        <v>3538860</v>
      </c>
      <c r="Y315" s="564">
        <f t="shared" si="100"/>
        <v>1198770</v>
      </c>
      <c r="Z315" s="564">
        <f t="shared" si="100"/>
        <v>522970</v>
      </c>
      <c r="AA315" s="564">
        <f t="shared" si="100"/>
        <v>17263989</v>
      </c>
      <c r="AB315" s="564">
        <f t="shared" si="100"/>
        <v>540012</v>
      </c>
      <c r="AC315" s="564">
        <f t="shared" si="100"/>
        <v>4905</v>
      </c>
      <c r="AD315" s="564">
        <f t="shared" si="100"/>
        <v>46051</v>
      </c>
      <c r="AE315" s="564">
        <f t="shared" si="100"/>
        <v>750033</v>
      </c>
      <c r="AF315" s="564">
        <f t="shared" si="100"/>
        <v>253779</v>
      </c>
      <c r="AG315" s="564">
        <f t="shared" si="100"/>
        <v>1204</v>
      </c>
      <c r="AH315" s="564">
        <f t="shared" si="100"/>
        <v>11358</v>
      </c>
      <c r="AI315" s="564">
        <f t="shared" si="100"/>
        <v>451332</v>
      </c>
      <c r="AJ315" s="564">
        <f t="shared" ref="AJ315:BO315" si="101">AJ170</f>
        <v>3901246</v>
      </c>
      <c r="AK315" s="564">
        <f t="shared" si="101"/>
        <v>83025</v>
      </c>
      <c r="AL315" s="564">
        <f t="shared" si="101"/>
        <v>13107</v>
      </c>
      <c r="AM315" s="564">
        <f t="shared" si="101"/>
        <v>10671786</v>
      </c>
      <c r="AN315" s="564">
        <f t="shared" si="101"/>
        <v>4629352</v>
      </c>
      <c r="AO315" s="564">
        <f t="shared" si="101"/>
        <v>0</v>
      </c>
      <c r="AP315" s="564">
        <f t="shared" si="101"/>
        <v>1609692</v>
      </c>
      <c r="AQ315" s="564">
        <f t="shared" si="101"/>
        <v>10622777</v>
      </c>
      <c r="AR315" s="564">
        <f t="shared" si="101"/>
        <v>0</v>
      </c>
      <c r="AS315" s="564">
        <f t="shared" si="101"/>
        <v>0</v>
      </c>
      <c r="AT315" s="564">
        <f t="shared" si="101"/>
        <v>0</v>
      </c>
      <c r="AU315" s="564">
        <f t="shared" si="101"/>
        <v>4776205</v>
      </c>
      <c r="AV315" s="564">
        <f t="shared" si="101"/>
        <v>60722</v>
      </c>
      <c r="AW315" s="564">
        <f t="shared" si="101"/>
        <v>0</v>
      </c>
      <c r="AX315" s="564">
        <f t="shared" si="101"/>
        <v>2466508</v>
      </c>
      <c r="AY315" s="564">
        <f t="shared" si="101"/>
        <v>1071497</v>
      </c>
      <c r="AZ315" s="564">
        <f t="shared" si="101"/>
        <v>0</v>
      </c>
      <c r="BA315" s="564">
        <f t="shared" si="101"/>
        <v>0</v>
      </c>
      <c r="BB315" s="564">
        <f t="shared" si="101"/>
        <v>878514</v>
      </c>
      <c r="BC315" s="564">
        <f t="shared" si="101"/>
        <v>0</v>
      </c>
      <c r="BD315" s="564">
        <f t="shared" si="101"/>
        <v>1038</v>
      </c>
      <c r="BE315" s="564">
        <f t="shared" si="101"/>
        <v>6964060</v>
      </c>
      <c r="BF315" s="564">
        <f t="shared" si="101"/>
        <v>0</v>
      </c>
      <c r="BG315" s="564">
        <f t="shared" si="101"/>
        <v>0</v>
      </c>
      <c r="BH315" s="564">
        <f t="shared" si="101"/>
        <v>56836</v>
      </c>
      <c r="BI315" s="564">
        <f t="shared" si="101"/>
        <v>452069</v>
      </c>
      <c r="BJ315" s="564">
        <f t="shared" si="101"/>
        <v>48085</v>
      </c>
      <c r="BK315" s="564">
        <f t="shared" si="101"/>
        <v>253703</v>
      </c>
      <c r="BL315" s="564">
        <f t="shared" si="101"/>
        <v>440329</v>
      </c>
      <c r="BM315" s="564">
        <f t="shared" si="101"/>
        <v>0</v>
      </c>
      <c r="BN315" s="564">
        <f t="shared" si="101"/>
        <v>1147176</v>
      </c>
      <c r="BO315" s="564">
        <f t="shared" si="101"/>
        <v>419698</v>
      </c>
      <c r="BP315" s="564">
        <f t="shared" ref="BP315:CZ315" si="102">BP170</f>
        <v>34342</v>
      </c>
      <c r="BQ315" s="564">
        <f t="shared" si="102"/>
        <v>102774</v>
      </c>
      <c r="BR315" s="564">
        <f t="shared" si="102"/>
        <v>183128</v>
      </c>
      <c r="BS315" s="564">
        <f t="shared" si="102"/>
        <v>3251311</v>
      </c>
      <c r="BT315" s="564">
        <f t="shared" si="102"/>
        <v>117767</v>
      </c>
      <c r="BU315" s="564">
        <f t="shared" si="102"/>
        <v>6173152</v>
      </c>
      <c r="BV315" s="564">
        <f t="shared" si="102"/>
        <v>123767</v>
      </c>
      <c r="BW315" s="564">
        <f t="shared" si="102"/>
        <v>111777</v>
      </c>
      <c r="BX315" s="564">
        <f t="shared" si="102"/>
        <v>0</v>
      </c>
      <c r="BY315" s="564">
        <f t="shared" si="102"/>
        <v>7738</v>
      </c>
      <c r="BZ315" s="564">
        <f t="shared" si="102"/>
        <v>4707904</v>
      </c>
      <c r="CA315" s="564">
        <f t="shared" si="102"/>
        <v>35549</v>
      </c>
      <c r="CB315" s="564">
        <f t="shared" si="102"/>
        <v>0</v>
      </c>
      <c r="CC315" s="564">
        <f t="shared" si="102"/>
        <v>0</v>
      </c>
      <c r="CD315" s="564">
        <f t="shared" si="102"/>
        <v>0</v>
      </c>
      <c r="CE315" s="564">
        <f t="shared" si="102"/>
        <v>0</v>
      </c>
      <c r="CF315" s="564">
        <f t="shared" si="102"/>
        <v>0</v>
      </c>
      <c r="CG315" s="564">
        <f t="shared" si="102"/>
        <v>0</v>
      </c>
      <c r="CH315" s="564">
        <f t="shared" si="102"/>
        <v>0</v>
      </c>
      <c r="CI315" s="564">
        <f t="shared" si="102"/>
        <v>0</v>
      </c>
      <c r="CJ315" s="564">
        <f t="shared" si="102"/>
        <v>0</v>
      </c>
      <c r="CK315" s="564">
        <f t="shared" si="102"/>
        <v>0</v>
      </c>
      <c r="CL315" s="564">
        <f t="shared" si="102"/>
        <v>0</v>
      </c>
      <c r="CM315" s="564">
        <f t="shared" si="102"/>
        <v>0</v>
      </c>
      <c r="CN315" s="564">
        <f t="shared" si="102"/>
        <v>0</v>
      </c>
      <c r="CO315" s="564">
        <f t="shared" si="102"/>
        <v>0</v>
      </c>
      <c r="CP315" s="564">
        <f t="shared" si="102"/>
        <v>0</v>
      </c>
      <c r="CQ315" s="564">
        <f t="shared" si="102"/>
        <v>0</v>
      </c>
      <c r="CR315" s="564">
        <f t="shared" si="102"/>
        <v>0</v>
      </c>
      <c r="CS315" s="564">
        <f t="shared" si="102"/>
        <v>0</v>
      </c>
      <c r="CT315" s="564">
        <f t="shared" si="102"/>
        <v>0</v>
      </c>
      <c r="CU315" s="564">
        <f t="shared" si="102"/>
        <v>0</v>
      </c>
      <c r="CV315" s="564">
        <f t="shared" si="102"/>
        <v>0</v>
      </c>
      <c r="CW315" s="564">
        <f t="shared" si="102"/>
        <v>0</v>
      </c>
      <c r="CX315" s="564">
        <f t="shared" si="102"/>
        <v>0</v>
      </c>
      <c r="CY315" s="564">
        <f t="shared" si="102"/>
        <v>0</v>
      </c>
      <c r="CZ315" s="564">
        <f t="shared" si="102"/>
        <v>0</v>
      </c>
    </row>
    <row r="316" spans="1:104" x14ac:dyDescent="0.3">
      <c r="A316" s="563">
        <v>338</v>
      </c>
      <c r="B316" s="180"/>
      <c r="C316" s="180">
        <v>60</v>
      </c>
      <c r="D316" s="569">
        <f t="shared" ref="D316:AI316" si="103">D60</f>
        <v>2280032</v>
      </c>
      <c r="E316" s="569">
        <f t="shared" si="103"/>
        <v>28283431</v>
      </c>
      <c r="F316" s="569">
        <f t="shared" si="103"/>
        <v>0</v>
      </c>
      <c r="G316" s="569">
        <f t="shared" si="103"/>
        <v>43325465</v>
      </c>
      <c r="H316" s="569">
        <f t="shared" si="103"/>
        <v>3047660</v>
      </c>
      <c r="I316" s="569">
        <f t="shared" si="103"/>
        <v>493391</v>
      </c>
      <c r="J316" s="569">
        <f t="shared" si="103"/>
        <v>579301</v>
      </c>
      <c r="K316" s="569">
        <f t="shared" si="103"/>
        <v>2897573</v>
      </c>
      <c r="L316" s="569">
        <f t="shared" si="103"/>
        <v>239772225</v>
      </c>
      <c r="M316" s="569">
        <f t="shared" si="103"/>
        <v>0</v>
      </c>
      <c r="N316" s="569">
        <f t="shared" si="103"/>
        <v>1198822</v>
      </c>
      <c r="O316" s="569">
        <f t="shared" si="103"/>
        <v>0</v>
      </c>
      <c r="P316" s="569">
        <f t="shared" si="103"/>
        <v>51640196</v>
      </c>
      <c r="Q316" s="569">
        <f t="shared" si="103"/>
        <v>30158114</v>
      </c>
      <c r="R316" s="569">
        <f t="shared" si="103"/>
        <v>6211314</v>
      </c>
      <c r="S316" s="569">
        <f t="shared" si="103"/>
        <v>21538319</v>
      </c>
      <c r="T316" s="569">
        <f t="shared" si="103"/>
        <v>116694</v>
      </c>
      <c r="U316" s="569">
        <f t="shared" si="103"/>
        <v>28342942</v>
      </c>
      <c r="V316" s="569">
        <f t="shared" si="103"/>
        <v>17433</v>
      </c>
      <c r="W316" s="569">
        <f t="shared" si="103"/>
        <v>13463099</v>
      </c>
      <c r="X316" s="569">
        <f t="shared" si="103"/>
        <v>31320062</v>
      </c>
      <c r="Y316" s="569">
        <f t="shared" si="103"/>
        <v>10207832</v>
      </c>
      <c r="Z316" s="569">
        <f t="shared" si="103"/>
        <v>783540</v>
      </c>
      <c r="AA316" s="569">
        <f t="shared" si="103"/>
        <v>24411646</v>
      </c>
      <c r="AB316" s="569">
        <f t="shared" si="103"/>
        <v>540102</v>
      </c>
      <c r="AC316" s="569">
        <f t="shared" si="103"/>
        <v>4905</v>
      </c>
      <c r="AD316" s="569">
        <f t="shared" si="103"/>
        <v>404363</v>
      </c>
      <c r="AE316" s="569">
        <f t="shared" si="103"/>
        <v>2405930</v>
      </c>
      <c r="AF316" s="569">
        <f t="shared" si="103"/>
        <v>253779</v>
      </c>
      <c r="AG316" s="569">
        <f t="shared" si="103"/>
        <v>1204</v>
      </c>
      <c r="AH316" s="569">
        <f t="shared" si="103"/>
        <v>11358</v>
      </c>
      <c r="AI316" s="569">
        <f t="shared" si="103"/>
        <v>1378198</v>
      </c>
      <c r="AJ316" s="569">
        <f t="shared" ref="AJ316:BO316" si="104">AJ60</f>
        <v>14866020</v>
      </c>
      <c r="AK316" s="569">
        <f t="shared" si="104"/>
        <v>83025</v>
      </c>
      <c r="AL316" s="569">
        <f t="shared" si="104"/>
        <v>13107</v>
      </c>
      <c r="AM316" s="569">
        <f t="shared" si="104"/>
        <v>30660290</v>
      </c>
      <c r="AN316" s="569">
        <f t="shared" si="104"/>
        <v>17537366</v>
      </c>
      <c r="AO316" s="569">
        <f t="shared" si="104"/>
        <v>0</v>
      </c>
      <c r="AP316" s="569">
        <f t="shared" si="104"/>
        <v>3454924</v>
      </c>
      <c r="AQ316" s="569">
        <f t="shared" si="104"/>
        <v>44400255</v>
      </c>
      <c r="AR316" s="569">
        <f t="shared" si="104"/>
        <v>0</v>
      </c>
      <c r="AS316" s="569">
        <f t="shared" si="104"/>
        <v>0</v>
      </c>
      <c r="AT316" s="569">
        <f t="shared" si="104"/>
        <v>0</v>
      </c>
      <c r="AU316" s="569">
        <f t="shared" si="104"/>
        <v>21764176</v>
      </c>
      <c r="AV316" s="569">
        <f t="shared" si="104"/>
        <v>84644</v>
      </c>
      <c r="AW316" s="569">
        <f t="shared" si="104"/>
        <v>0</v>
      </c>
      <c r="AX316" s="569">
        <f t="shared" si="104"/>
        <v>3823381</v>
      </c>
      <c r="AY316" s="569">
        <f t="shared" si="104"/>
        <v>3965853</v>
      </c>
      <c r="AZ316" s="569">
        <f t="shared" si="104"/>
        <v>0</v>
      </c>
      <c r="BA316" s="569">
        <f t="shared" si="104"/>
        <v>17847</v>
      </c>
      <c r="BB316" s="569">
        <f t="shared" si="104"/>
        <v>2504560</v>
      </c>
      <c r="BC316" s="569">
        <f t="shared" si="104"/>
        <v>0</v>
      </c>
      <c r="BD316" s="569">
        <f t="shared" si="104"/>
        <v>15060</v>
      </c>
      <c r="BE316" s="569">
        <f t="shared" si="104"/>
        <v>72638714</v>
      </c>
      <c r="BF316" s="569">
        <f t="shared" si="104"/>
        <v>0</v>
      </c>
      <c r="BG316" s="569">
        <f t="shared" si="104"/>
        <v>0</v>
      </c>
      <c r="BH316" s="569">
        <f t="shared" si="104"/>
        <v>10124261</v>
      </c>
      <c r="BI316" s="569">
        <f t="shared" si="104"/>
        <v>1761880</v>
      </c>
      <c r="BJ316" s="569">
        <f t="shared" si="104"/>
        <v>221445</v>
      </c>
      <c r="BK316" s="569">
        <f t="shared" si="104"/>
        <v>3381122</v>
      </c>
      <c r="BL316" s="569">
        <f t="shared" si="104"/>
        <v>4263548</v>
      </c>
      <c r="BM316" s="569">
        <f t="shared" si="104"/>
        <v>15750</v>
      </c>
      <c r="BN316" s="569">
        <f t="shared" si="104"/>
        <v>5907043</v>
      </c>
      <c r="BO316" s="569">
        <f t="shared" si="104"/>
        <v>1073763</v>
      </c>
      <c r="BP316" s="569">
        <f t="shared" ref="BP316:CZ316" si="105">BP60</f>
        <v>294980</v>
      </c>
      <c r="BQ316" s="569">
        <f t="shared" si="105"/>
        <v>2575934</v>
      </c>
      <c r="BR316" s="569">
        <f t="shared" si="105"/>
        <v>1498317</v>
      </c>
      <c r="BS316" s="569">
        <f t="shared" si="105"/>
        <v>17249500</v>
      </c>
      <c r="BT316" s="569">
        <f t="shared" si="105"/>
        <v>1871975</v>
      </c>
      <c r="BU316" s="569">
        <f t="shared" si="105"/>
        <v>7577548</v>
      </c>
      <c r="BV316" s="569">
        <f t="shared" si="105"/>
        <v>671473</v>
      </c>
      <c r="BW316" s="569">
        <f t="shared" si="105"/>
        <v>163119</v>
      </c>
      <c r="BX316" s="569">
        <f t="shared" si="105"/>
        <v>0</v>
      </c>
      <c r="BY316" s="569">
        <f t="shared" si="105"/>
        <v>7738</v>
      </c>
      <c r="BZ316" s="569">
        <f t="shared" si="105"/>
        <v>28622198</v>
      </c>
      <c r="CA316" s="569">
        <f t="shared" si="105"/>
        <v>61592</v>
      </c>
      <c r="CB316" s="569">
        <f t="shared" si="105"/>
        <v>0</v>
      </c>
      <c r="CC316" s="569">
        <f t="shared" si="105"/>
        <v>0</v>
      </c>
      <c r="CD316" s="569">
        <f t="shared" si="105"/>
        <v>0</v>
      </c>
      <c r="CE316" s="569">
        <f t="shared" si="105"/>
        <v>0</v>
      </c>
      <c r="CF316" s="569">
        <f t="shared" si="105"/>
        <v>0</v>
      </c>
      <c r="CG316" s="569">
        <f t="shared" si="105"/>
        <v>0</v>
      </c>
      <c r="CH316" s="569">
        <f t="shared" si="105"/>
        <v>0</v>
      </c>
      <c r="CI316" s="569">
        <f t="shared" si="105"/>
        <v>0</v>
      </c>
      <c r="CJ316" s="569">
        <f t="shared" si="105"/>
        <v>0</v>
      </c>
      <c r="CK316" s="569">
        <f t="shared" si="105"/>
        <v>0</v>
      </c>
      <c r="CL316" s="569">
        <f t="shared" si="105"/>
        <v>0</v>
      </c>
      <c r="CM316" s="569">
        <f t="shared" si="105"/>
        <v>0</v>
      </c>
      <c r="CN316" s="569">
        <f t="shared" si="105"/>
        <v>0</v>
      </c>
      <c r="CO316" s="569">
        <f t="shared" si="105"/>
        <v>0</v>
      </c>
      <c r="CP316" s="569">
        <f t="shared" si="105"/>
        <v>0</v>
      </c>
      <c r="CQ316" s="569">
        <f t="shared" si="105"/>
        <v>0</v>
      </c>
      <c r="CR316" s="569">
        <f t="shared" si="105"/>
        <v>0</v>
      </c>
      <c r="CS316" s="569">
        <f t="shared" si="105"/>
        <v>0</v>
      </c>
      <c r="CT316" s="569">
        <f t="shared" si="105"/>
        <v>0</v>
      </c>
      <c r="CU316" s="569">
        <f t="shared" si="105"/>
        <v>0</v>
      </c>
      <c r="CV316" s="569">
        <f t="shared" si="105"/>
        <v>0</v>
      </c>
      <c r="CW316" s="569">
        <f t="shared" si="105"/>
        <v>0</v>
      </c>
      <c r="CX316" s="569">
        <f t="shared" si="105"/>
        <v>0</v>
      </c>
      <c r="CY316" s="569">
        <f t="shared" si="105"/>
        <v>0</v>
      </c>
      <c r="CZ316" s="569">
        <f t="shared" si="105"/>
        <v>0</v>
      </c>
    </row>
    <row r="317" spans="1:104" s="180" customFormat="1" x14ac:dyDescent="0.3">
      <c r="A317" s="567">
        <v>620</v>
      </c>
      <c r="C317" s="180">
        <v>166</v>
      </c>
      <c r="D317" s="568">
        <f t="shared" ref="D317:AI317" si="106">D166</f>
        <v>2</v>
      </c>
      <c r="E317" s="568">
        <f t="shared" si="106"/>
        <v>2</v>
      </c>
      <c r="F317" s="568">
        <f t="shared" si="106"/>
        <v>0</v>
      </c>
      <c r="G317" s="568">
        <f t="shared" si="106"/>
        <v>2</v>
      </c>
      <c r="H317" s="568">
        <f t="shared" si="106"/>
        <v>2</v>
      </c>
      <c r="I317" s="568">
        <f t="shared" si="106"/>
        <v>2</v>
      </c>
      <c r="J317" s="568">
        <f t="shared" si="106"/>
        <v>0</v>
      </c>
      <c r="K317" s="568">
        <f t="shared" si="106"/>
        <v>2</v>
      </c>
      <c r="L317" s="568">
        <f t="shared" si="106"/>
        <v>2</v>
      </c>
      <c r="M317" s="568">
        <f t="shared" si="106"/>
        <v>0</v>
      </c>
      <c r="N317" s="568">
        <f t="shared" si="106"/>
        <v>2</v>
      </c>
      <c r="O317" s="568">
        <f t="shared" si="106"/>
        <v>0</v>
      </c>
      <c r="P317" s="568">
        <f t="shared" si="106"/>
        <v>2</v>
      </c>
      <c r="Q317" s="568">
        <f t="shared" si="106"/>
        <v>2</v>
      </c>
      <c r="R317" s="568">
        <f t="shared" si="106"/>
        <v>2</v>
      </c>
      <c r="S317" s="568">
        <f t="shared" si="106"/>
        <v>2</v>
      </c>
      <c r="T317" s="568">
        <f t="shared" si="106"/>
        <v>1</v>
      </c>
      <c r="U317" s="568">
        <f t="shared" si="106"/>
        <v>1</v>
      </c>
      <c r="V317" s="568">
        <f t="shared" si="106"/>
        <v>2</v>
      </c>
      <c r="W317" s="568">
        <f t="shared" si="106"/>
        <v>2</v>
      </c>
      <c r="X317" s="568">
        <f t="shared" si="106"/>
        <v>1</v>
      </c>
      <c r="Y317" s="568">
        <f t="shared" si="106"/>
        <v>1</v>
      </c>
      <c r="Z317" s="568">
        <f t="shared" si="106"/>
        <v>2</v>
      </c>
      <c r="AA317" s="568">
        <f t="shared" si="106"/>
        <v>2</v>
      </c>
      <c r="AB317" s="568">
        <f t="shared" si="106"/>
        <v>0</v>
      </c>
      <c r="AC317" s="568">
        <f t="shared" si="106"/>
        <v>2</v>
      </c>
      <c r="AD317" s="568">
        <f t="shared" si="106"/>
        <v>2</v>
      </c>
      <c r="AE317" s="568">
        <f t="shared" si="106"/>
        <v>2</v>
      </c>
      <c r="AF317" s="568">
        <f t="shared" si="106"/>
        <v>2</v>
      </c>
      <c r="AG317" s="568">
        <f t="shared" si="106"/>
        <v>0</v>
      </c>
      <c r="AH317" s="568">
        <f t="shared" si="106"/>
        <v>2</v>
      </c>
      <c r="AI317" s="568">
        <f t="shared" si="106"/>
        <v>2</v>
      </c>
      <c r="AJ317" s="568">
        <f t="shared" ref="AJ317:BO317" si="107">AJ166</f>
        <v>2</v>
      </c>
      <c r="AK317" s="568">
        <f t="shared" si="107"/>
        <v>1</v>
      </c>
      <c r="AL317" s="568">
        <f t="shared" si="107"/>
        <v>2</v>
      </c>
      <c r="AM317" s="568">
        <f t="shared" si="107"/>
        <v>2</v>
      </c>
      <c r="AN317" s="568">
        <f t="shared" si="107"/>
        <v>2</v>
      </c>
      <c r="AO317" s="568">
        <f t="shared" si="107"/>
        <v>0</v>
      </c>
      <c r="AP317" s="568">
        <f t="shared" si="107"/>
        <v>2</v>
      </c>
      <c r="AQ317" s="568">
        <f t="shared" si="107"/>
        <v>2</v>
      </c>
      <c r="AR317" s="568">
        <f t="shared" si="107"/>
        <v>0</v>
      </c>
      <c r="AS317" s="568">
        <f t="shared" si="107"/>
        <v>0</v>
      </c>
      <c r="AT317" s="568">
        <f t="shared" si="107"/>
        <v>0</v>
      </c>
      <c r="AU317" s="568">
        <f t="shared" si="107"/>
        <v>2</v>
      </c>
      <c r="AV317" s="568">
        <f t="shared" si="107"/>
        <v>2</v>
      </c>
      <c r="AW317" s="568">
        <f t="shared" si="107"/>
        <v>0</v>
      </c>
      <c r="AX317" s="568">
        <f t="shared" si="107"/>
        <v>2</v>
      </c>
      <c r="AY317" s="568">
        <f t="shared" si="107"/>
        <v>2</v>
      </c>
      <c r="AZ317" s="568">
        <f t="shared" si="107"/>
        <v>0</v>
      </c>
      <c r="BA317" s="568">
        <f t="shared" si="107"/>
        <v>1</v>
      </c>
      <c r="BB317" s="568">
        <f t="shared" si="107"/>
        <v>2</v>
      </c>
      <c r="BC317" s="568">
        <f t="shared" si="107"/>
        <v>0</v>
      </c>
      <c r="BD317" s="568">
        <f t="shared" si="107"/>
        <v>2</v>
      </c>
      <c r="BE317" s="568">
        <f t="shared" si="107"/>
        <v>2</v>
      </c>
      <c r="BF317" s="568">
        <f t="shared" si="107"/>
        <v>0</v>
      </c>
      <c r="BG317" s="568">
        <f t="shared" si="107"/>
        <v>0</v>
      </c>
      <c r="BH317" s="568">
        <f t="shared" si="107"/>
        <v>2</v>
      </c>
      <c r="BI317" s="568">
        <f t="shared" si="107"/>
        <v>2</v>
      </c>
      <c r="BJ317" s="568">
        <f t="shared" si="107"/>
        <v>2</v>
      </c>
      <c r="BK317" s="568">
        <f t="shared" si="107"/>
        <v>1</v>
      </c>
      <c r="BL317" s="568">
        <f t="shared" si="107"/>
        <v>2</v>
      </c>
      <c r="BM317" s="568">
        <f t="shared" si="107"/>
        <v>2</v>
      </c>
      <c r="BN317" s="568">
        <f t="shared" si="107"/>
        <v>1</v>
      </c>
      <c r="BO317" s="568">
        <f t="shared" si="107"/>
        <v>2</v>
      </c>
      <c r="BP317" s="568">
        <f t="shared" ref="BP317:CZ317" si="108">BP166</f>
        <v>1</v>
      </c>
      <c r="BQ317" s="568">
        <f t="shared" si="108"/>
        <v>2</v>
      </c>
      <c r="BR317" s="568">
        <f t="shared" si="108"/>
        <v>2</v>
      </c>
      <c r="BS317" s="568">
        <f t="shared" si="108"/>
        <v>2</v>
      </c>
      <c r="BT317" s="568">
        <f t="shared" si="108"/>
        <v>2</v>
      </c>
      <c r="BU317" s="568">
        <f t="shared" si="108"/>
        <v>2</v>
      </c>
      <c r="BV317" s="568">
        <f t="shared" si="108"/>
        <v>2</v>
      </c>
      <c r="BW317" s="568">
        <f t="shared" si="108"/>
        <v>2</v>
      </c>
      <c r="BX317" s="568">
        <f t="shared" si="108"/>
        <v>0</v>
      </c>
      <c r="BY317" s="568">
        <f t="shared" si="108"/>
        <v>2</v>
      </c>
      <c r="BZ317" s="568">
        <f t="shared" si="108"/>
        <v>1</v>
      </c>
      <c r="CA317" s="568">
        <f t="shared" si="108"/>
        <v>2</v>
      </c>
      <c r="CB317" s="568">
        <f t="shared" si="108"/>
        <v>0</v>
      </c>
      <c r="CC317" s="568">
        <f t="shared" si="108"/>
        <v>0</v>
      </c>
      <c r="CD317" s="568">
        <f t="shared" si="108"/>
        <v>0</v>
      </c>
      <c r="CE317" s="568">
        <f t="shared" si="108"/>
        <v>0</v>
      </c>
      <c r="CF317" s="568">
        <f t="shared" si="108"/>
        <v>0</v>
      </c>
      <c r="CG317" s="568">
        <f t="shared" si="108"/>
        <v>0</v>
      </c>
      <c r="CH317" s="568">
        <f t="shared" si="108"/>
        <v>0</v>
      </c>
      <c r="CI317" s="568">
        <f t="shared" si="108"/>
        <v>0</v>
      </c>
      <c r="CJ317" s="568">
        <f t="shared" si="108"/>
        <v>0</v>
      </c>
      <c r="CK317" s="568">
        <f t="shared" si="108"/>
        <v>0</v>
      </c>
      <c r="CL317" s="568">
        <f t="shared" si="108"/>
        <v>0</v>
      </c>
      <c r="CM317" s="568">
        <f t="shared" si="108"/>
        <v>0</v>
      </c>
      <c r="CN317" s="568">
        <f t="shared" si="108"/>
        <v>0</v>
      </c>
      <c r="CO317" s="568">
        <f t="shared" si="108"/>
        <v>0</v>
      </c>
      <c r="CP317" s="568">
        <f t="shared" si="108"/>
        <v>0</v>
      </c>
      <c r="CQ317" s="568">
        <f t="shared" si="108"/>
        <v>0</v>
      </c>
      <c r="CR317" s="568">
        <f t="shared" si="108"/>
        <v>0</v>
      </c>
      <c r="CS317" s="568">
        <f t="shared" si="108"/>
        <v>0</v>
      </c>
      <c r="CT317" s="568">
        <f t="shared" si="108"/>
        <v>0</v>
      </c>
      <c r="CU317" s="568">
        <f t="shared" si="108"/>
        <v>0</v>
      </c>
      <c r="CV317" s="568">
        <f t="shared" si="108"/>
        <v>0</v>
      </c>
      <c r="CW317" s="568">
        <f t="shared" si="108"/>
        <v>0</v>
      </c>
      <c r="CX317" s="568">
        <f t="shared" si="108"/>
        <v>0</v>
      </c>
      <c r="CY317" s="568">
        <f t="shared" si="108"/>
        <v>0</v>
      </c>
      <c r="CZ317" s="568">
        <f t="shared" si="108"/>
        <v>0</v>
      </c>
    </row>
    <row r="318" spans="1:104" s="180" customFormat="1" x14ac:dyDescent="0.3">
      <c r="A318" s="155">
        <v>545</v>
      </c>
      <c r="C318" s="180">
        <v>142</v>
      </c>
      <c r="D318" s="568">
        <f t="shared" ref="D318:AI318" si="109">D142</f>
        <v>0</v>
      </c>
      <c r="E318" s="568">
        <f t="shared" si="109"/>
        <v>0</v>
      </c>
      <c r="F318" s="568">
        <f t="shared" si="109"/>
        <v>0</v>
      </c>
      <c r="G318" s="568">
        <f t="shared" si="109"/>
        <v>0</v>
      </c>
      <c r="H318" s="568">
        <f t="shared" si="109"/>
        <v>0</v>
      </c>
      <c r="I318" s="568">
        <f t="shared" si="109"/>
        <v>0</v>
      </c>
      <c r="J318" s="568">
        <f t="shared" si="109"/>
        <v>0.01</v>
      </c>
      <c r="K318" s="568">
        <f t="shared" si="109"/>
        <v>0</v>
      </c>
      <c r="L318" s="568">
        <f t="shared" si="109"/>
        <v>0</v>
      </c>
      <c r="M318" s="568">
        <f t="shared" si="109"/>
        <v>0</v>
      </c>
      <c r="N318" s="568">
        <f t="shared" si="109"/>
        <v>0</v>
      </c>
      <c r="O318" s="568">
        <f t="shared" si="109"/>
        <v>0</v>
      </c>
      <c r="P318" s="568">
        <f t="shared" si="109"/>
        <v>0</v>
      </c>
      <c r="Q318" s="568">
        <f t="shared" si="109"/>
        <v>0</v>
      </c>
      <c r="R318" s="568">
        <f t="shared" si="109"/>
        <v>4.8000000000000001E-2</v>
      </c>
      <c r="S318" s="568">
        <f t="shared" si="109"/>
        <v>0</v>
      </c>
      <c r="T318" s="568">
        <f t="shared" si="109"/>
        <v>0</v>
      </c>
      <c r="U318" s="568">
        <f t="shared" si="109"/>
        <v>0</v>
      </c>
      <c r="V318" s="568">
        <f t="shared" si="109"/>
        <v>0</v>
      </c>
      <c r="W318" s="568">
        <f t="shared" si="109"/>
        <v>0</v>
      </c>
      <c r="X318" s="568">
        <f t="shared" si="109"/>
        <v>0.03</v>
      </c>
      <c r="Y318" s="568">
        <f t="shared" si="109"/>
        <v>0</v>
      </c>
      <c r="Z318" s="568">
        <f t="shared" si="109"/>
        <v>0</v>
      </c>
      <c r="AA318" s="568">
        <f t="shared" si="109"/>
        <v>0</v>
      </c>
      <c r="AB318" s="568">
        <f t="shared" si="109"/>
        <v>0</v>
      </c>
      <c r="AC318" s="568">
        <f t="shared" si="109"/>
        <v>0</v>
      </c>
      <c r="AD318" s="568">
        <f t="shared" si="109"/>
        <v>0</v>
      </c>
      <c r="AE318" s="568">
        <f t="shared" si="109"/>
        <v>0</v>
      </c>
      <c r="AF318" s="568">
        <f t="shared" si="109"/>
        <v>0.05</v>
      </c>
      <c r="AG318" s="568">
        <f t="shared" si="109"/>
        <v>0</v>
      </c>
      <c r="AH318" s="568">
        <f t="shared" si="109"/>
        <v>0</v>
      </c>
      <c r="AI318" s="568">
        <f t="shared" si="109"/>
        <v>0</v>
      </c>
      <c r="AJ318" s="568">
        <f t="shared" ref="AJ318:BO318" si="110">AJ142</f>
        <v>0</v>
      </c>
      <c r="AK318" s="568">
        <f t="shared" si="110"/>
        <v>0</v>
      </c>
      <c r="AL318" s="568">
        <f t="shared" si="110"/>
        <v>0</v>
      </c>
      <c r="AM318" s="568">
        <f t="shared" si="110"/>
        <v>0</v>
      </c>
      <c r="AN318" s="568">
        <f t="shared" si="110"/>
        <v>0</v>
      </c>
      <c r="AO318" s="568">
        <f t="shared" si="110"/>
        <v>0</v>
      </c>
      <c r="AP318" s="568">
        <f t="shared" si="110"/>
        <v>0</v>
      </c>
      <c r="AQ318" s="568">
        <f t="shared" si="110"/>
        <v>0</v>
      </c>
      <c r="AR318" s="568">
        <f t="shared" si="110"/>
        <v>0</v>
      </c>
      <c r="AS318" s="568">
        <f t="shared" si="110"/>
        <v>0</v>
      </c>
      <c r="AT318" s="568">
        <f t="shared" si="110"/>
        <v>0</v>
      </c>
      <c r="AU318" s="568">
        <f t="shared" si="110"/>
        <v>0</v>
      </c>
      <c r="AV318" s="568">
        <f t="shared" si="110"/>
        <v>0</v>
      </c>
      <c r="AW318" s="568">
        <f t="shared" si="110"/>
        <v>0</v>
      </c>
      <c r="AX318" s="568">
        <f t="shared" si="110"/>
        <v>0</v>
      </c>
      <c r="AY318" s="568">
        <f t="shared" si="110"/>
        <v>0</v>
      </c>
      <c r="AZ318" s="568">
        <f t="shared" si="110"/>
        <v>0</v>
      </c>
      <c r="BA318" s="568">
        <f t="shared" si="110"/>
        <v>0</v>
      </c>
      <c r="BB318" s="568">
        <f t="shared" si="110"/>
        <v>0</v>
      </c>
      <c r="BC318" s="568">
        <f t="shared" si="110"/>
        <v>0</v>
      </c>
      <c r="BD318" s="568">
        <f t="shared" si="110"/>
        <v>0</v>
      </c>
      <c r="BE318" s="568">
        <f t="shared" si="110"/>
        <v>0</v>
      </c>
      <c r="BF318" s="568">
        <f t="shared" si="110"/>
        <v>0</v>
      </c>
      <c r="BG318" s="568">
        <f t="shared" si="110"/>
        <v>0</v>
      </c>
      <c r="BH318" s="568">
        <f t="shared" si="110"/>
        <v>0</v>
      </c>
      <c r="BI318" s="568">
        <f t="shared" si="110"/>
        <v>0</v>
      </c>
      <c r="BJ318" s="568">
        <f t="shared" si="110"/>
        <v>0</v>
      </c>
      <c r="BK318" s="568">
        <f t="shared" si="110"/>
        <v>0</v>
      </c>
      <c r="BL318" s="568">
        <f t="shared" si="110"/>
        <v>0</v>
      </c>
      <c r="BM318" s="568">
        <f t="shared" si="110"/>
        <v>0</v>
      </c>
      <c r="BN318" s="568">
        <f t="shared" si="110"/>
        <v>0.04</v>
      </c>
      <c r="BO318" s="568">
        <f t="shared" si="110"/>
        <v>0</v>
      </c>
      <c r="BP318" s="568">
        <f t="shared" ref="BP318:CZ318" si="111">BP142</f>
        <v>0</v>
      </c>
      <c r="BQ318" s="568">
        <f t="shared" si="111"/>
        <v>0</v>
      </c>
      <c r="BR318" s="568">
        <f t="shared" si="111"/>
        <v>0</v>
      </c>
      <c r="BS318" s="568">
        <f t="shared" si="111"/>
        <v>0</v>
      </c>
      <c r="BT318" s="568">
        <f t="shared" si="111"/>
        <v>0</v>
      </c>
      <c r="BU318" s="568">
        <f t="shared" si="111"/>
        <v>0</v>
      </c>
      <c r="BV318" s="568">
        <f t="shared" si="111"/>
        <v>0</v>
      </c>
      <c r="BW318" s="568">
        <f t="shared" si="111"/>
        <v>0</v>
      </c>
      <c r="BX318" s="568">
        <f t="shared" si="111"/>
        <v>0</v>
      </c>
      <c r="BY318" s="568">
        <f t="shared" si="111"/>
        <v>0</v>
      </c>
      <c r="BZ318" s="568">
        <f t="shared" si="111"/>
        <v>0</v>
      </c>
      <c r="CA318" s="568">
        <f t="shared" si="111"/>
        <v>0</v>
      </c>
      <c r="CB318" s="568">
        <f t="shared" si="111"/>
        <v>0</v>
      </c>
      <c r="CC318" s="568">
        <f t="shared" si="111"/>
        <v>0</v>
      </c>
      <c r="CD318" s="568">
        <f t="shared" si="111"/>
        <v>0</v>
      </c>
      <c r="CE318" s="568">
        <f t="shared" si="111"/>
        <v>0</v>
      </c>
      <c r="CF318" s="568">
        <f t="shared" si="111"/>
        <v>0</v>
      </c>
      <c r="CG318" s="568">
        <f t="shared" si="111"/>
        <v>0</v>
      </c>
      <c r="CH318" s="568">
        <f t="shared" si="111"/>
        <v>0</v>
      </c>
      <c r="CI318" s="568">
        <f t="shared" si="111"/>
        <v>0</v>
      </c>
      <c r="CJ318" s="568">
        <f t="shared" si="111"/>
        <v>0</v>
      </c>
      <c r="CK318" s="568">
        <f t="shared" si="111"/>
        <v>0</v>
      </c>
      <c r="CL318" s="568">
        <f t="shared" si="111"/>
        <v>0</v>
      </c>
      <c r="CM318" s="568">
        <f t="shared" si="111"/>
        <v>0</v>
      </c>
      <c r="CN318" s="568">
        <f t="shared" si="111"/>
        <v>0</v>
      </c>
      <c r="CO318" s="568">
        <f t="shared" si="111"/>
        <v>0</v>
      </c>
      <c r="CP318" s="568">
        <f t="shared" si="111"/>
        <v>0</v>
      </c>
      <c r="CQ318" s="568">
        <f t="shared" si="111"/>
        <v>0</v>
      </c>
      <c r="CR318" s="568">
        <f t="shared" si="111"/>
        <v>0</v>
      </c>
      <c r="CS318" s="568">
        <f t="shared" si="111"/>
        <v>0</v>
      </c>
      <c r="CT318" s="568">
        <f t="shared" si="111"/>
        <v>0</v>
      </c>
      <c r="CU318" s="568">
        <f t="shared" si="111"/>
        <v>0</v>
      </c>
      <c r="CV318" s="568">
        <f t="shared" si="111"/>
        <v>0</v>
      </c>
      <c r="CW318" s="568">
        <f t="shared" si="111"/>
        <v>0</v>
      </c>
      <c r="CX318" s="568">
        <f t="shared" si="111"/>
        <v>0</v>
      </c>
      <c r="CY318" s="568">
        <f t="shared" si="111"/>
        <v>0</v>
      </c>
      <c r="CZ318" s="568">
        <f t="shared" si="111"/>
        <v>0</v>
      </c>
    </row>
    <row r="319" spans="1:104" s="180" customFormat="1" x14ac:dyDescent="0.3">
      <c r="A319" s="567">
        <v>624</v>
      </c>
      <c r="C319" s="180">
        <v>169</v>
      </c>
      <c r="D319" s="568">
        <f t="shared" ref="D319:AI319" si="112">D169</f>
        <v>2</v>
      </c>
      <c r="E319" s="568">
        <f t="shared" si="112"/>
        <v>2</v>
      </c>
      <c r="F319" s="568">
        <f t="shared" si="112"/>
        <v>0</v>
      </c>
      <c r="G319" s="568">
        <f t="shared" si="112"/>
        <v>1</v>
      </c>
      <c r="H319" s="568">
        <f t="shared" si="112"/>
        <v>1</v>
      </c>
      <c r="I319" s="568">
        <f t="shared" si="112"/>
        <v>1</v>
      </c>
      <c r="J319" s="568">
        <f t="shared" si="112"/>
        <v>2</v>
      </c>
      <c r="K319" s="568">
        <f t="shared" si="112"/>
        <v>2</v>
      </c>
      <c r="L319" s="568">
        <f t="shared" si="112"/>
        <v>1</v>
      </c>
      <c r="M319" s="568">
        <f t="shared" si="112"/>
        <v>0</v>
      </c>
      <c r="N319" s="568">
        <f t="shared" si="112"/>
        <v>1</v>
      </c>
      <c r="O319" s="568">
        <f t="shared" si="112"/>
        <v>0</v>
      </c>
      <c r="P319" s="568">
        <f t="shared" si="112"/>
        <v>1</v>
      </c>
      <c r="Q319" s="568">
        <f t="shared" si="112"/>
        <v>1</v>
      </c>
      <c r="R319" s="568">
        <f t="shared" si="112"/>
        <v>1</v>
      </c>
      <c r="S319" s="568">
        <f t="shared" si="112"/>
        <v>1</v>
      </c>
      <c r="T319" s="568">
        <f t="shared" si="112"/>
        <v>1</v>
      </c>
      <c r="U319" s="568">
        <f t="shared" si="112"/>
        <v>1</v>
      </c>
      <c r="V319" s="568">
        <f t="shared" si="112"/>
        <v>1</v>
      </c>
      <c r="W319" s="568">
        <f t="shared" si="112"/>
        <v>1</v>
      </c>
      <c r="X319" s="568">
        <f t="shared" si="112"/>
        <v>1</v>
      </c>
      <c r="Y319" s="568">
        <f t="shared" si="112"/>
        <v>1</v>
      </c>
      <c r="Z319" s="568">
        <f t="shared" si="112"/>
        <v>1</v>
      </c>
      <c r="AA319" s="568">
        <f t="shared" si="112"/>
        <v>2</v>
      </c>
      <c r="AB319" s="568">
        <f t="shared" si="112"/>
        <v>1</v>
      </c>
      <c r="AC319" s="568">
        <f t="shared" si="112"/>
        <v>1</v>
      </c>
      <c r="AD319" s="568">
        <f t="shared" si="112"/>
        <v>1</v>
      </c>
      <c r="AE319" s="568">
        <f t="shared" si="112"/>
        <v>1</v>
      </c>
      <c r="AF319" s="568">
        <f t="shared" si="112"/>
        <v>1</v>
      </c>
      <c r="AG319" s="568">
        <f t="shared" si="112"/>
        <v>0</v>
      </c>
      <c r="AH319" s="568">
        <f t="shared" si="112"/>
        <v>1</v>
      </c>
      <c r="AI319" s="568">
        <f t="shared" si="112"/>
        <v>1</v>
      </c>
      <c r="AJ319" s="568">
        <f t="shared" ref="AJ319:BO319" si="113">AJ169</f>
        <v>2</v>
      </c>
      <c r="AK319" s="568">
        <f t="shared" si="113"/>
        <v>1</v>
      </c>
      <c r="AL319" s="568">
        <f t="shared" si="113"/>
        <v>1</v>
      </c>
      <c r="AM319" s="568">
        <f t="shared" si="113"/>
        <v>1</v>
      </c>
      <c r="AN319" s="568">
        <f t="shared" si="113"/>
        <v>2</v>
      </c>
      <c r="AO319" s="568">
        <f t="shared" si="113"/>
        <v>0</v>
      </c>
      <c r="AP319" s="568">
        <f t="shared" si="113"/>
        <v>1</v>
      </c>
      <c r="AQ319" s="568">
        <f t="shared" si="113"/>
        <v>1</v>
      </c>
      <c r="AR319" s="568">
        <f t="shared" si="113"/>
        <v>0</v>
      </c>
      <c r="AS319" s="568">
        <f t="shared" si="113"/>
        <v>0</v>
      </c>
      <c r="AT319" s="568">
        <f t="shared" si="113"/>
        <v>0</v>
      </c>
      <c r="AU319" s="568">
        <f t="shared" si="113"/>
        <v>1</v>
      </c>
      <c r="AV319" s="568">
        <f t="shared" si="113"/>
        <v>1</v>
      </c>
      <c r="AW319" s="568">
        <f t="shared" si="113"/>
        <v>0</v>
      </c>
      <c r="AX319" s="568">
        <f t="shared" si="113"/>
        <v>1</v>
      </c>
      <c r="AY319" s="568">
        <f t="shared" si="113"/>
        <v>1</v>
      </c>
      <c r="AZ319" s="568">
        <f t="shared" si="113"/>
        <v>0</v>
      </c>
      <c r="BA319" s="568">
        <f t="shared" si="113"/>
        <v>2</v>
      </c>
      <c r="BB319" s="568">
        <f t="shared" si="113"/>
        <v>1</v>
      </c>
      <c r="BC319" s="568">
        <f t="shared" si="113"/>
        <v>0</v>
      </c>
      <c r="BD319" s="568">
        <f t="shared" si="113"/>
        <v>1</v>
      </c>
      <c r="BE319" s="568">
        <f t="shared" si="113"/>
        <v>1</v>
      </c>
      <c r="BF319" s="568">
        <f t="shared" si="113"/>
        <v>0</v>
      </c>
      <c r="BG319" s="568">
        <f t="shared" si="113"/>
        <v>0</v>
      </c>
      <c r="BH319" s="568">
        <f t="shared" si="113"/>
        <v>2</v>
      </c>
      <c r="BI319" s="568">
        <f t="shared" si="113"/>
        <v>2</v>
      </c>
      <c r="BJ319" s="568">
        <f t="shared" si="113"/>
        <v>1</v>
      </c>
      <c r="BK319" s="568">
        <f t="shared" si="113"/>
        <v>1</v>
      </c>
      <c r="BL319" s="568">
        <f t="shared" si="113"/>
        <v>2</v>
      </c>
      <c r="BM319" s="568">
        <f t="shared" si="113"/>
        <v>2</v>
      </c>
      <c r="BN319" s="568">
        <f t="shared" si="113"/>
        <v>2</v>
      </c>
      <c r="BO319" s="568">
        <f t="shared" si="113"/>
        <v>2</v>
      </c>
      <c r="BP319" s="568">
        <f t="shared" ref="BP319:CZ319" si="114">BP169</f>
        <v>2</v>
      </c>
      <c r="BQ319" s="568">
        <f t="shared" si="114"/>
        <v>1</v>
      </c>
      <c r="BR319" s="568">
        <f t="shared" si="114"/>
        <v>1</v>
      </c>
      <c r="BS319" s="568">
        <f t="shared" si="114"/>
        <v>2</v>
      </c>
      <c r="BT319" s="568">
        <f t="shared" si="114"/>
        <v>2</v>
      </c>
      <c r="BU319" s="568">
        <f t="shared" si="114"/>
        <v>1</v>
      </c>
      <c r="BV319" s="568">
        <f t="shared" si="114"/>
        <v>1</v>
      </c>
      <c r="BW319" s="568">
        <f t="shared" si="114"/>
        <v>1</v>
      </c>
      <c r="BX319" s="568">
        <f t="shared" si="114"/>
        <v>0</v>
      </c>
      <c r="BY319" s="568">
        <f t="shared" si="114"/>
        <v>0</v>
      </c>
      <c r="BZ319" s="568">
        <f t="shared" si="114"/>
        <v>1</v>
      </c>
      <c r="CA319" s="568">
        <f t="shared" si="114"/>
        <v>1</v>
      </c>
      <c r="CB319" s="568">
        <f t="shared" si="114"/>
        <v>0</v>
      </c>
      <c r="CC319" s="568">
        <f t="shared" si="114"/>
        <v>0</v>
      </c>
      <c r="CD319" s="568">
        <f t="shared" si="114"/>
        <v>0</v>
      </c>
      <c r="CE319" s="568">
        <f t="shared" si="114"/>
        <v>0</v>
      </c>
      <c r="CF319" s="568">
        <f t="shared" si="114"/>
        <v>0</v>
      </c>
      <c r="CG319" s="568">
        <f t="shared" si="114"/>
        <v>0</v>
      </c>
      <c r="CH319" s="568">
        <f t="shared" si="114"/>
        <v>0</v>
      </c>
      <c r="CI319" s="568">
        <f t="shared" si="114"/>
        <v>0</v>
      </c>
      <c r="CJ319" s="568">
        <f t="shared" si="114"/>
        <v>0</v>
      </c>
      <c r="CK319" s="568">
        <f t="shared" si="114"/>
        <v>0</v>
      </c>
      <c r="CL319" s="568">
        <f t="shared" si="114"/>
        <v>0</v>
      </c>
      <c r="CM319" s="568">
        <f t="shared" si="114"/>
        <v>0</v>
      </c>
      <c r="CN319" s="568">
        <f t="shared" si="114"/>
        <v>0</v>
      </c>
      <c r="CO319" s="568">
        <f t="shared" si="114"/>
        <v>0</v>
      </c>
      <c r="CP319" s="568">
        <f t="shared" si="114"/>
        <v>0</v>
      </c>
      <c r="CQ319" s="568">
        <f t="shared" si="114"/>
        <v>0</v>
      </c>
      <c r="CR319" s="568">
        <f t="shared" si="114"/>
        <v>0</v>
      </c>
      <c r="CS319" s="568">
        <f t="shared" si="114"/>
        <v>0</v>
      </c>
      <c r="CT319" s="568">
        <f t="shared" si="114"/>
        <v>0</v>
      </c>
      <c r="CU319" s="568">
        <f t="shared" si="114"/>
        <v>0</v>
      </c>
      <c r="CV319" s="568">
        <f t="shared" si="114"/>
        <v>0</v>
      </c>
      <c r="CW319" s="568">
        <f t="shared" si="114"/>
        <v>0</v>
      </c>
      <c r="CX319" s="568">
        <f t="shared" si="114"/>
        <v>0</v>
      </c>
      <c r="CY319" s="568">
        <f t="shared" si="114"/>
        <v>0</v>
      </c>
      <c r="CZ319" s="568">
        <f t="shared" si="114"/>
        <v>0</v>
      </c>
    </row>
    <row r="320" spans="1:104" s="180" customFormat="1" x14ac:dyDescent="0.3">
      <c r="A320" s="567">
        <v>577</v>
      </c>
      <c r="C320" s="180">
        <v>150</v>
      </c>
      <c r="D320" s="568">
        <f t="shared" ref="D320:AI320" si="115">D150</f>
        <v>2</v>
      </c>
      <c r="E320" s="568">
        <f t="shared" si="115"/>
        <v>2</v>
      </c>
      <c r="F320" s="568">
        <f t="shared" si="115"/>
        <v>0</v>
      </c>
      <c r="G320" s="568">
        <f t="shared" si="115"/>
        <v>2</v>
      </c>
      <c r="H320" s="568">
        <f t="shared" si="115"/>
        <v>2</v>
      </c>
      <c r="I320" s="568">
        <f t="shared" si="115"/>
        <v>2</v>
      </c>
      <c r="J320" s="568">
        <f t="shared" si="115"/>
        <v>2</v>
      </c>
      <c r="K320" s="568">
        <f t="shared" si="115"/>
        <v>2</v>
      </c>
      <c r="L320" s="568">
        <f t="shared" si="115"/>
        <v>2</v>
      </c>
      <c r="M320" s="568">
        <f t="shared" si="115"/>
        <v>0</v>
      </c>
      <c r="N320" s="568">
        <f t="shared" si="115"/>
        <v>2</v>
      </c>
      <c r="O320" s="568">
        <f t="shared" si="115"/>
        <v>0</v>
      </c>
      <c r="P320" s="568">
        <f t="shared" si="115"/>
        <v>2</v>
      </c>
      <c r="Q320" s="568">
        <f t="shared" si="115"/>
        <v>2</v>
      </c>
      <c r="R320" s="568">
        <f t="shared" si="115"/>
        <v>2</v>
      </c>
      <c r="S320" s="568">
        <f t="shared" si="115"/>
        <v>2</v>
      </c>
      <c r="T320" s="568">
        <f t="shared" si="115"/>
        <v>0</v>
      </c>
      <c r="U320" s="568">
        <f t="shared" si="115"/>
        <v>2</v>
      </c>
      <c r="V320" s="568">
        <f t="shared" si="115"/>
        <v>2</v>
      </c>
      <c r="W320" s="568">
        <f t="shared" si="115"/>
        <v>0</v>
      </c>
      <c r="X320" s="568">
        <f t="shared" si="115"/>
        <v>2</v>
      </c>
      <c r="Y320" s="568">
        <f t="shared" si="115"/>
        <v>2</v>
      </c>
      <c r="Z320" s="568">
        <f t="shared" si="115"/>
        <v>2</v>
      </c>
      <c r="AA320" s="568">
        <f t="shared" si="115"/>
        <v>2</v>
      </c>
      <c r="AB320" s="568">
        <f t="shared" si="115"/>
        <v>0</v>
      </c>
      <c r="AC320" s="568">
        <f t="shared" si="115"/>
        <v>0</v>
      </c>
      <c r="AD320" s="568">
        <f t="shared" si="115"/>
        <v>2</v>
      </c>
      <c r="AE320" s="568">
        <f t="shared" si="115"/>
        <v>2</v>
      </c>
      <c r="AF320" s="568">
        <f t="shared" si="115"/>
        <v>2</v>
      </c>
      <c r="AG320" s="568">
        <f t="shared" si="115"/>
        <v>0</v>
      </c>
      <c r="AH320" s="568">
        <f t="shared" si="115"/>
        <v>2</v>
      </c>
      <c r="AI320" s="568">
        <f t="shared" si="115"/>
        <v>2</v>
      </c>
      <c r="AJ320" s="568">
        <f t="shared" ref="AJ320:BO320" si="116">AJ150</f>
        <v>2</v>
      </c>
      <c r="AK320" s="568">
        <f t="shared" si="116"/>
        <v>2</v>
      </c>
      <c r="AL320" s="568">
        <f t="shared" si="116"/>
        <v>0</v>
      </c>
      <c r="AM320" s="568">
        <f t="shared" si="116"/>
        <v>2</v>
      </c>
      <c r="AN320" s="568">
        <f t="shared" si="116"/>
        <v>2</v>
      </c>
      <c r="AO320" s="568">
        <f t="shared" si="116"/>
        <v>0</v>
      </c>
      <c r="AP320" s="568">
        <f t="shared" si="116"/>
        <v>2</v>
      </c>
      <c r="AQ320" s="568">
        <f t="shared" si="116"/>
        <v>2</v>
      </c>
      <c r="AR320" s="568">
        <f t="shared" si="116"/>
        <v>0</v>
      </c>
      <c r="AS320" s="568">
        <f t="shared" si="116"/>
        <v>0</v>
      </c>
      <c r="AT320" s="568">
        <f t="shared" si="116"/>
        <v>0</v>
      </c>
      <c r="AU320" s="568">
        <f t="shared" si="116"/>
        <v>2</v>
      </c>
      <c r="AV320" s="568">
        <f t="shared" si="116"/>
        <v>2</v>
      </c>
      <c r="AW320" s="568">
        <f t="shared" si="116"/>
        <v>0</v>
      </c>
      <c r="AX320" s="568">
        <f t="shared" si="116"/>
        <v>2</v>
      </c>
      <c r="AY320" s="568">
        <f t="shared" si="116"/>
        <v>2</v>
      </c>
      <c r="AZ320" s="568">
        <f t="shared" si="116"/>
        <v>0</v>
      </c>
      <c r="BA320" s="568">
        <f t="shared" si="116"/>
        <v>0</v>
      </c>
      <c r="BB320" s="568">
        <f t="shared" si="116"/>
        <v>2</v>
      </c>
      <c r="BC320" s="568">
        <f t="shared" si="116"/>
        <v>0</v>
      </c>
      <c r="BD320" s="568">
        <f t="shared" si="116"/>
        <v>2</v>
      </c>
      <c r="BE320" s="568">
        <f t="shared" si="116"/>
        <v>2</v>
      </c>
      <c r="BF320" s="568">
        <f t="shared" si="116"/>
        <v>0</v>
      </c>
      <c r="BG320" s="568">
        <f t="shared" si="116"/>
        <v>0</v>
      </c>
      <c r="BH320" s="568">
        <f t="shared" si="116"/>
        <v>2</v>
      </c>
      <c r="BI320" s="568">
        <f t="shared" si="116"/>
        <v>2</v>
      </c>
      <c r="BJ320" s="568">
        <f t="shared" si="116"/>
        <v>2</v>
      </c>
      <c r="BK320" s="568">
        <f t="shared" si="116"/>
        <v>2</v>
      </c>
      <c r="BL320" s="568">
        <f t="shared" si="116"/>
        <v>0</v>
      </c>
      <c r="BM320" s="568">
        <f t="shared" si="116"/>
        <v>2</v>
      </c>
      <c r="BN320" s="568">
        <f t="shared" si="116"/>
        <v>2</v>
      </c>
      <c r="BO320" s="568">
        <f t="shared" si="116"/>
        <v>2</v>
      </c>
      <c r="BP320" s="568">
        <f t="shared" ref="BP320:CZ320" si="117">BP150</f>
        <v>2</v>
      </c>
      <c r="BQ320" s="568">
        <f t="shared" si="117"/>
        <v>2</v>
      </c>
      <c r="BR320" s="568">
        <f t="shared" si="117"/>
        <v>2</v>
      </c>
      <c r="BS320" s="568">
        <f t="shared" si="117"/>
        <v>2</v>
      </c>
      <c r="BT320" s="568">
        <f t="shared" si="117"/>
        <v>2</v>
      </c>
      <c r="BU320" s="568">
        <f t="shared" si="117"/>
        <v>0</v>
      </c>
      <c r="BV320" s="568">
        <f t="shared" si="117"/>
        <v>2</v>
      </c>
      <c r="BW320" s="568">
        <f t="shared" si="117"/>
        <v>0</v>
      </c>
      <c r="BX320" s="568">
        <f t="shared" si="117"/>
        <v>0</v>
      </c>
      <c r="BY320" s="568">
        <f t="shared" si="117"/>
        <v>2</v>
      </c>
      <c r="BZ320" s="568">
        <f t="shared" si="117"/>
        <v>2</v>
      </c>
      <c r="CA320" s="568">
        <f t="shared" si="117"/>
        <v>2</v>
      </c>
      <c r="CB320" s="568">
        <f t="shared" si="117"/>
        <v>0</v>
      </c>
      <c r="CC320" s="568">
        <f t="shared" si="117"/>
        <v>0</v>
      </c>
      <c r="CD320" s="568">
        <f t="shared" si="117"/>
        <v>0</v>
      </c>
      <c r="CE320" s="568">
        <f t="shared" si="117"/>
        <v>0</v>
      </c>
      <c r="CF320" s="568">
        <f t="shared" si="117"/>
        <v>0</v>
      </c>
      <c r="CG320" s="568">
        <f t="shared" si="117"/>
        <v>0</v>
      </c>
      <c r="CH320" s="568">
        <f t="shared" si="117"/>
        <v>0</v>
      </c>
      <c r="CI320" s="568">
        <f t="shared" si="117"/>
        <v>0</v>
      </c>
      <c r="CJ320" s="568">
        <f t="shared" si="117"/>
        <v>0</v>
      </c>
      <c r="CK320" s="568">
        <f t="shared" si="117"/>
        <v>0</v>
      </c>
      <c r="CL320" s="568">
        <f t="shared" si="117"/>
        <v>0</v>
      </c>
      <c r="CM320" s="568">
        <f t="shared" si="117"/>
        <v>0</v>
      </c>
      <c r="CN320" s="568">
        <f t="shared" si="117"/>
        <v>0</v>
      </c>
      <c r="CO320" s="568">
        <f t="shared" si="117"/>
        <v>0</v>
      </c>
      <c r="CP320" s="568">
        <f t="shared" si="117"/>
        <v>0</v>
      </c>
      <c r="CQ320" s="568">
        <f t="shared" si="117"/>
        <v>0</v>
      </c>
      <c r="CR320" s="568">
        <f t="shared" si="117"/>
        <v>0</v>
      </c>
      <c r="CS320" s="568">
        <f t="shared" si="117"/>
        <v>0</v>
      </c>
      <c r="CT320" s="568">
        <f t="shared" si="117"/>
        <v>0</v>
      </c>
      <c r="CU320" s="568">
        <f t="shared" si="117"/>
        <v>0</v>
      </c>
      <c r="CV320" s="568">
        <f t="shared" si="117"/>
        <v>0</v>
      </c>
      <c r="CW320" s="568">
        <f t="shared" si="117"/>
        <v>0</v>
      </c>
      <c r="CX320" s="568">
        <f t="shared" si="117"/>
        <v>0</v>
      </c>
      <c r="CY320" s="568">
        <f t="shared" si="117"/>
        <v>0</v>
      </c>
      <c r="CZ320" s="568">
        <f t="shared" si="117"/>
        <v>0</v>
      </c>
    </row>
    <row r="321" spans="1:104" s="180" customFormat="1" x14ac:dyDescent="0.3">
      <c r="A321" s="567">
        <v>991</v>
      </c>
      <c r="C321" s="180">
        <v>235</v>
      </c>
      <c r="D321" s="568">
        <f t="shared" ref="D321:AI321" si="118">D235</f>
        <v>23</v>
      </c>
      <c r="E321" s="568">
        <f t="shared" si="118"/>
        <v>23</v>
      </c>
      <c r="F321" s="568">
        <f t="shared" si="118"/>
        <v>0</v>
      </c>
      <c r="G321" s="568">
        <f t="shared" si="118"/>
        <v>23</v>
      </c>
      <c r="H321" s="568">
        <f t="shared" si="118"/>
        <v>23</v>
      </c>
      <c r="I321" s="568">
        <f t="shared" si="118"/>
        <v>22</v>
      </c>
      <c r="J321" s="568">
        <f t="shared" si="118"/>
        <v>22</v>
      </c>
      <c r="K321" s="568">
        <f t="shared" si="118"/>
        <v>22</v>
      </c>
      <c r="L321" s="568">
        <f t="shared" si="118"/>
        <v>23</v>
      </c>
      <c r="M321" s="568">
        <f t="shared" si="118"/>
        <v>0</v>
      </c>
      <c r="N321" s="568">
        <f t="shared" si="118"/>
        <v>23</v>
      </c>
      <c r="O321" s="568">
        <f t="shared" si="118"/>
        <v>0</v>
      </c>
      <c r="P321" s="568">
        <f t="shared" si="118"/>
        <v>22</v>
      </c>
      <c r="Q321" s="568">
        <f t="shared" si="118"/>
        <v>23</v>
      </c>
      <c r="R321" s="568">
        <f t="shared" si="118"/>
        <v>23</v>
      </c>
      <c r="S321" s="568">
        <f t="shared" si="118"/>
        <v>23</v>
      </c>
      <c r="T321" s="568">
        <f t="shared" si="118"/>
        <v>23</v>
      </c>
      <c r="U321" s="568">
        <f t="shared" si="118"/>
        <v>23</v>
      </c>
      <c r="V321" s="568">
        <f t="shared" si="118"/>
        <v>23</v>
      </c>
      <c r="W321" s="568">
        <f t="shared" si="118"/>
        <v>0</v>
      </c>
      <c r="X321" s="568">
        <f t="shared" si="118"/>
        <v>23</v>
      </c>
      <c r="Y321" s="568">
        <f t="shared" si="118"/>
        <v>22</v>
      </c>
      <c r="Z321" s="568">
        <f t="shared" si="118"/>
        <v>23</v>
      </c>
      <c r="AA321" s="568">
        <f t="shared" si="118"/>
        <v>20</v>
      </c>
      <c r="AB321" s="568">
        <f t="shared" si="118"/>
        <v>0</v>
      </c>
      <c r="AC321" s="568">
        <f t="shared" si="118"/>
        <v>20</v>
      </c>
      <c r="AD321" s="568">
        <f t="shared" si="118"/>
        <v>22</v>
      </c>
      <c r="AE321" s="568">
        <f t="shared" si="118"/>
        <v>23</v>
      </c>
      <c r="AF321" s="568">
        <f t="shared" si="118"/>
        <v>23</v>
      </c>
      <c r="AG321" s="568">
        <f t="shared" si="118"/>
        <v>20</v>
      </c>
      <c r="AH321" s="568">
        <f t="shared" si="118"/>
        <v>23</v>
      </c>
      <c r="AI321" s="568">
        <f t="shared" si="118"/>
        <v>20</v>
      </c>
      <c r="AJ321" s="568">
        <f t="shared" ref="AJ321:BO321" si="119">AJ235</f>
        <v>23</v>
      </c>
      <c r="AK321" s="568">
        <f t="shared" si="119"/>
        <v>23</v>
      </c>
      <c r="AL321" s="568">
        <f t="shared" si="119"/>
        <v>23</v>
      </c>
      <c r="AM321" s="568">
        <f t="shared" si="119"/>
        <v>23</v>
      </c>
      <c r="AN321" s="568">
        <f t="shared" si="119"/>
        <v>23</v>
      </c>
      <c r="AO321" s="568">
        <f t="shared" si="119"/>
        <v>0</v>
      </c>
      <c r="AP321" s="568">
        <f t="shared" si="119"/>
        <v>22</v>
      </c>
      <c r="AQ321" s="568">
        <f t="shared" si="119"/>
        <v>23</v>
      </c>
      <c r="AR321" s="568">
        <f t="shared" si="119"/>
        <v>0</v>
      </c>
      <c r="AS321" s="568">
        <f t="shared" si="119"/>
        <v>0</v>
      </c>
      <c r="AT321" s="568">
        <f t="shared" si="119"/>
        <v>0</v>
      </c>
      <c r="AU321" s="568">
        <f t="shared" si="119"/>
        <v>20</v>
      </c>
      <c r="AV321" s="568">
        <f t="shared" si="119"/>
        <v>23</v>
      </c>
      <c r="AW321" s="568">
        <f t="shared" si="119"/>
        <v>0</v>
      </c>
      <c r="AX321" s="568">
        <f t="shared" si="119"/>
        <v>23</v>
      </c>
      <c r="AY321" s="568">
        <f t="shared" si="119"/>
        <v>20</v>
      </c>
      <c r="AZ321" s="568">
        <f t="shared" si="119"/>
        <v>0</v>
      </c>
      <c r="BA321" s="568">
        <f t="shared" si="119"/>
        <v>23</v>
      </c>
      <c r="BB321" s="568">
        <f t="shared" si="119"/>
        <v>23</v>
      </c>
      <c r="BC321" s="568">
        <f t="shared" si="119"/>
        <v>0</v>
      </c>
      <c r="BD321" s="568">
        <f t="shared" si="119"/>
        <v>23</v>
      </c>
      <c r="BE321" s="568">
        <f t="shared" si="119"/>
        <v>23</v>
      </c>
      <c r="BF321" s="568">
        <f t="shared" si="119"/>
        <v>0</v>
      </c>
      <c r="BG321" s="568">
        <f t="shared" si="119"/>
        <v>0</v>
      </c>
      <c r="BH321" s="568">
        <f t="shared" si="119"/>
        <v>23</v>
      </c>
      <c r="BI321" s="568">
        <f t="shared" si="119"/>
        <v>23</v>
      </c>
      <c r="BJ321" s="568">
        <f t="shared" si="119"/>
        <v>23</v>
      </c>
      <c r="BK321" s="568">
        <f t="shared" si="119"/>
        <v>20</v>
      </c>
      <c r="BL321" s="568">
        <f t="shared" si="119"/>
        <v>23</v>
      </c>
      <c r="BM321" s="568">
        <f t="shared" si="119"/>
        <v>0</v>
      </c>
      <c r="BN321" s="568">
        <f t="shared" si="119"/>
        <v>20</v>
      </c>
      <c r="BO321" s="568">
        <f t="shared" si="119"/>
        <v>23</v>
      </c>
      <c r="BP321" s="568">
        <f t="shared" ref="BP321:CZ321" si="120">BP235</f>
        <v>23</v>
      </c>
      <c r="BQ321" s="568">
        <f t="shared" si="120"/>
        <v>23</v>
      </c>
      <c r="BR321" s="568">
        <f t="shared" si="120"/>
        <v>23</v>
      </c>
      <c r="BS321" s="568">
        <f t="shared" si="120"/>
        <v>20</v>
      </c>
      <c r="BT321" s="568">
        <f t="shared" si="120"/>
        <v>22</v>
      </c>
      <c r="BU321" s="568">
        <f t="shared" si="120"/>
        <v>22</v>
      </c>
      <c r="BV321" s="568">
        <f t="shared" si="120"/>
        <v>23</v>
      </c>
      <c r="BW321" s="568">
        <f t="shared" si="120"/>
        <v>23</v>
      </c>
      <c r="BX321" s="568">
        <f t="shared" si="120"/>
        <v>0</v>
      </c>
      <c r="BY321" s="568">
        <f t="shared" si="120"/>
        <v>0</v>
      </c>
      <c r="BZ321" s="568">
        <f t="shared" si="120"/>
        <v>20</v>
      </c>
      <c r="CA321" s="568">
        <f t="shared" si="120"/>
        <v>23</v>
      </c>
      <c r="CB321" s="568">
        <f t="shared" si="120"/>
        <v>0</v>
      </c>
      <c r="CC321" s="568">
        <f t="shared" si="120"/>
        <v>0</v>
      </c>
      <c r="CD321" s="568">
        <f t="shared" si="120"/>
        <v>0</v>
      </c>
      <c r="CE321" s="568">
        <f t="shared" si="120"/>
        <v>0</v>
      </c>
      <c r="CF321" s="568">
        <f t="shared" si="120"/>
        <v>0</v>
      </c>
      <c r="CG321" s="568">
        <f t="shared" si="120"/>
        <v>0</v>
      </c>
      <c r="CH321" s="568">
        <f t="shared" si="120"/>
        <v>0</v>
      </c>
      <c r="CI321" s="568">
        <f t="shared" si="120"/>
        <v>0</v>
      </c>
      <c r="CJ321" s="568">
        <f t="shared" si="120"/>
        <v>0</v>
      </c>
      <c r="CK321" s="568">
        <f t="shared" si="120"/>
        <v>0</v>
      </c>
      <c r="CL321" s="568">
        <f t="shared" si="120"/>
        <v>0</v>
      </c>
      <c r="CM321" s="568">
        <f t="shared" si="120"/>
        <v>0</v>
      </c>
      <c r="CN321" s="568">
        <f t="shared" si="120"/>
        <v>0</v>
      </c>
      <c r="CO321" s="568">
        <f t="shared" si="120"/>
        <v>0</v>
      </c>
      <c r="CP321" s="568">
        <f t="shared" si="120"/>
        <v>0</v>
      </c>
      <c r="CQ321" s="568">
        <f t="shared" si="120"/>
        <v>0</v>
      </c>
      <c r="CR321" s="568">
        <f t="shared" si="120"/>
        <v>0</v>
      </c>
      <c r="CS321" s="568">
        <f t="shared" si="120"/>
        <v>0</v>
      </c>
      <c r="CT321" s="568">
        <f t="shared" si="120"/>
        <v>0</v>
      </c>
      <c r="CU321" s="568">
        <f t="shared" si="120"/>
        <v>0</v>
      </c>
      <c r="CV321" s="568">
        <f t="shared" si="120"/>
        <v>0</v>
      </c>
      <c r="CW321" s="568">
        <f t="shared" si="120"/>
        <v>0</v>
      </c>
      <c r="CX321" s="568">
        <f t="shared" si="120"/>
        <v>0</v>
      </c>
      <c r="CY321" s="568">
        <f t="shared" si="120"/>
        <v>0</v>
      </c>
      <c r="CZ321" s="568">
        <f t="shared" si="120"/>
        <v>0</v>
      </c>
    </row>
    <row r="322" spans="1:104" s="180" customFormat="1" x14ac:dyDescent="0.3">
      <c r="A322" s="556">
        <v>1055</v>
      </c>
      <c r="B322" s="557" t="s">
        <v>1709</v>
      </c>
      <c r="C322" s="180">
        <v>245</v>
      </c>
      <c r="D322" s="568">
        <f t="shared" ref="D322:AI322" si="121">D245</f>
        <v>2</v>
      </c>
      <c r="E322" s="568">
        <f t="shared" si="121"/>
        <v>2</v>
      </c>
      <c r="F322" s="568">
        <f t="shared" si="121"/>
        <v>0</v>
      </c>
      <c r="G322" s="568">
        <f t="shared" si="121"/>
        <v>2</v>
      </c>
      <c r="H322" s="568">
        <f t="shared" si="121"/>
        <v>2</v>
      </c>
      <c r="I322" s="568">
        <f t="shared" si="121"/>
        <v>2</v>
      </c>
      <c r="J322" s="568">
        <f t="shared" si="121"/>
        <v>2</v>
      </c>
      <c r="K322" s="568">
        <f t="shared" si="121"/>
        <v>2</v>
      </c>
      <c r="L322" s="568">
        <f t="shared" si="121"/>
        <v>2</v>
      </c>
      <c r="M322" s="568">
        <f t="shared" si="121"/>
        <v>0</v>
      </c>
      <c r="N322" s="568">
        <f t="shared" si="121"/>
        <v>2</v>
      </c>
      <c r="O322" s="568">
        <f t="shared" si="121"/>
        <v>0</v>
      </c>
      <c r="P322" s="568">
        <f t="shared" si="121"/>
        <v>2</v>
      </c>
      <c r="Q322" s="568">
        <f t="shared" si="121"/>
        <v>2</v>
      </c>
      <c r="R322" s="568">
        <f t="shared" si="121"/>
        <v>2</v>
      </c>
      <c r="S322" s="568">
        <f t="shared" si="121"/>
        <v>2</v>
      </c>
      <c r="T322" s="568">
        <f t="shared" si="121"/>
        <v>2</v>
      </c>
      <c r="U322" s="568">
        <f t="shared" si="121"/>
        <v>2</v>
      </c>
      <c r="V322" s="568">
        <f t="shared" si="121"/>
        <v>2</v>
      </c>
      <c r="W322" s="568">
        <f t="shared" si="121"/>
        <v>2</v>
      </c>
      <c r="X322" s="568">
        <f t="shared" si="121"/>
        <v>2</v>
      </c>
      <c r="Y322" s="568">
        <f t="shared" si="121"/>
        <v>2</v>
      </c>
      <c r="Z322" s="568">
        <f t="shared" si="121"/>
        <v>2</v>
      </c>
      <c r="AA322" s="568">
        <f t="shared" si="121"/>
        <v>1</v>
      </c>
      <c r="AB322" s="568">
        <f t="shared" si="121"/>
        <v>2</v>
      </c>
      <c r="AC322" s="568">
        <f t="shared" si="121"/>
        <v>2</v>
      </c>
      <c r="AD322" s="568">
        <f t="shared" si="121"/>
        <v>1</v>
      </c>
      <c r="AE322" s="568">
        <f t="shared" si="121"/>
        <v>2</v>
      </c>
      <c r="AF322" s="568">
        <f t="shared" si="121"/>
        <v>2</v>
      </c>
      <c r="AG322" s="568">
        <f t="shared" si="121"/>
        <v>2</v>
      </c>
      <c r="AH322" s="568">
        <f t="shared" si="121"/>
        <v>2</v>
      </c>
      <c r="AI322" s="568">
        <f t="shared" si="121"/>
        <v>2</v>
      </c>
      <c r="AJ322" s="568">
        <f t="shared" ref="AJ322:BO322" si="122">AJ245</f>
        <v>2</v>
      </c>
      <c r="AK322" s="568">
        <f t="shared" si="122"/>
        <v>2</v>
      </c>
      <c r="AL322" s="568">
        <f t="shared" si="122"/>
        <v>2</v>
      </c>
      <c r="AM322" s="568">
        <f t="shared" si="122"/>
        <v>2</v>
      </c>
      <c r="AN322" s="568">
        <f t="shared" si="122"/>
        <v>2</v>
      </c>
      <c r="AO322" s="568">
        <f t="shared" si="122"/>
        <v>0</v>
      </c>
      <c r="AP322" s="568">
        <f t="shared" si="122"/>
        <v>2</v>
      </c>
      <c r="AQ322" s="568">
        <f t="shared" si="122"/>
        <v>2</v>
      </c>
      <c r="AR322" s="568">
        <f t="shared" si="122"/>
        <v>0</v>
      </c>
      <c r="AS322" s="568">
        <f t="shared" si="122"/>
        <v>0</v>
      </c>
      <c r="AT322" s="568">
        <f t="shared" si="122"/>
        <v>0</v>
      </c>
      <c r="AU322" s="568">
        <f t="shared" si="122"/>
        <v>2</v>
      </c>
      <c r="AV322" s="568">
        <f t="shared" si="122"/>
        <v>1</v>
      </c>
      <c r="AW322" s="568">
        <f t="shared" si="122"/>
        <v>0</v>
      </c>
      <c r="AX322" s="568">
        <f t="shared" si="122"/>
        <v>2</v>
      </c>
      <c r="AY322" s="568">
        <f t="shared" si="122"/>
        <v>2</v>
      </c>
      <c r="AZ322" s="568">
        <f t="shared" si="122"/>
        <v>0</v>
      </c>
      <c r="BA322" s="568">
        <f t="shared" si="122"/>
        <v>2</v>
      </c>
      <c r="BB322" s="568">
        <f t="shared" si="122"/>
        <v>2</v>
      </c>
      <c r="BC322" s="568">
        <f t="shared" si="122"/>
        <v>0</v>
      </c>
      <c r="BD322" s="568">
        <f t="shared" si="122"/>
        <v>2</v>
      </c>
      <c r="BE322" s="568">
        <f t="shared" si="122"/>
        <v>2</v>
      </c>
      <c r="BF322" s="568">
        <f t="shared" si="122"/>
        <v>0</v>
      </c>
      <c r="BG322" s="568">
        <f t="shared" si="122"/>
        <v>0</v>
      </c>
      <c r="BH322" s="568">
        <f t="shared" si="122"/>
        <v>2</v>
      </c>
      <c r="BI322" s="568">
        <f t="shared" si="122"/>
        <v>2</v>
      </c>
      <c r="BJ322" s="568">
        <f t="shared" si="122"/>
        <v>2</v>
      </c>
      <c r="BK322" s="568">
        <f t="shared" si="122"/>
        <v>2</v>
      </c>
      <c r="BL322" s="568">
        <f t="shared" si="122"/>
        <v>2</v>
      </c>
      <c r="BM322" s="568">
        <f t="shared" si="122"/>
        <v>2</v>
      </c>
      <c r="BN322" s="568">
        <f t="shared" si="122"/>
        <v>2</v>
      </c>
      <c r="BO322" s="568">
        <f t="shared" si="122"/>
        <v>2</v>
      </c>
      <c r="BP322" s="568">
        <f t="shared" ref="BP322:CZ322" si="123">BP245</f>
        <v>2</v>
      </c>
      <c r="BQ322" s="568">
        <f t="shared" si="123"/>
        <v>2</v>
      </c>
      <c r="BR322" s="568">
        <f t="shared" si="123"/>
        <v>2</v>
      </c>
      <c r="BS322" s="568">
        <f t="shared" si="123"/>
        <v>2</v>
      </c>
      <c r="BT322" s="568">
        <f t="shared" si="123"/>
        <v>2</v>
      </c>
      <c r="BU322" s="568">
        <f t="shared" si="123"/>
        <v>2</v>
      </c>
      <c r="BV322" s="568">
        <f t="shared" si="123"/>
        <v>2</v>
      </c>
      <c r="BW322" s="568">
        <f t="shared" si="123"/>
        <v>2</v>
      </c>
      <c r="BX322" s="568">
        <f t="shared" si="123"/>
        <v>0</v>
      </c>
      <c r="BY322" s="568">
        <f t="shared" si="123"/>
        <v>2</v>
      </c>
      <c r="BZ322" s="568">
        <f t="shared" si="123"/>
        <v>2</v>
      </c>
      <c r="CA322" s="568">
        <f t="shared" si="123"/>
        <v>2</v>
      </c>
      <c r="CB322" s="568">
        <f t="shared" si="123"/>
        <v>0</v>
      </c>
      <c r="CC322" s="568">
        <f t="shared" si="123"/>
        <v>0</v>
      </c>
      <c r="CD322" s="568">
        <f t="shared" si="123"/>
        <v>0</v>
      </c>
      <c r="CE322" s="568">
        <f t="shared" si="123"/>
        <v>0</v>
      </c>
      <c r="CF322" s="568">
        <f t="shared" si="123"/>
        <v>0</v>
      </c>
      <c r="CG322" s="568">
        <f t="shared" si="123"/>
        <v>0</v>
      </c>
      <c r="CH322" s="568">
        <f t="shared" si="123"/>
        <v>0</v>
      </c>
      <c r="CI322" s="568">
        <f t="shared" si="123"/>
        <v>0</v>
      </c>
      <c r="CJ322" s="568">
        <f t="shared" si="123"/>
        <v>0</v>
      </c>
      <c r="CK322" s="568">
        <f t="shared" si="123"/>
        <v>0</v>
      </c>
      <c r="CL322" s="568">
        <f t="shared" si="123"/>
        <v>0</v>
      </c>
      <c r="CM322" s="568">
        <f t="shared" si="123"/>
        <v>0</v>
      </c>
      <c r="CN322" s="568">
        <f t="shared" si="123"/>
        <v>0</v>
      </c>
      <c r="CO322" s="568">
        <f t="shared" si="123"/>
        <v>0</v>
      </c>
      <c r="CP322" s="568">
        <f t="shared" si="123"/>
        <v>0</v>
      </c>
      <c r="CQ322" s="568">
        <f t="shared" si="123"/>
        <v>0</v>
      </c>
      <c r="CR322" s="568">
        <f t="shared" si="123"/>
        <v>0</v>
      </c>
      <c r="CS322" s="568">
        <f t="shared" si="123"/>
        <v>0</v>
      </c>
      <c r="CT322" s="568">
        <f t="shared" si="123"/>
        <v>0</v>
      </c>
      <c r="CU322" s="568">
        <f t="shared" si="123"/>
        <v>0</v>
      </c>
      <c r="CV322" s="568">
        <f t="shared" si="123"/>
        <v>0</v>
      </c>
      <c r="CW322" s="568">
        <f t="shared" si="123"/>
        <v>0</v>
      </c>
      <c r="CX322" s="568">
        <f t="shared" si="123"/>
        <v>0</v>
      </c>
      <c r="CY322" s="568">
        <f t="shared" si="123"/>
        <v>0</v>
      </c>
      <c r="CZ322" s="568">
        <f t="shared" si="123"/>
        <v>0</v>
      </c>
    </row>
    <row r="323" spans="1:104" s="180" customFormat="1" x14ac:dyDescent="0.3">
      <c r="A323" s="556">
        <v>1056</v>
      </c>
      <c r="B323" s="557" t="s">
        <v>1710</v>
      </c>
      <c r="C323" s="180">
        <v>246</v>
      </c>
      <c r="D323" s="568">
        <f t="shared" ref="D323:AI323" si="124">D246</f>
        <v>2</v>
      </c>
      <c r="E323" s="568">
        <f t="shared" si="124"/>
        <v>2</v>
      </c>
      <c r="F323" s="568">
        <f t="shared" si="124"/>
        <v>0</v>
      </c>
      <c r="G323" s="568">
        <f t="shared" si="124"/>
        <v>2</v>
      </c>
      <c r="H323" s="568">
        <f t="shared" si="124"/>
        <v>2</v>
      </c>
      <c r="I323" s="568">
        <f t="shared" si="124"/>
        <v>2</v>
      </c>
      <c r="J323" s="568">
        <f t="shared" si="124"/>
        <v>2</v>
      </c>
      <c r="K323" s="568">
        <f t="shared" si="124"/>
        <v>2</v>
      </c>
      <c r="L323" s="568">
        <f t="shared" si="124"/>
        <v>1</v>
      </c>
      <c r="M323" s="568">
        <f t="shared" si="124"/>
        <v>0</v>
      </c>
      <c r="N323" s="568">
        <f t="shared" si="124"/>
        <v>2</v>
      </c>
      <c r="O323" s="568">
        <f t="shared" si="124"/>
        <v>0</v>
      </c>
      <c r="P323" s="568">
        <f t="shared" si="124"/>
        <v>2</v>
      </c>
      <c r="Q323" s="568">
        <f t="shared" si="124"/>
        <v>2</v>
      </c>
      <c r="R323" s="568">
        <f t="shared" si="124"/>
        <v>2</v>
      </c>
      <c r="S323" s="568">
        <f t="shared" si="124"/>
        <v>2</v>
      </c>
      <c r="T323" s="568">
        <f t="shared" si="124"/>
        <v>2</v>
      </c>
      <c r="U323" s="568">
        <f t="shared" si="124"/>
        <v>2</v>
      </c>
      <c r="V323" s="568">
        <f t="shared" si="124"/>
        <v>2</v>
      </c>
      <c r="W323" s="568">
        <f t="shared" si="124"/>
        <v>2</v>
      </c>
      <c r="X323" s="568">
        <f t="shared" si="124"/>
        <v>2</v>
      </c>
      <c r="Y323" s="568">
        <f t="shared" si="124"/>
        <v>2</v>
      </c>
      <c r="Z323" s="568">
        <f t="shared" si="124"/>
        <v>2</v>
      </c>
      <c r="AA323" s="568">
        <f t="shared" si="124"/>
        <v>1</v>
      </c>
      <c r="AB323" s="568">
        <f t="shared" si="124"/>
        <v>2</v>
      </c>
      <c r="AC323" s="568">
        <f t="shared" si="124"/>
        <v>2</v>
      </c>
      <c r="AD323" s="568">
        <f t="shared" si="124"/>
        <v>2</v>
      </c>
      <c r="AE323" s="568">
        <f t="shared" si="124"/>
        <v>2</v>
      </c>
      <c r="AF323" s="568">
        <f t="shared" si="124"/>
        <v>2</v>
      </c>
      <c r="AG323" s="568">
        <f t="shared" si="124"/>
        <v>2</v>
      </c>
      <c r="AH323" s="568">
        <f t="shared" si="124"/>
        <v>2</v>
      </c>
      <c r="AI323" s="568">
        <f t="shared" si="124"/>
        <v>2</v>
      </c>
      <c r="AJ323" s="568">
        <f t="shared" ref="AJ323:BO323" si="125">AJ246</f>
        <v>2</v>
      </c>
      <c r="AK323" s="568">
        <f t="shared" si="125"/>
        <v>2</v>
      </c>
      <c r="AL323" s="568">
        <f t="shared" si="125"/>
        <v>2</v>
      </c>
      <c r="AM323" s="568">
        <f t="shared" si="125"/>
        <v>2</v>
      </c>
      <c r="AN323" s="568">
        <f t="shared" si="125"/>
        <v>2</v>
      </c>
      <c r="AO323" s="568">
        <f t="shared" si="125"/>
        <v>0</v>
      </c>
      <c r="AP323" s="568">
        <f t="shared" si="125"/>
        <v>2</v>
      </c>
      <c r="AQ323" s="568">
        <f t="shared" si="125"/>
        <v>2</v>
      </c>
      <c r="AR323" s="568">
        <f t="shared" si="125"/>
        <v>0</v>
      </c>
      <c r="AS323" s="568">
        <f t="shared" si="125"/>
        <v>0</v>
      </c>
      <c r="AT323" s="568">
        <f t="shared" si="125"/>
        <v>0</v>
      </c>
      <c r="AU323" s="568">
        <f t="shared" si="125"/>
        <v>2</v>
      </c>
      <c r="AV323" s="568">
        <f t="shared" si="125"/>
        <v>1</v>
      </c>
      <c r="AW323" s="568">
        <f t="shared" si="125"/>
        <v>0</v>
      </c>
      <c r="AX323" s="568">
        <f t="shared" si="125"/>
        <v>2</v>
      </c>
      <c r="AY323" s="568">
        <f t="shared" si="125"/>
        <v>2</v>
      </c>
      <c r="AZ323" s="568">
        <f t="shared" si="125"/>
        <v>0</v>
      </c>
      <c r="BA323" s="568">
        <f t="shared" si="125"/>
        <v>2</v>
      </c>
      <c r="BB323" s="568">
        <f t="shared" si="125"/>
        <v>2</v>
      </c>
      <c r="BC323" s="568">
        <f t="shared" si="125"/>
        <v>0</v>
      </c>
      <c r="BD323" s="568">
        <f t="shared" si="125"/>
        <v>2</v>
      </c>
      <c r="BE323" s="568">
        <f t="shared" si="125"/>
        <v>2</v>
      </c>
      <c r="BF323" s="568">
        <f t="shared" si="125"/>
        <v>0</v>
      </c>
      <c r="BG323" s="568">
        <f t="shared" si="125"/>
        <v>0</v>
      </c>
      <c r="BH323" s="568">
        <f t="shared" si="125"/>
        <v>2</v>
      </c>
      <c r="BI323" s="568">
        <f t="shared" si="125"/>
        <v>2</v>
      </c>
      <c r="BJ323" s="568">
        <f t="shared" si="125"/>
        <v>2</v>
      </c>
      <c r="BK323" s="568">
        <f t="shared" si="125"/>
        <v>2</v>
      </c>
      <c r="BL323" s="568">
        <f t="shared" si="125"/>
        <v>2</v>
      </c>
      <c r="BM323" s="568">
        <f t="shared" si="125"/>
        <v>2</v>
      </c>
      <c r="BN323" s="568">
        <f t="shared" si="125"/>
        <v>2</v>
      </c>
      <c r="BO323" s="568">
        <f t="shared" si="125"/>
        <v>2</v>
      </c>
      <c r="BP323" s="568">
        <f t="shared" ref="BP323:CZ323" si="126">BP246</f>
        <v>2</v>
      </c>
      <c r="BQ323" s="568">
        <f t="shared" si="126"/>
        <v>2</v>
      </c>
      <c r="BR323" s="568">
        <f t="shared" si="126"/>
        <v>2</v>
      </c>
      <c r="BS323" s="568">
        <f t="shared" si="126"/>
        <v>2</v>
      </c>
      <c r="BT323" s="568">
        <f t="shared" si="126"/>
        <v>2</v>
      </c>
      <c r="BU323" s="568">
        <f t="shared" si="126"/>
        <v>2</v>
      </c>
      <c r="BV323" s="568">
        <f t="shared" si="126"/>
        <v>2</v>
      </c>
      <c r="BW323" s="568">
        <f t="shared" si="126"/>
        <v>2</v>
      </c>
      <c r="BX323" s="568">
        <f t="shared" si="126"/>
        <v>0</v>
      </c>
      <c r="BY323" s="568">
        <f t="shared" si="126"/>
        <v>2</v>
      </c>
      <c r="BZ323" s="568">
        <f t="shared" si="126"/>
        <v>2</v>
      </c>
      <c r="CA323" s="568">
        <f t="shared" si="126"/>
        <v>2</v>
      </c>
      <c r="CB323" s="568">
        <f t="shared" si="126"/>
        <v>0</v>
      </c>
      <c r="CC323" s="568">
        <f t="shared" si="126"/>
        <v>0</v>
      </c>
      <c r="CD323" s="568">
        <f t="shared" si="126"/>
        <v>0</v>
      </c>
      <c r="CE323" s="568">
        <f t="shared" si="126"/>
        <v>0</v>
      </c>
      <c r="CF323" s="568">
        <f t="shared" si="126"/>
        <v>0</v>
      </c>
      <c r="CG323" s="568">
        <f t="shared" si="126"/>
        <v>0</v>
      </c>
      <c r="CH323" s="568">
        <f t="shared" si="126"/>
        <v>0</v>
      </c>
      <c r="CI323" s="568">
        <f t="shared" si="126"/>
        <v>0</v>
      </c>
      <c r="CJ323" s="568">
        <f t="shared" si="126"/>
        <v>0</v>
      </c>
      <c r="CK323" s="568">
        <f t="shared" si="126"/>
        <v>0</v>
      </c>
      <c r="CL323" s="568">
        <f t="shared" si="126"/>
        <v>0</v>
      </c>
      <c r="CM323" s="568">
        <f t="shared" si="126"/>
        <v>0</v>
      </c>
      <c r="CN323" s="568">
        <f t="shared" si="126"/>
        <v>0</v>
      </c>
      <c r="CO323" s="568">
        <f t="shared" si="126"/>
        <v>0</v>
      </c>
      <c r="CP323" s="568">
        <f t="shared" si="126"/>
        <v>0</v>
      </c>
      <c r="CQ323" s="568">
        <f t="shared" si="126"/>
        <v>0</v>
      </c>
      <c r="CR323" s="568">
        <f t="shared" si="126"/>
        <v>0</v>
      </c>
      <c r="CS323" s="568">
        <f t="shared" si="126"/>
        <v>0</v>
      </c>
      <c r="CT323" s="568">
        <f t="shared" si="126"/>
        <v>0</v>
      </c>
      <c r="CU323" s="568">
        <f t="shared" si="126"/>
        <v>0</v>
      </c>
      <c r="CV323" s="568">
        <f t="shared" si="126"/>
        <v>0</v>
      </c>
      <c r="CW323" s="568">
        <f t="shared" si="126"/>
        <v>0</v>
      </c>
      <c r="CX323" s="568">
        <f t="shared" si="126"/>
        <v>0</v>
      </c>
      <c r="CY323" s="568">
        <f t="shared" si="126"/>
        <v>0</v>
      </c>
      <c r="CZ323" s="568">
        <f t="shared" si="126"/>
        <v>0</v>
      </c>
    </row>
    <row r="324" spans="1:104" s="180" customFormat="1" x14ac:dyDescent="0.3">
      <c r="A324" s="556">
        <v>1057</v>
      </c>
      <c r="B324" s="557" t="s">
        <v>1516</v>
      </c>
      <c r="C324" s="180">
        <v>247</v>
      </c>
      <c r="D324" s="568">
        <f t="shared" ref="D324:AI324" si="127">D247</f>
        <v>2</v>
      </c>
      <c r="E324" s="568">
        <f t="shared" si="127"/>
        <v>1</v>
      </c>
      <c r="F324" s="568">
        <f t="shared" si="127"/>
        <v>0</v>
      </c>
      <c r="G324" s="568">
        <f t="shared" si="127"/>
        <v>2</v>
      </c>
      <c r="H324" s="568">
        <f t="shared" si="127"/>
        <v>2</v>
      </c>
      <c r="I324" s="568">
        <f t="shared" si="127"/>
        <v>2</v>
      </c>
      <c r="J324" s="568">
        <f t="shared" si="127"/>
        <v>2</v>
      </c>
      <c r="K324" s="568">
        <f t="shared" si="127"/>
        <v>2</v>
      </c>
      <c r="L324" s="568">
        <f t="shared" si="127"/>
        <v>2</v>
      </c>
      <c r="M324" s="568">
        <f t="shared" si="127"/>
        <v>0</v>
      </c>
      <c r="N324" s="568">
        <f t="shared" si="127"/>
        <v>2</v>
      </c>
      <c r="O324" s="568">
        <f t="shared" si="127"/>
        <v>0</v>
      </c>
      <c r="P324" s="568">
        <f t="shared" si="127"/>
        <v>2</v>
      </c>
      <c r="Q324" s="568">
        <f t="shared" si="127"/>
        <v>2</v>
      </c>
      <c r="R324" s="568">
        <f t="shared" si="127"/>
        <v>2</v>
      </c>
      <c r="S324" s="568">
        <f t="shared" si="127"/>
        <v>2</v>
      </c>
      <c r="T324" s="568">
        <f t="shared" si="127"/>
        <v>2</v>
      </c>
      <c r="U324" s="568">
        <f t="shared" si="127"/>
        <v>2</v>
      </c>
      <c r="V324" s="568">
        <f t="shared" si="127"/>
        <v>2</v>
      </c>
      <c r="W324" s="568">
        <f t="shared" si="127"/>
        <v>2</v>
      </c>
      <c r="X324" s="568">
        <f t="shared" si="127"/>
        <v>2</v>
      </c>
      <c r="Y324" s="568">
        <f t="shared" si="127"/>
        <v>2</v>
      </c>
      <c r="Z324" s="568">
        <f t="shared" si="127"/>
        <v>2</v>
      </c>
      <c r="AA324" s="568">
        <f t="shared" si="127"/>
        <v>2</v>
      </c>
      <c r="AB324" s="568">
        <f t="shared" si="127"/>
        <v>2</v>
      </c>
      <c r="AC324" s="568">
        <f t="shared" si="127"/>
        <v>2</v>
      </c>
      <c r="AD324" s="568">
        <f t="shared" si="127"/>
        <v>1</v>
      </c>
      <c r="AE324" s="568">
        <f t="shared" si="127"/>
        <v>2</v>
      </c>
      <c r="AF324" s="568">
        <f t="shared" si="127"/>
        <v>1</v>
      </c>
      <c r="AG324" s="568">
        <f t="shared" si="127"/>
        <v>2</v>
      </c>
      <c r="AH324" s="568">
        <f t="shared" si="127"/>
        <v>1</v>
      </c>
      <c r="AI324" s="568">
        <f t="shared" si="127"/>
        <v>2</v>
      </c>
      <c r="AJ324" s="568">
        <f t="shared" ref="AJ324:BO324" si="128">AJ247</f>
        <v>1</v>
      </c>
      <c r="AK324" s="568">
        <f t="shared" si="128"/>
        <v>1</v>
      </c>
      <c r="AL324" s="568">
        <f t="shared" si="128"/>
        <v>2</v>
      </c>
      <c r="AM324" s="568">
        <f t="shared" si="128"/>
        <v>1</v>
      </c>
      <c r="AN324" s="568">
        <f t="shared" si="128"/>
        <v>2</v>
      </c>
      <c r="AO324" s="568">
        <f t="shared" si="128"/>
        <v>0</v>
      </c>
      <c r="AP324" s="568">
        <f t="shared" si="128"/>
        <v>2</v>
      </c>
      <c r="AQ324" s="568">
        <f t="shared" si="128"/>
        <v>2</v>
      </c>
      <c r="AR324" s="568">
        <f t="shared" si="128"/>
        <v>0</v>
      </c>
      <c r="AS324" s="568">
        <f t="shared" si="128"/>
        <v>0</v>
      </c>
      <c r="AT324" s="568">
        <f t="shared" si="128"/>
        <v>0</v>
      </c>
      <c r="AU324" s="568">
        <f t="shared" si="128"/>
        <v>1</v>
      </c>
      <c r="AV324" s="568">
        <f t="shared" si="128"/>
        <v>1</v>
      </c>
      <c r="AW324" s="568">
        <f t="shared" si="128"/>
        <v>0</v>
      </c>
      <c r="AX324" s="568">
        <f t="shared" si="128"/>
        <v>2</v>
      </c>
      <c r="AY324" s="568">
        <f t="shared" si="128"/>
        <v>2</v>
      </c>
      <c r="AZ324" s="568">
        <f t="shared" si="128"/>
        <v>0</v>
      </c>
      <c r="BA324" s="568">
        <f t="shared" si="128"/>
        <v>2</v>
      </c>
      <c r="BB324" s="568">
        <f t="shared" si="128"/>
        <v>2</v>
      </c>
      <c r="BC324" s="568">
        <f t="shared" si="128"/>
        <v>0</v>
      </c>
      <c r="BD324" s="568">
        <f t="shared" si="128"/>
        <v>2</v>
      </c>
      <c r="BE324" s="568">
        <f t="shared" si="128"/>
        <v>2</v>
      </c>
      <c r="BF324" s="568">
        <f t="shared" si="128"/>
        <v>0</v>
      </c>
      <c r="BG324" s="568">
        <f t="shared" si="128"/>
        <v>0</v>
      </c>
      <c r="BH324" s="568">
        <f t="shared" si="128"/>
        <v>1</v>
      </c>
      <c r="BI324" s="568">
        <f t="shared" si="128"/>
        <v>2</v>
      </c>
      <c r="BJ324" s="568">
        <f t="shared" si="128"/>
        <v>2</v>
      </c>
      <c r="BK324" s="568">
        <f t="shared" si="128"/>
        <v>1</v>
      </c>
      <c r="BL324" s="568">
        <f t="shared" si="128"/>
        <v>2</v>
      </c>
      <c r="BM324" s="568">
        <f t="shared" si="128"/>
        <v>2</v>
      </c>
      <c r="BN324" s="568">
        <f t="shared" si="128"/>
        <v>2</v>
      </c>
      <c r="BO324" s="568">
        <f t="shared" si="128"/>
        <v>2</v>
      </c>
      <c r="BP324" s="568">
        <f t="shared" ref="BP324:CZ324" si="129">BP247</f>
        <v>2</v>
      </c>
      <c r="BQ324" s="568">
        <f t="shared" si="129"/>
        <v>2</v>
      </c>
      <c r="BR324" s="568">
        <f t="shared" si="129"/>
        <v>2</v>
      </c>
      <c r="BS324" s="568">
        <f t="shared" si="129"/>
        <v>2</v>
      </c>
      <c r="BT324" s="568">
        <f t="shared" si="129"/>
        <v>2</v>
      </c>
      <c r="BU324" s="568">
        <f t="shared" si="129"/>
        <v>2</v>
      </c>
      <c r="BV324" s="568">
        <f t="shared" si="129"/>
        <v>2</v>
      </c>
      <c r="BW324" s="568">
        <f t="shared" si="129"/>
        <v>2</v>
      </c>
      <c r="BX324" s="568">
        <f t="shared" si="129"/>
        <v>0</v>
      </c>
      <c r="BY324" s="568">
        <f t="shared" si="129"/>
        <v>2</v>
      </c>
      <c r="BZ324" s="568">
        <f t="shared" si="129"/>
        <v>2</v>
      </c>
      <c r="CA324" s="568">
        <f t="shared" si="129"/>
        <v>2</v>
      </c>
      <c r="CB324" s="568">
        <f t="shared" si="129"/>
        <v>0</v>
      </c>
      <c r="CC324" s="568">
        <f t="shared" si="129"/>
        <v>0</v>
      </c>
      <c r="CD324" s="568">
        <f t="shared" si="129"/>
        <v>0</v>
      </c>
      <c r="CE324" s="568">
        <f t="shared" si="129"/>
        <v>0</v>
      </c>
      <c r="CF324" s="568">
        <f t="shared" si="129"/>
        <v>0</v>
      </c>
      <c r="CG324" s="568">
        <f t="shared" si="129"/>
        <v>0</v>
      </c>
      <c r="CH324" s="568">
        <f t="shared" si="129"/>
        <v>0</v>
      </c>
      <c r="CI324" s="568">
        <f t="shared" si="129"/>
        <v>0</v>
      </c>
      <c r="CJ324" s="568">
        <f t="shared" si="129"/>
        <v>0</v>
      </c>
      <c r="CK324" s="568">
        <f t="shared" si="129"/>
        <v>0</v>
      </c>
      <c r="CL324" s="568">
        <f t="shared" si="129"/>
        <v>0</v>
      </c>
      <c r="CM324" s="568">
        <f t="shared" si="129"/>
        <v>0</v>
      </c>
      <c r="CN324" s="568">
        <f t="shared" si="129"/>
        <v>0</v>
      </c>
      <c r="CO324" s="568">
        <f t="shared" si="129"/>
        <v>0</v>
      </c>
      <c r="CP324" s="568">
        <f t="shared" si="129"/>
        <v>0</v>
      </c>
      <c r="CQ324" s="568">
        <f t="shared" si="129"/>
        <v>0</v>
      </c>
      <c r="CR324" s="568">
        <f t="shared" si="129"/>
        <v>0</v>
      </c>
      <c r="CS324" s="568">
        <f t="shared" si="129"/>
        <v>0</v>
      </c>
      <c r="CT324" s="568">
        <f t="shared" si="129"/>
        <v>0</v>
      </c>
      <c r="CU324" s="568">
        <f t="shared" si="129"/>
        <v>0</v>
      </c>
      <c r="CV324" s="568">
        <f t="shared" si="129"/>
        <v>0</v>
      </c>
      <c r="CW324" s="568">
        <f t="shared" si="129"/>
        <v>0</v>
      </c>
      <c r="CX324" s="568">
        <f t="shared" si="129"/>
        <v>0</v>
      </c>
      <c r="CY324" s="568">
        <f t="shared" si="129"/>
        <v>0</v>
      </c>
      <c r="CZ324" s="568">
        <f t="shared" si="129"/>
        <v>0</v>
      </c>
    </row>
    <row r="325" spans="1:104" s="180" customFormat="1" x14ac:dyDescent="0.3">
      <c r="A325" s="556">
        <v>1058</v>
      </c>
      <c r="B325" s="557" t="s">
        <v>1517</v>
      </c>
      <c r="C325" s="180">
        <v>248</v>
      </c>
      <c r="D325" s="568">
        <f t="shared" ref="D325:AI325" si="130">D248</f>
        <v>2</v>
      </c>
      <c r="E325" s="568">
        <f t="shared" si="130"/>
        <v>2</v>
      </c>
      <c r="F325" s="568">
        <f t="shared" si="130"/>
        <v>0</v>
      </c>
      <c r="G325" s="568">
        <f t="shared" si="130"/>
        <v>2</v>
      </c>
      <c r="H325" s="568">
        <f t="shared" si="130"/>
        <v>2</v>
      </c>
      <c r="I325" s="568">
        <f t="shared" si="130"/>
        <v>2</v>
      </c>
      <c r="J325" s="568">
        <f t="shared" si="130"/>
        <v>2</v>
      </c>
      <c r="K325" s="568">
        <f t="shared" si="130"/>
        <v>2</v>
      </c>
      <c r="L325" s="568">
        <f t="shared" si="130"/>
        <v>1</v>
      </c>
      <c r="M325" s="568">
        <f t="shared" si="130"/>
        <v>0</v>
      </c>
      <c r="N325" s="568">
        <f t="shared" si="130"/>
        <v>2</v>
      </c>
      <c r="O325" s="568">
        <f t="shared" si="130"/>
        <v>0</v>
      </c>
      <c r="P325" s="568">
        <f t="shared" si="130"/>
        <v>2</v>
      </c>
      <c r="Q325" s="568">
        <f t="shared" si="130"/>
        <v>2</v>
      </c>
      <c r="R325" s="568">
        <f t="shared" si="130"/>
        <v>2</v>
      </c>
      <c r="S325" s="568">
        <f t="shared" si="130"/>
        <v>2</v>
      </c>
      <c r="T325" s="568">
        <f t="shared" si="130"/>
        <v>2</v>
      </c>
      <c r="U325" s="568">
        <f t="shared" si="130"/>
        <v>2</v>
      </c>
      <c r="V325" s="568">
        <f t="shared" si="130"/>
        <v>2</v>
      </c>
      <c r="W325" s="568">
        <f t="shared" si="130"/>
        <v>2</v>
      </c>
      <c r="X325" s="568">
        <f t="shared" si="130"/>
        <v>2</v>
      </c>
      <c r="Y325" s="568">
        <f t="shared" si="130"/>
        <v>2</v>
      </c>
      <c r="Z325" s="568">
        <f t="shared" si="130"/>
        <v>2</v>
      </c>
      <c r="AA325" s="568">
        <f t="shared" si="130"/>
        <v>1</v>
      </c>
      <c r="AB325" s="568">
        <f t="shared" si="130"/>
        <v>2</v>
      </c>
      <c r="AC325" s="568">
        <f t="shared" si="130"/>
        <v>2</v>
      </c>
      <c r="AD325" s="568">
        <f t="shared" si="130"/>
        <v>2</v>
      </c>
      <c r="AE325" s="568">
        <f t="shared" si="130"/>
        <v>2</v>
      </c>
      <c r="AF325" s="568">
        <f t="shared" si="130"/>
        <v>2</v>
      </c>
      <c r="AG325" s="568">
        <f t="shared" si="130"/>
        <v>2</v>
      </c>
      <c r="AH325" s="568">
        <f t="shared" si="130"/>
        <v>2</v>
      </c>
      <c r="AI325" s="568">
        <f t="shared" si="130"/>
        <v>2</v>
      </c>
      <c r="AJ325" s="568">
        <f t="shared" ref="AJ325:BO325" si="131">AJ248</f>
        <v>2</v>
      </c>
      <c r="AK325" s="568">
        <f t="shared" si="131"/>
        <v>1</v>
      </c>
      <c r="AL325" s="568">
        <f t="shared" si="131"/>
        <v>2</v>
      </c>
      <c r="AM325" s="568">
        <f t="shared" si="131"/>
        <v>2</v>
      </c>
      <c r="AN325" s="568">
        <f t="shared" si="131"/>
        <v>2</v>
      </c>
      <c r="AO325" s="568">
        <f t="shared" si="131"/>
        <v>0</v>
      </c>
      <c r="AP325" s="568">
        <f t="shared" si="131"/>
        <v>2</v>
      </c>
      <c r="AQ325" s="568">
        <f t="shared" si="131"/>
        <v>2</v>
      </c>
      <c r="AR325" s="568">
        <f t="shared" si="131"/>
        <v>0</v>
      </c>
      <c r="AS325" s="568">
        <f t="shared" si="131"/>
        <v>0</v>
      </c>
      <c r="AT325" s="568">
        <f t="shared" si="131"/>
        <v>0</v>
      </c>
      <c r="AU325" s="568">
        <f t="shared" si="131"/>
        <v>2</v>
      </c>
      <c r="AV325" s="568">
        <f t="shared" si="131"/>
        <v>1</v>
      </c>
      <c r="AW325" s="568">
        <f t="shared" si="131"/>
        <v>0</v>
      </c>
      <c r="AX325" s="568">
        <f t="shared" si="131"/>
        <v>2</v>
      </c>
      <c r="AY325" s="568">
        <f t="shared" si="131"/>
        <v>2</v>
      </c>
      <c r="AZ325" s="568">
        <f t="shared" si="131"/>
        <v>0</v>
      </c>
      <c r="BA325" s="568">
        <f t="shared" si="131"/>
        <v>2</v>
      </c>
      <c r="BB325" s="568">
        <f t="shared" si="131"/>
        <v>2</v>
      </c>
      <c r="BC325" s="568">
        <f t="shared" si="131"/>
        <v>0</v>
      </c>
      <c r="BD325" s="568">
        <f t="shared" si="131"/>
        <v>2</v>
      </c>
      <c r="BE325" s="568">
        <f t="shared" si="131"/>
        <v>2</v>
      </c>
      <c r="BF325" s="568">
        <f t="shared" si="131"/>
        <v>0</v>
      </c>
      <c r="BG325" s="568">
        <f t="shared" si="131"/>
        <v>0</v>
      </c>
      <c r="BH325" s="568">
        <f t="shared" si="131"/>
        <v>2</v>
      </c>
      <c r="BI325" s="568">
        <f t="shared" si="131"/>
        <v>2</v>
      </c>
      <c r="BJ325" s="568">
        <f t="shared" si="131"/>
        <v>2</v>
      </c>
      <c r="BK325" s="568">
        <f t="shared" si="131"/>
        <v>2</v>
      </c>
      <c r="BL325" s="568">
        <f t="shared" si="131"/>
        <v>2</v>
      </c>
      <c r="BM325" s="568">
        <f t="shared" si="131"/>
        <v>2</v>
      </c>
      <c r="BN325" s="568">
        <f t="shared" si="131"/>
        <v>2</v>
      </c>
      <c r="BO325" s="568">
        <f t="shared" si="131"/>
        <v>2</v>
      </c>
      <c r="BP325" s="568">
        <f t="shared" ref="BP325:CZ325" si="132">BP248</f>
        <v>2</v>
      </c>
      <c r="BQ325" s="568">
        <f t="shared" si="132"/>
        <v>2</v>
      </c>
      <c r="BR325" s="568">
        <f t="shared" si="132"/>
        <v>2</v>
      </c>
      <c r="BS325" s="568">
        <f t="shared" si="132"/>
        <v>1</v>
      </c>
      <c r="BT325" s="568">
        <f t="shared" si="132"/>
        <v>1</v>
      </c>
      <c r="BU325" s="568">
        <f t="shared" si="132"/>
        <v>2</v>
      </c>
      <c r="BV325" s="568">
        <f t="shared" si="132"/>
        <v>2</v>
      </c>
      <c r="BW325" s="568">
        <f t="shared" si="132"/>
        <v>2</v>
      </c>
      <c r="BX325" s="568">
        <f t="shared" si="132"/>
        <v>0</v>
      </c>
      <c r="BY325" s="568">
        <f t="shared" si="132"/>
        <v>1</v>
      </c>
      <c r="BZ325" s="568">
        <f t="shared" si="132"/>
        <v>2</v>
      </c>
      <c r="CA325" s="568">
        <f t="shared" si="132"/>
        <v>2</v>
      </c>
      <c r="CB325" s="568">
        <f t="shared" si="132"/>
        <v>0</v>
      </c>
      <c r="CC325" s="568">
        <f t="shared" si="132"/>
        <v>0</v>
      </c>
      <c r="CD325" s="568">
        <f t="shared" si="132"/>
        <v>0</v>
      </c>
      <c r="CE325" s="568">
        <f t="shared" si="132"/>
        <v>0</v>
      </c>
      <c r="CF325" s="568">
        <f t="shared" si="132"/>
        <v>0</v>
      </c>
      <c r="CG325" s="568">
        <f t="shared" si="132"/>
        <v>0</v>
      </c>
      <c r="CH325" s="568">
        <f t="shared" si="132"/>
        <v>0</v>
      </c>
      <c r="CI325" s="568">
        <f t="shared" si="132"/>
        <v>0</v>
      </c>
      <c r="CJ325" s="568">
        <f t="shared" si="132"/>
        <v>0</v>
      </c>
      <c r="CK325" s="568">
        <f t="shared" si="132"/>
        <v>0</v>
      </c>
      <c r="CL325" s="568">
        <f t="shared" si="132"/>
        <v>0</v>
      </c>
      <c r="CM325" s="568">
        <f t="shared" si="132"/>
        <v>0</v>
      </c>
      <c r="CN325" s="568">
        <f t="shared" si="132"/>
        <v>0</v>
      </c>
      <c r="CO325" s="568">
        <f t="shared" si="132"/>
        <v>0</v>
      </c>
      <c r="CP325" s="568">
        <f t="shared" si="132"/>
        <v>0</v>
      </c>
      <c r="CQ325" s="568">
        <f t="shared" si="132"/>
        <v>0</v>
      </c>
      <c r="CR325" s="568">
        <f t="shared" si="132"/>
        <v>0</v>
      </c>
      <c r="CS325" s="568">
        <f t="shared" si="132"/>
        <v>0</v>
      </c>
      <c r="CT325" s="568">
        <f t="shared" si="132"/>
        <v>0</v>
      </c>
      <c r="CU325" s="568">
        <f t="shared" si="132"/>
        <v>0</v>
      </c>
      <c r="CV325" s="568">
        <f t="shared" si="132"/>
        <v>0</v>
      </c>
      <c r="CW325" s="568">
        <f t="shared" si="132"/>
        <v>0</v>
      </c>
      <c r="CX325" s="568">
        <f t="shared" si="132"/>
        <v>0</v>
      </c>
      <c r="CY325" s="568">
        <f t="shared" si="132"/>
        <v>0</v>
      </c>
      <c r="CZ325" s="568">
        <f t="shared" si="132"/>
        <v>0</v>
      </c>
    </row>
    <row r="326" spans="1:104" s="180" customFormat="1" x14ac:dyDescent="0.3">
      <c r="A326" s="556">
        <v>1059</v>
      </c>
      <c r="B326" s="557" t="s">
        <v>1711</v>
      </c>
      <c r="C326" s="180">
        <v>249</v>
      </c>
      <c r="D326" s="568">
        <f t="shared" ref="D326:AI326" si="133">D249</f>
        <v>1</v>
      </c>
      <c r="E326" s="568">
        <f t="shared" si="133"/>
        <v>1</v>
      </c>
      <c r="F326" s="568">
        <f t="shared" si="133"/>
        <v>0</v>
      </c>
      <c r="G326" s="568">
        <f t="shared" si="133"/>
        <v>1</v>
      </c>
      <c r="H326" s="568">
        <f t="shared" si="133"/>
        <v>1</v>
      </c>
      <c r="I326" s="568">
        <f t="shared" si="133"/>
        <v>1</v>
      </c>
      <c r="J326" s="568">
        <f t="shared" si="133"/>
        <v>1</v>
      </c>
      <c r="K326" s="568">
        <f t="shared" si="133"/>
        <v>2</v>
      </c>
      <c r="L326" s="568">
        <f t="shared" si="133"/>
        <v>1</v>
      </c>
      <c r="M326" s="568">
        <f t="shared" si="133"/>
        <v>0</v>
      </c>
      <c r="N326" s="568">
        <f t="shared" si="133"/>
        <v>1</v>
      </c>
      <c r="O326" s="568">
        <f t="shared" si="133"/>
        <v>0</v>
      </c>
      <c r="P326" s="568">
        <f t="shared" si="133"/>
        <v>1</v>
      </c>
      <c r="Q326" s="568">
        <f t="shared" si="133"/>
        <v>1</v>
      </c>
      <c r="R326" s="568">
        <f t="shared" si="133"/>
        <v>1</v>
      </c>
      <c r="S326" s="568">
        <f t="shared" si="133"/>
        <v>1</v>
      </c>
      <c r="T326" s="568">
        <f t="shared" si="133"/>
        <v>1</v>
      </c>
      <c r="U326" s="568">
        <f t="shared" si="133"/>
        <v>1</v>
      </c>
      <c r="V326" s="568">
        <f t="shared" si="133"/>
        <v>1</v>
      </c>
      <c r="W326" s="568">
        <f t="shared" si="133"/>
        <v>1</v>
      </c>
      <c r="X326" s="568">
        <f t="shared" si="133"/>
        <v>1</v>
      </c>
      <c r="Y326" s="568">
        <f t="shared" si="133"/>
        <v>1</v>
      </c>
      <c r="Z326" s="568">
        <f t="shared" si="133"/>
        <v>1</v>
      </c>
      <c r="AA326" s="568">
        <f t="shared" si="133"/>
        <v>1</v>
      </c>
      <c r="AB326" s="568">
        <f t="shared" si="133"/>
        <v>1</v>
      </c>
      <c r="AC326" s="568">
        <f t="shared" si="133"/>
        <v>1</v>
      </c>
      <c r="AD326" s="568">
        <f t="shared" si="133"/>
        <v>1</v>
      </c>
      <c r="AE326" s="568">
        <f t="shared" si="133"/>
        <v>1</v>
      </c>
      <c r="AF326" s="568">
        <f t="shared" si="133"/>
        <v>1</v>
      </c>
      <c r="AG326" s="568">
        <f t="shared" si="133"/>
        <v>1</v>
      </c>
      <c r="AH326" s="568">
        <f t="shared" si="133"/>
        <v>1</v>
      </c>
      <c r="AI326" s="568">
        <f t="shared" si="133"/>
        <v>1</v>
      </c>
      <c r="AJ326" s="568">
        <f t="shared" ref="AJ326:BO326" si="134">AJ249</f>
        <v>1</v>
      </c>
      <c r="AK326" s="568">
        <f t="shared" si="134"/>
        <v>1</v>
      </c>
      <c r="AL326" s="568">
        <f t="shared" si="134"/>
        <v>1</v>
      </c>
      <c r="AM326" s="568">
        <f t="shared" si="134"/>
        <v>1</v>
      </c>
      <c r="AN326" s="568">
        <f t="shared" si="134"/>
        <v>1</v>
      </c>
      <c r="AO326" s="568">
        <f t="shared" si="134"/>
        <v>0</v>
      </c>
      <c r="AP326" s="568">
        <f t="shared" si="134"/>
        <v>1</v>
      </c>
      <c r="AQ326" s="568">
        <f t="shared" si="134"/>
        <v>1</v>
      </c>
      <c r="AR326" s="568">
        <f t="shared" si="134"/>
        <v>0</v>
      </c>
      <c r="AS326" s="568">
        <f t="shared" si="134"/>
        <v>0</v>
      </c>
      <c r="AT326" s="568">
        <f t="shared" si="134"/>
        <v>0</v>
      </c>
      <c r="AU326" s="568">
        <f t="shared" si="134"/>
        <v>1</v>
      </c>
      <c r="AV326" s="568">
        <f t="shared" si="134"/>
        <v>1</v>
      </c>
      <c r="AW326" s="568">
        <f t="shared" si="134"/>
        <v>0</v>
      </c>
      <c r="AX326" s="568">
        <f t="shared" si="134"/>
        <v>1</v>
      </c>
      <c r="AY326" s="568">
        <f t="shared" si="134"/>
        <v>1</v>
      </c>
      <c r="AZ326" s="568">
        <f t="shared" si="134"/>
        <v>0</v>
      </c>
      <c r="BA326" s="568">
        <f t="shared" si="134"/>
        <v>1</v>
      </c>
      <c r="BB326" s="568">
        <f t="shared" si="134"/>
        <v>1</v>
      </c>
      <c r="BC326" s="568">
        <f t="shared" si="134"/>
        <v>0</v>
      </c>
      <c r="BD326" s="568">
        <f t="shared" si="134"/>
        <v>1</v>
      </c>
      <c r="BE326" s="568">
        <f t="shared" si="134"/>
        <v>1</v>
      </c>
      <c r="BF326" s="568">
        <f t="shared" si="134"/>
        <v>0</v>
      </c>
      <c r="BG326" s="568">
        <f t="shared" si="134"/>
        <v>0</v>
      </c>
      <c r="BH326" s="568">
        <f t="shared" si="134"/>
        <v>1</v>
      </c>
      <c r="BI326" s="568">
        <f t="shared" si="134"/>
        <v>1</v>
      </c>
      <c r="BJ326" s="568">
        <f t="shared" si="134"/>
        <v>1</v>
      </c>
      <c r="BK326" s="568">
        <f t="shared" si="134"/>
        <v>1</v>
      </c>
      <c r="BL326" s="568">
        <f t="shared" si="134"/>
        <v>1</v>
      </c>
      <c r="BM326" s="568">
        <f t="shared" si="134"/>
        <v>1</v>
      </c>
      <c r="BN326" s="568">
        <f t="shared" si="134"/>
        <v>1</v>
      </c>
      <c r="BO326" s="568">
        <f t="shared" si="134"/>
        <v>1</v>
      </c>
      <c r="BP326" s="568">
        <f t="shared" ref="BP326:CZ326" si="135">BP249</f>
        <v>1</v>
      </c>
      <c r="BQ326" s="568">
        <f t="shared" si="135"/>
        <v>1</v>
      </c>
      <c r="BR326" s="568">
        <f t="shared" si="135"/>
        <v>1</v>
      </c>
      <c r="BS326" s="568">
        <f t="shared" si="135"/>
        <v>1</v>
      </c>
      <c r="BT326" s="568">
        <f t="shared" si="135"/>
        <v>1</v>
      </c>
      <c r="BU326" s="568">
        <f t="shared" si="135"/>
        <v>1</v>
      </c>
      <c r="BV326" s="568">
        <f t="shared" si="135"/>
        <v>1</v>
      </c>
      <c r="BW326" s="568">
        <f t="shared" si="135"/>
        <v>1</v>
      </c>
      <c r="BX326" s="568">
        <f t="shared" si="135"/>
        <v>0</v>
      </c>
      <c r="BY326" s="568">
        <f t="shared" si="135"/>
        <v>1</v>
      </c>
      <c r="BZ326" s="568">
        <f t="shared" si="135"/>
        <v>1</v>
      </c>
      <c r="CA326" s="568">
        <f t="shared" si="135"/>
        <v>1</v>
      </c>
      <c r="CB326" s="568">
        <f t="shared" si="135"/>
        <v>0</v>
      </c>
      <c r="CC326" s="568">
        <f t="shared" si="135"/>
        <v>0</v>
      </c>
      <c r="CD326" s="568">
        <f t="shared" si="135"/>
        <v>0</v>
      </c>
      <c r="CE326" s="568">
        <f t="shared" si="135"/>
        <v>0</v>
      </c>
      <c r="CF326" s="568">
        <f t="shared" si="135"/>
        <v>0</v>
      </c>
      <c r="CG326" s="568">
        <f t="shared" si="135"/>
        <v>0</v>
      </c>
      <c r="CH326" s="568">
        <f t="shared" si="135"/>
        <v>0</v>
      </c>
      <c r="CI326" s="568">
        <f t="shared" si="135"/>
        <v>0</v>
      </c>
      <c r="CJ326" s="568">
        <f t="shared" si="135"/>
        <v>0</v>
      </c>
      <c r="CK326" s="568">
        <f t="shared" si="135"/>
        <v>0</v>
      </c>
      <c r="CL326" s="568">
        <f t="shared" si="135"/>
        <v>0</v>
      </c>
      <c r="CM326" s="568">
        <f t="shared" si="135"/>
        <v>0</v>
      </c>
      <c r="CN326" s="568">
        <f t="shared" si="135"/>
        <v>0</v>
      </c>
      <c r="CO326" s="568">
        <f t="shared" si="135"/>
        <v>0</v>
      </c>
      <c r="CP326" s="568">
        <f t="shared" si="135"/>
        <v>0</v>
      </c>
      <c r="CQ326" s="568">
        <f t="shared" si="135"/>
        <v>0</v>
      </c>
      <c r="CR326" s="568">
        <f t="shared" si="135"/>
        <v>0</v>
      </c>
      <c r="CS326" s="568">
        <f t="shared" si="135"/>
        <v>0</v>
      </c>
      <c r="CT326" s="568">
        <f t="shared" si="135"/>
        <v>0</v>
      </c>
      <c r="CU326" s="568">
        <f t="shared" si="135"/>
        <v>0</v>
      </c>
      <c r="CV326" s="568">
        <f t="shared" si="135"/>
        <v>0</v>
      </c>
      <c r="CW326" s="568">
        <f t="shared" si="135"/>
        <v>0</v>
      </c>
      <c r="CX326" s="568">
        <f t="shared" si="135"/>
        <v>0</v>
      </c>
      <c r="CY326" s="568">
        <f t="shared" si="135"/>
        <v>0</v>
      </c>
      <c r="CZ326" s="568">
        <f t="shared" si="135"/>
        <v>0</v>
      </c>
    </row>
    <row r="327" spans="1:104" s="562" customFormat="1" x14ac:dyDescent="0.3">
      <c r="A327" s="561" t="s">
        <v>1057</v>
      </c>
      <c r="D327" s="562">
        <f>SUM(D285:D326)</f>
        <v>9477446</v>
      </c>
      <c r="E327" s="562">
        <f t="shared" ref="E327:BP327" si="136">SUM(E285:E326)</f>
        <v>158979227</v>
      </c>
      <c r="F327" s="562">
        <f t="shared" si="136"/>
        <v>50242.01</v>
      </c>
      <c r="G327" s="251">
        <f>SUM(G285:G326)</f>
        <v>331586021.00999999</v>
      </c>
      <c r="H327" s="562">
        <f t="shared" si="136"/>
        <v>33798404.009999998</v>
      </c>
      <c r="I327" s="562">
        <f t="shared" si="136"/>
        <v>1684655.01</v>
      </c>
      <c r="J327" s="562">
        <f t="shared" si="136"/>
        <v>11612941.02</v>
      </c>
      <c r="K327" s="562">
        <f t="shared" si="136"/>
        <v>14515582.01</v>
      </c>
      <c r="L327" s="562">
        <f t="shared" si="136"/>
        <v>704235021.00999999</v>
      </c>
      <c r="M327" s="562">
        <f t="shared" si="136"/>
        <v>50248</v>
      </c>
      <c r="N327" s="562">
        <f t="shared" si="136"/>
        <v>5800127.0099999998</v>
      </c>
      <c r="O327" s="562">
        <f t="shared" si="136"/>
        <v>50250.01</v>
      </c>
      <c r="P327" s="562">
        <f t="shared" si="136"/>
        <v>274996636</v>
      </c>
      <c r="Q327" s="562">
        <f t="shared" si="136"/>
        <v>136804615.00999999</v>
      </c>
      <c r="R327" s="562">
        <f t="shared" si="136"/>
        <v>36782937.057999998</v>
      </c>
      <c r="S327" s="562">
        <f t="shared" si="136"/>
        <v>90280423.099999994</v>
      </c>
      <c r="T327" s="562">
        <f t="shared" si="136"/>
        <v>1379379.01</v>
      </c>
      <c r="U327" s="562">
        <f t="shared" si="136"/>
        <v>169855042.09</v>
      </c>
      <c r="V327" s="562">
        <f t="shared" si="136"/>
        <v>351521</v>
      </c>
      <c r="W327" s="562">
        <f t="shared" si="136"/>
        <v>55302140</v>
      </c>
      <c r="X327" s="562">
        <f t="shared" si="136"/>
        <v>181586283.03</v>
      </c>
      <c r="Y327" s="562">
        <f t="shared" si="136"/>
        <v>40138119.009999998</v>
      </c>
      <c r="Z327" s="562">
        <f t="shared" si="136"/>
        <v>11860225.09</v>
      </c>
      <c r="AA327" s="562">
        <f t="shared" si="136"/>
        <v>103959108.00999999</v>
      </c>
      <c r="AB327" s="562">
        <f t="shared" si="136"/>
        <v>4178028</v>
      </c>
      <c r="AC327" s="562">
        <f t="shared" si="136"/>
        <v>919788.01</v>
      </c>
      <c r="AD327" s="562">
        <f t="shared" si="136"/>
        <v>7356179.0099999998</v>
      </c>
      <c r="AE327" s="562">
        <f t="shared" si="136"/>
        <v>21974594.079999998</v>
      </c>
      <c r="AF327" s="562">
        <f t="shared" si="136"/>
        <v>2334687.0599999996</v>
      </c>
      <c r="AG327" s="562">
        <f t="shared" si="136"/>
        <v>239212</v>
      </c>
      <c r="AH327" s="562">
        <f t="shared" si="136"/>
        <v>1343818</v>
      </c>
      <c r="AI327" s="562">
        <f t="shared" si="136"/>
        <v>9506201</v>
      </c>
      <c r="AJ327" s="562">
        <f t="shared" si="136"/>
        <v>61368850.090000004</v>
      </c>
      <c r="AK327" s="562">
        <f t="shared" si="136"/>
        <v>1835427.01</v>
      </c>
      <c r="AL327" s="562">
        <f t="shared" si="136"/>
        <v>240533</v>
      </c>
      <c r="AM327" s="562">
        <f t="shared" si="136"/>
        <v>207035719</v>
      </c>
      <c r="AN327" s="562">
        <f t="shared" si="136"/>
        <v>96584675.00999999</v>
      </c>
      <c r="AO327" s="562">
        <f t="shared" si="136"/>
        <v>50270.01</v>
      </c>
      <c r="AP327" s="562">
        <f t="shared" si="136"/>
        <v>31929512</v>
      </c>
      <c r="AQ327" s="562">
        <f t="shared" si="136"/>
        <v>189167448.07999998</v>
      </c>
      <c r="AR327" s="562">
        <f t="shared" si="136"/>
        <v>50272.01</v>
      </c>
      <c r="AS327" s="562">
        <f t="shared" si="136"/>
        <v>50273.01</v>
      </c>
      <c r="AT327" s="562">
        <f t="shared" si="136"/>
        <v>50274.01</v>
      </c>
      <c r="AU327" s="562">
        <f t="shared" si="136"/>
        <v>86540794.079999998</v>
      </c>
      <c r="AV327" s="562">
        <f t="shared" si="136"/>
        <v>2889094.01</v>
      </c>
      <c r="AW327" s="562">
        <f t="shared" si="136"/>
        <v>50277.01</v>
      </c>
      <c r="AX327" s="562">
        <f t="shared" si="136"/>
        <v>30848474.009999998</v>
      </c>
      <c r="AY327" s="562">
        <f t="shared" si="136"/>
        <v>15347197.01</v>
      </c>
      <c r="AZ327" s="562">
        <f t="shared" si="136"/>
        <v>50280.09</v>
      </c>
      <c r="BA327" s="562">
        <f t="shared" si="136"/>
        <v>368780.01</v>
      </c>
      <c r="BB327" s="562">
        <f t="shared" si="136"/>
        <v>13106340.01</v>
      </c>
      <c r="BC327" s="562">
        <f t="shared" si="136"/>
        <v>50283.1</v>
      </c>
      <c r="BD327" s="562">
        <f t="shared" si="136"/>
        <v>515697</v>
      </c>
      <c r="BE327" s="562">
        <f t="shared" si="136"/>
        <v>202823758.09</v>
      </c>
      <c r="BF327" s="562">
        <f t="shared" si="136"/>
        <v>50286.1</v>
      </c>
      <c r="BG327" s="562">
        <f t="shared" si="136"/>
        <v>50287</v>
      </c>
      <c r="BH327" s="562">
        <f t="shared" si="136"/>
        <v>26811054.009999998</v>
      </c>
      <c r="BI327" s="562">
        <f t="shared" si="136"/>
        <v>18948079.009999998</v>
      </c>
      <c r="BJ327" s="562">
        <f t="shared" si="136"/>
        <v>4349263.01</v>
      </c>
      <c r="BK327" s="562">
        <f t="shared" si="136"/>
        <v>32471279.079999998</v>
      </c>
      <c r="BL327" s="562">
        <f t="shared" si="136"/>
        <v>31597461.009999998</v>
      </c>
      <c r="BM327" s="562">
        <f t="shared" si="136"/>
        <v>288384</v>
      </c>
      <c r="BN327" s="562">
        <f t="shared" si="136"/>
        <v>38459723.049999997</v>
      </c>
      <c r="BO327" s="562">
        <f t="shared" si="136"/>
        <v>15933397.01</v>
      </c>
      <c r="BP327" s="562">
        <f t="shared" si="136"/>
        <v>4628257.01</v>
      </c>
      <c r="BQ327" s="562">
        <f t="shared" ref="BQ327:CZ327" si="137">SUM(BQ285:BQ326)</f>
        <v>11904925.01</v>
      </c>
      <c r="BR327" s="562">
        <f t="shared" si="137"/>
        <v>17548738</v>
      </c>
      <c r="BS327" s="562">
        <f t="shared" si="137"/>
        <v>330448728</v>
      </c>
      <c r="BT327" s="562">
        <f t="shared" si="137"/>
        <v>9490077.0099999998</v>
      </c>
      <c r="BU327" s="562">
        <f t="shared" si="137"/>
        <v>26674633.009999998</v>
      </c>
      <c r="BV327" s="562">
        <f t="shared" si="137"/>
        <v>4480041.01</v>
      </c>
      <c r="BW327" s="562">
        <f t="shared" si="137"/>
        <v>7454561.0099999998</v>
      </c>
      <c r="BX327" s="562">
        <f t="shared" si="137"/>
        <v>50301</v>
      </c>
      <c r="BY327" s="562">
        <f t="shared" si="137"/>
        <v>327876</v>
      </c>
      <c r="BZ327" s="562">
        <f t="shared" si="137"/>
        <v>157015058.00999999</v>
      </c>
      <c r="CA327" s="562">
        <f t="shared" si="137"/>
        <v>563038</v>
      </c>
      <c r="CB327" s="562">
        <f t="shared" si="137"/>
        <v>0</v>
      </c>
      <c r="CC327" s="562">
        <f t="shared" si="137"/>
        <v>0</v>
      </c>
      <c r="CD327" s="562">
        <f t="shared" si="137"/>
        <v>0</v>
      </c>
      <c r="CE327" s="562">
        <f t="shared" si="137"/>
        <v>0</v>
      </c>
      <c r="CF327" s="562">
        <f t="shared" si="137"/>
        <v>0</v>
      </c>
      <c r="CG327" s="562">
        <f t="shared" si="137"/>
        <v>0</v>
      </c>
      <c r="CH327" s="562">
        <f t="shared" si="137"/>
        <v>0</v>
      </c>
      <c r="CI327" s="562">
        <f t="shared" si="137"/>
        <v>0</v>
      </c>
      <c r="CJ327" s="562">
        <f t="shared" si="137"/>
        <v>0</v>
      </c>
      <c r="CK327" s="562">
        <f t="shared" si="137"/>
        <v>0</v>
      </c>
      <c r="CL327" s="562">
        <f t="shared" si="137"/>
        <v>0</v>
      </c>
      <c r="CM327" s="562">
        <f t="shared" si="137"/>
        <v>0</v>
      </c>
      <c r="CN327" s="562">
        <f t="shared" si="137"/>
        <v>0</v>
      </c>
      <c r="CO327" s="562">
        <f t="shared" si="137"/>
        <v>0</v>
      </c>
      <c r="CP327" s="562">
        <f t="shared" si="137"/>
        <v>0</v>
      </c>
      <c r="CQ327" s="562">
        <f t="shared" si="137"/>
        <v>0</v>
      </c>
      <c r="CR327" s="562">
        <f t="shared" si="137"/>
        <v>0</v>
      </c>
      <c r="CS327" s="562">
        <f t="shared" si="137"/>
        <v>0</v>
      </c>
      <c r="CT327" s="562">
        <f t="shared" si="137"/>
        <v>0</v>
      </c>
      <c r="CU327" s="562">
        <f t="shared" si="137"/>
        <v>0</v>
      </c>
      <c r="CV327" s="562">
        <f t="shared" si="137"/>
        <v>0</v>
      </c>
      <c r="CW327" s="562">
        <f t="shared" si="137"/>
        <v>0</v>
      </c>
      <c r="CX327" s="562">
        <f t="shared" si="137"/>
        <v>0</v>
      </c>
      <c r="CY327" s="562">
        <f t="shared" si="137"/>
        <v>0</v>
      </c>
      <c r="CZ327" s="562">
        <f t="shared" si="137"/>
        <v>0</v>
      </c>
    </row>
    <row r="328" spans="1:104" s="562" customFormat="1" x14ac:dyDescent="0.3">
      <c r="A328" s="561"/>
    </row>
    <row r="329" spans="1:104" s="562" customFormat="1" x14ac:dyDescent="0.3">
      <c r="A329" s="561" t="s">
        <v>1730</v>
      </c>
      <c r="D329" s="800">
        <f>D280-D327</f>
        <v>33286452.395000003</v>
      </c>
      <c r="E329" s="800">
        <f t="shared" ref="E329:BP329" si="138">E280-E327</f>
        <v>552836175.91499996</v>
      </c>
      <c r="F329" s="800">
        <f t="shared" si="138"/>
        <v>0</v>
      </c>
      <c r="G329" s="800">
        <f t="shared" si="138"/>
        <v>2250904652.9420004</v>
      </c>
      <c r="H329" s="800">
        <f t="shared" si="138"/>
        <v>248283537.96500003</v>
      </c>
      <c r="I329" s="800">
        <f t="shared" si="138"/>
        <v>13653841.689999999</v>
      </c>
      <c r="J329" s="800">
        <f t="shared" si="138"/>
        <v>103090393.33</v>
      </c>
      <c r="K329" s="800">
        <f t="shared" si="138"/>
        <v>77485475.459999993</v>
      </c>
      <c r="L329" s="800">
        <f t="shared" si="138"/>
        <v>2484945947.8000002</v>
      </c>
      <c r="M329" s="800">
        <f t="shared" si="138"/>
        <v>0</v>
      </c>
      <c r="N329" s="800">
        <f t="shared" si="138"/>
        <v>43898384.510000005</v>
      </c>
      <c r="O329" s="800">
        <f t="shared" si="138"/>
        <v>0</v>
      </c>
      <c r="P329" s="800">
        <f t="shared" si="138"/>
        <v>844257331.34899998</v>
      </c>
      <c r="Q329" s="800">
        <f t="shared" si="138"/>
        <v>639081098.69000006</v>
      </c>
      <c r="R329" s="800">
        <f t="shared" si="138"/>
        <v>318942627.37199998</v>
      </c>
      <c r="S329" s="800">
        <f t="shared" si="138"/>
        <v>821868616.80999994</v>
      </c>
      <c r="T329" s="800">
        <f t="shared" si="138"/>
        <v>16998010.579999998</v>
      </c>
      <c r="U329" s="800">
        <f t="shared" si="138"/>
        <v>1609091843.23</v>
      </c>
      <c r="V329" s="800">
        <f t="shared" si="138"/>
        <v>1828671.4900000002</v>
      </c>
      <c r="W329" s="800">
        <f t="shared" si="138"/>
        <v>240737496.13</v>
      </c>
      <c r="X329" s="800">
        <f t="shared" si="138"/>
        <v>543402506.64999998</v>
      </c>
      <c r="Y329" s="800">
        <f t="shared" si="138"/>
        <v>195978555.59580001</v>
      </c>
      <c r="Z329" s="800">
        <f t="shared" si="138"/>
        <v>187124830.45199999</v>
      </c>
      <c r="AA329" s="800">
        <f t="shared" si="138"/>
        <v>219587636.31</v>
      </c>
      <c r="AB329" s="800">
        <f t="shared" si="138"/>
        <v>20857311</v>
      </c>
      <c r="AC329" s="800">
        <f t="shared" si="138"/>
        <v>10693597.453</v>
      </c>
      <c r="AD329" s="800">
        <f t="shared" si="138"/>
        <v>90621695.929999992</v>
      </c>
      <c r="AE329" s="800">
        <f t="shared" si="138"/>
        <v>215990033.69999999</v>
      </c>
      <c r="AF329" s="800">
        <f t="shared" si="138"/>
        <v>8919286.7800000012</v>
      </c>
      <c r="AG329" s="800">
        <f t="shared" si="138"/>
        <v>1243555.74</v>
      </c>
      <c r="AH329" s="800">
        <f t="shared" si="138"/>
        <v>6044433.5300000003</v>
      </c>
      <c r="AI329" s="800">
        <f t="shared" si="138"/>
        <v>49252804.125</v>
      </c>
      <c r="AJ329" s="800">
        <f t="shared" si="138"/>
        <v>526744827.12</v>
      </c>
      <c r="AK329" s="800">
        <f t="shared" si="138"/>
        <v>18108745.359999999</v>
      </c>
      <c r="AL329" s="800">
        <f t="shared" si="138"/>
        <v>1038743.4099999999</v>
      </c>
      <c r="AM329" s="800">
        <f t="shared" si="138"/>
        <v>615887728.35000002</v>
      </c>
      <c r="AN329" s="800">
        <f t="shared" si="138"/>
        <v>824366712.64849997</v>
      </c>
      <c r="AO329" s="800">
        <f t="shared" si="138"/>
        <v>0</v>
      </c>
      <c r="AP329" s="800">
        <f t="shared" si="138"/>
        <v>129705547.507</v>
      </c>
      <c r="AQ329" s="800">
        <f t="shared" si="138"/>
        <v>1530627486.99</v>
      </c>
      <c r="AR329" s="800">
        <f t="shared" si="138"/>
        <v>0</v>
      </c>
      <c r="AS329" s="800">
        <f t="shared" si="138"/>
        <v>0</v>
      </c>
      <c r="AT329" s="800">
        <f t="shared" si="138"/>
        <v>0</v>
      </c>
      <c r="AU329" s="800">
        <f t="shared" si="138"/>
        <v>603879215.74000001</v>
      </c>
      <c r="AV329" s="800">
        <f t="shared" si="138"/>
        <v>19721001.68</v>
      </c>
      <c r="AW329" s="800">
        <f t="shared" si="138"/>
        <v>0</v>
      </c>
      <c r="AX329" s="800">
        <f t="shared" si="138"/>
        <v>175927358.60000002</v>
      </c>
      <c r="AY329" s="800">
        <f t="shared" si="138"/>
        <v>133371164.32000001</v>
      </c>
      <c r="AZ329" s="800">
        <f t="shared" si="138"/>
        <v>0</v>
      </c>
      <c r="BA329" s="800">
        <f t="shared" si="138"/>
        <v>1968795.5599999998</v>
      </c>
      <c r="BB329" s="800">
        <f t="shared" si="138"/>
        <v>91427915.25</v>
      </c>
      <c r="BC329" s="800">
        <f t="shared" si="138"/>
        <v>0</v>
      </c>
      <c r="BD329" s="800">
        <f t="shared" si="138"/>
        <v>3271947.5</v>
      </c>
      <c r="BE329" s="800">
        <f t="shared" si="138"/>
        <v>1150122995.6600001</v>
      </c>
      <c r="BF329" s="800">
        <f t="shared" si="138"/>
        <v>0</v>
      </c>
      <c r="BG329" s="800">
        <f t="shared" si="138"/>
        <v>0</v>
      </c>
      <c r="BH329" s="800">
        <f t="shared" si="138"/>
        <v>113243868.08000001</v>
      </c>
      <c r="BI329" s="800">
        <f t="shared" si="138"/>
        <v>117778786.26000002</v>
      </c>
      <c r="BJ329" s="800">
        <f t="shared" si="138"/>
        <v>46705901.600000001</v>
      </c>
      <c r="BK329" s="800">
        <f t="shared" si="138"/>
        <v>328450651.14000005</v>
      </c>
      <c r="BL329" s="800">
        <f t="shared" si="138"/>
        <v>169863306.34</v>
      </c>
      <c r="BM329" s="800">
        <f t="shared" si="138"/>
        <v>1812714</v>
      </c>
      <c r="BN329" s="800">
        <f t="shared" si="138"/>
        <v>271664961.51999998</v>
      </c>
      <c r="BO329" s="800">
        <f t="shared" si="138"/>
        <v>140996226</v>
      </c>
      <c r="BP329" s="800">
        <f t="shared" si="138"/>
        <v>74687068.559999987</v>
      </c>
      <c r="BQ329" s="800">
        <f t="shared" ref="BQ329:CZ329" si="139">BQ280-BQ327</f>
        <v>90201765.25</v>
      </c>
      <c r="BR329" s="800">
        <f t="shared" si="139"/>
        <v>54448893.939999998</v>
      </c>
      <c r="BS329" s="800">
        <f t="shared" si="139"/>
        <v>863542543.31999993</v>
      </c>
      <c r="BT329" s="800">
        <f t="shared" si="139"/>
        <v>77844081.61999999</v>
      </c>
      <c r="BU329" s="800">
        <f t="shared" si="139"/>
        <v>157174083.17000002</v>
      </c>
      <c r="BV329" s="800">
        <f t="shared" si="139"/>
        <v>47515860.039999999</v>
      </c>
      <c r="BW329" s="800">
        <f t="shared" si="139"/>
        <v>46196637.710000001</v>
      </c>
      <c r="BX329" s="800">
        <f t="shared" si="139"/>
        <v>0</v>
      </c>
      <c r="BY329" s="800">
        <f t="shared" si="139"/>
        <v>1796619.38</v>
      </c>
      <c r="BZ329" s="800">
        <f t="shared" si="139"/>
        <v>955037203.1400001</v>
      </c>
      <c r="CA329" s="800">
        <f t="shared" si="139"/>
        <v>1741771.85</v>
      </c>
      <c r="CB329" s="800">
        <f t="shared" si="139"/>
        <v>0</v>
      </c>
      <c r="CC329" s="800">
        <f t="shared" si="139"/>
        <v>0</v>
      </c>
      <c r="CD329" s="800">
        <f t="shared" si="139"/>
        <v>0</v>
      </c>
      <c r="CE329" s="800">
        <f t="shared" si="139"/>
        <v>0</v>
      </c>
      <c r="CF329" s="800">
        <f t="shared" si="139"/>
        <v>0</v>
      </c>
      <c r="CG329" s="800">
        <f t="shared" si="139"/>
        <v>0</v>
      </c>
      <c r="CH329" s="800">
        <f t="shared" si="139"/>
        <v>0</v>
      </c>
      <c r="CI329" s="800">
        <f t="shared" si="139"/>
        <v>0</v>
      </c>
      <c r="CJ329" s="800">
        <f t="shared" si="139"/>
        <v>0</v>
      </c>
      <c r="CK329" s="800">
        <f t="shared" si="139"/>
        <v>0</v>
      </c>
      <c r="CL329" s="800">
        <f t="shared" si="139"/>
        <v>0</v>
      </c>
      <c r="CM329" s="800">
        <f t="shared" si="139"/>
        <v>0</v>
      </c>
      <c r="CN329" s="800">
        <f t="shared" si="139"/>
        <v>0</v>
      </c>
      <c r="CO329" s="800">
        <f t="shared" si="139"/>
        <v>0</v>
      </c>
      <c r="CP329" s="800">
        <f t="shared" si="139"/>
        <v>0</v>
      </c>
      <c r="CQ329" s="800">
        <f t="shared" si="139"/>
        <v>0</v>
      </c>
      <c r="CR329" s="800">
        <f t="shared" si="139"/>
        <v>0</v>
      </c>
      <c r="CS329" s="800">
        <f t="shared" si="139"/>
        <v>0</v>
      </c>
      <c r="CT329" s="800">
        <f t="shared" si="139"/>
        <v>0</v>
      </c>
      <c r="CU329" s="800">
        <f t="shared" si="139"/>
        <v>0</v>
      </c>
      <c r="CV329" s="800">
        <f t="shared" si="139"/>
        <v>0</v>
      </c>
      <c r="CW329" s="800">
        <f t="shared" si="139"/>
        <v>0</v>
      </c>
      <c r="CX329" s="800">
        <f t="shared" si="139"/>
        <v>0</v>
      </c>
      <c r="CY329" s="800">
        <f t="shared" si="139"/>
        <v>0</v>
      </c>
      <c r="CZ329" s="800">
        <f t="shared" si="139"/>
        <v>0</v>
      </c>
    </row>
    <row r="330" spans="1:104" s="562" customFormat="1" x14ac:dyDescent="0.3">
      <c r="A330" s="561"/>
    </row>
    <row r="331" spans="1:104" x14ac:dyDescent="0.3">
      <c r="A331" s="563">
        <v>1</v>
      </c>
      <c r="B331" s="180"/>
      <c r="C331" s="180"/>
      <c r="D331" s="564">
        <f t="shared" ref="D331:AI331" si="140">D258</f>
        <v>6907418</v>
      </c>
      <c r="E331" s="564">
        <f t="shared" si="140"/>
        <v>115256806</v>
      </c>
      <c r="F331" s="564">
        <f t="shared" si="140"/>
        <v>0</v>
      </c>
      <c r="G331" s="564">
        <f t="shared" si="140"/>
        <v>180317889</v>
      </c>
      <c r="H331" s="564">
        <f t="shared" si="140"/>
        <v>18940554</v>
      </c>
      <c r="I331" s="564">
        <f t="shared" si="140"/>
        <v>818393</v>
      </c>
      <c r="J331" s="564">
        <f t="shared" si="140"/>
        <v>4349504</v>
      </c>
      <c r="K331" s="564">
        <f t="shared" si="140"/>
        <v>5931555</v>
      </c>
      <c r="L331" s="564">
        <f t="shared" si="140"/>
        <v>371259393</v>
      </c>
      <c r="M331" s="564">
        <f t="shared" si="140"/>
        <v>0</v>
      </c>
      <c r="N331" s="564">
        <f t="shared" si="140"/>
        <v>2505832</v>
      </c>
      <c r="O331" s="564">
        <f t="shared" si="140"/>
        <v>0</v>
      </c>
      <c r="P331" s="564">
        <f t="shared" si="140"/>
        <v>198800343</v>
      </c>
      <c r="Q331" s="564">
        <f t="shared" si="140"/>
        <v>74123689</v>
      </c>
      <c r="R331" s="564">
        <f t="shared" si="140"/>
        <v>18010406</v>
      </c>
      <c r="S331" s="564">
        <f t="shared" si="140"/>
        <v>40480548</v>
      </c>
      <c r="T331" s="564">
        <f t="shared" si="140"/>
        <v>878366</v>
      </c>
      <c r="U331" s="564">
        <f t="shared" si="140"/>
        <v>60962430</v>
      </c>
      <c r="V331" s="564">
        <f t="shared" si="140"/>
        <v>278063</v>
      </c>
      <c r="W331" s="564">
        <f t="shared" si="140"/>
        <v>37621797</v>
      </c>
      <c r="X331" s="564">
        <f t="shared" si="140"/>
        <v>141351324</v>
      </c>
      <c r="Y331" s="564">
        <f t="shared" si="140"/>
        <v>22742424</v>
      </c>
      <c r="Z331" s="564">
        <f t="shared" si="140"/>
        <v>5967610</v>
      </c>
      <c r="AA331" s="564">
        <f t="shared" si="140"/>
        <v>36458646</v>
      </c>
      <c r="AB331" s="564">
        <f t="shared" si="140"/>
        <v>2507307</v>
      </c>
      <c r="AC331" s="564">
        <f t="shared" si="140"/>
        <v>706965</v>
      </c>
      <c r="AD331" s="564">
        <f t="shared" si="140"/>
        <v>4201260</v>
      </c>
      <c r="AE331" s="564">
        <f t="shared" si="140"/>
        <v>11672864</v>
      </c>
      <c r="AF331" s="564">
        <f t="shared" si="140"/>
        <v>1714491</v>
      </c>
      <c r="AG331" s="564">
        <f t="shared" si="140"/>
        <v>185295</v>
      </c>
      <c r="AH331" s="564">
        <f t="shared" si="140"/>
        <v>1270346</v>
      </c>
      <c r="AI331" s="564">
        <f t="shared" si="140"/>
        <v>7175023</v>
      </c>
      <c r="AJ331" s="564">
        <f t="shared" ref="AJ331:BO331" si="141">AJ258</f>
        <v>24151368</v>
      </c>
      <c r="AK331" s="564">
        <f t="shared" si="141"/>
        <v>1361424</v>
      </c>
      <c r="AL331" s="564">
        <f t="shared" si="141"/>
        <v>159398</v>
      </c>
      <c r="AM331" s="564">
        <f t="shared" si="141"/>
        <v>150929802</v>
      </c>
      <c r="AN331" s="564">
        <f t="shared" si="141"/>
        <v>50907108</v>
      </c>
      <c r="AO331" s="564">
        <f t="shared" si="141"/>
        <v>0</v>
      </c>
      <c r="AP331" s="564">
        <f t="shared" si="141"/>
        <v>25433246</v>
      </c>
      <c r="AQ331" s="564">
        <f t="shared" si="141"/>
        <v>79490346</v>
      </c>
      <c r="AR331" s="564">
        <f t="shared" si="141"/>
        <v>0</v>
      </c>
      <c r="AS331" s="564">
        <f t="shared" si="141"/>
        <v>0</v>
      </c>
      <c r="AT331" s="564">
        <f t="shared" si="141"/>
        <v>0</v>
      </c>
      <c r="AU331" s="564">
        <f t="shared" si="141"/>
        <v>36707965</v>
      </c>
      <c r="AV331" s="564">
        <f t="shared" si="141"/>
        <v>1139957</v>
      </c>
      <c r="AW331" s="564">
        <f t="shared" si="141"/>
        <v>0</v>
      </c>
      <c r="AX331" s="564">
        <f t="shared" si="141"/>
        <v>17185221</v>
      </c>
      <c r="AY331" s="564">
        <f t="shared" si="141"/>
        <v>8535374</v>
      </c>
      <c r="AZ331" s="564">
        <f t="shared" si="141"/>
        <v>0</v>
      </c>
      <c r="BA331" s="564">
        <f t="shared" si="141"/>
        <v>257423</v>
      </c>
      <c r="BB331" s="564">
        <f t="shared" si="141"/>
        <v>7806767</v>
      </c>
      <c r="BC331" s="564">
        <f t="shared" si="141"/>
        <v>0</v>
      </c>
      <c r="BD331" s="564">
        <f t="shared" si="141"/>
        <v>448225</v>
      </c>
      <c r="BE331" s="564">
        <f t="shared" si="141"/>
        <v>66778396</v>
      </c>
      <c r="BF331" s="564">
        <f t="shared" si="141"/>
        <v>0</v>
      </c>
      <c r="BG331" s="564">
        <f t="shared" si="141"/>
        <v>0</v>
      </c>
      <c r="BH331" s="564">
        <f t="shared" si="141"/>
        <v>13203243</v>
      </c>
      <c r="BI331" s="564">
        <f t="shared" si="141"/>
        <v>13452584</v>
      </c>
      <c r="BJ331" s="564">
        <f t="shared" si="141"/>
        <v>1264606</v>
      </c>
      <c r="BK331" s="564">
        <f t="shared" si="141"/>
        <v>18097402</v>
      </c>
      <c r="BL331" s="564">
        <f t="shared" si="141"/>
        <v>16925786</v>
      </c>
      <c r="BM331" s="564">
        <f t="shared" si="141"/>
        <v>237783</v>
      </c>
      <c r="BN331" s="564">
        <f t="shared" si="141"/>
        <v>20054096</v>
      </c>
      <c r="BO331" s="564">
        <f t="shared" si="141"/>
        <v>9837493</v>
      </c>
      <c r="BP331" s="564">
        <f t="shared" ref="BP331:CZ331" si="142">BP258</f>
        <v>2548726</v>
      </c>
      <c r="BQ331" s="564">
        <f t="shared" si="142"/>
        <v>5802420</v>
      </c>
      <c r="BR331" s="564">
        <f t="shared" si="142"/>
        <v>15686236</v>
      </c>
      <c r="BS331" s="564">
        <f t="shared" si="142"/>
        <v>289168054</v>
      </c>
      <c r="BT331" s="564">
        <f t="shared" si="142"/>
        <v>6001654</v>
      </c>
      <c r="BU331" s="564">
        <f t="shared" si="142"/>
        <v>8268115</v>
      </c>
      <c r="BV331" s="564">
        <f t="shared" si="142"/>
        <v>2629744</v>
      </c>
      <c r="BW331" s="564">
        <f t="shared" si="142"/>
        <v>5087501</v>
      </c>
      <c r="BX331" s="564">
        <f t="shared" si="142"/>
        <v>0</v>
      </c>
      <c r="BY331" s="564">
        <f t="shared" si="142"/>
        <v>262073</v>
      </c>
      <c r="BZ331" s="564">
        <f t="shared" si="142"/>
        <v>97289750</v>
      </c>
      <c r="CA331" s="564">
        <f t="shared" si="142"/>
        <v>379794</v>
      </c>
      <c r="CB331" s="564">
        <f t="shared" si="142"/>
        <v>0</v>
      </c>
      <c r="CC331" s="564">
        <f t="shared" si="142"/>
        <v>0</v>
      </c>
      <c r="CD331" s="564">
        <f t="shared" si="142"/>
        <v>0</v>
      </c>
      <c r="CE331" s="564">
        <f t="shared" si="142"/>
        <v>0</v>
      </c>
      <c r="CF331" s="564">
        <f t="shared" si="142"/>
        <v>0</v>
      </c>
      <c r="CG331" s="564">
        <f t="shared" si="142"/>
        <v>0</v>
      </c>
      <c r="CH331" s="564">
        <f t="shared" si="142"/>
        <v>0</v>
      </c>
      <c r="CI331" s="564">
        <f t="shared" si="142"/>
        <v>0</v>
      </c>
      <c r="CJ331" s="564">
        <f t="shared" si="142"/>
        <v>0</v>
      </c>
      <c r="CK331" s="564">
        <f t="shared" si="142"/>
        <v>0</v>
      </c>
      <c r="CL331" s="564">
        <f t="shared" si="142"/>
        <v>0</v>
      </c>
      <c r="CM331" s="564">
        <f t="shared" si="142"/>
        <v>0</v>
      </c>
      <c r="CN331" s="564">
        <f t="shared" si="142"/>
        <v>0</v>
      </c>
      <c r="CO331" s="564">
        <f t="shared" si="142"/>
        <v>0</v>
      </c>
      <c r="CP331" s="564">
        <f t="shared" si="142"/>
        <v>0</v>
      </c>
      <c r="CQ331" s="564">
        <f t="shared" si="142"/>
        <v>0</v>
      </c>
      <c r="CR331" s="564">
        <f t="shared" si="142"/>
        <v>0</v>
      </c>
      <c r="CS331" s="564">
        <f t="shared" si="142"/>
        <v>0</v>
      </c>
      <c r="CT331" s="564">
        <f t="shared" si="142"/>
        <v>0</v>
      </c>
      <c r="CU331" s="564">
        <f t="shared" si="142"/>
        <v>0</v>
      </c>
      <c r="CV331" s="564">
        <f t="shared" si="142"/>
        <v>0</v>
      </c>
      <c r="CW331" s="564">
        <f t="shared" si="142"/>
        <v>0</v>
      </c>
      <c r="CX331" s="564">
        <f t="shared" si="142"/>
        <v>0</v>
      </c>
      <c r="CY331" s="564">
        <f t="shared" si="142"/>
        <v>0</v>
      </c>
      <c r="CZ331" s="564">
        <f t="shared" si="142"/>
        <v>0</v>
      </c>
    </row>
    <row r="332" spans="1:104" x14ac:dyDescent="0.3">
      <c r="A332" s="563">
        <v>2</v>
      </c>
      <c r="B332" s="180"/>
      <c r="C332" s="180"/>
      <c r="D332" s="564">
        <f t="shared" ref="D332:AI332" si="143">D259</f>
        <v>125753</v>
      </c>
      <c r="E332" s="564">
        <f t="shared" si="143"/>
        <v>9636713</v>
      </c>
      <c r="F332" s="564">
        <f t="shared" si="143"/>
        <v>0</v>
      </c>
      <c r="G332" s="564">
        <f t="shared" si="143"/>
        <v>8106811</v>
      </c>
      <c r="H332" s="564">
        <f t="shared" si="143"/>
        <v>617572</v>
      </c>
      <c r="I332" s="564">
        <f t="shared" si="143"/>
        <v>16822</v>
      </c>
      <c r="J332" s="564">
        <f t="shared" si="143"/>
        <v>49695</v>
      </c>
      <c r="K332" s="564">
        <f t="shared" si="143"/>
        <v>495399</v>
      </c>
      <c r="L332" s="564">
        <f t="shared" si="143"/>
        <v>17536164</v>
      </c>
      <c r="M332" s="564">
        <f t="shared" si="143"/>
        <v>0</v>
      </c>
      <c r="N332" s="564">
        <f t="shared" si="143"/>
        <v>185264</v>
      </c>
      <c r="O332" s="564">
        <f t="shared" si="143"/>
        <v>0</v>
      </c>
      <c r="P332" s="564">
        <f t="shared" si="143"/>
        <v>8676254</v>
      </c>
      <c r="Q332" s="564">
        <f t="shared" si="143"/>
        <v>10019177</v>
      </c>
      <c r="R332" s="564">
        <f t="shared" si="143"/>
        <v>1516557</v>
      </c>
      <c r="S332" s="564">
        <f t="shared" si="143"/>
        <v>2808783</v>
      </c>
      <c r="T332" s="564">
        <f t="shared" si="143"/>
        <v>116694</v>
      </c>
      <c r="U332" s="564">
        <f t="shared" si="143"/>
        <v>3584679</v>
      </c>
      <c r="V332" s="564">
        <f t="shared" si="143"/>
        <v>2859</v>
      </c>
      <c r="W332" s="564">
        <f t="shared" si="143"/>
        <v>2557460</v>
      </c>
      <c r="X332" s="564">
        <f t="shared" si="143"/>
        <v>3538860</v>
      </c>
      <c r="Y332" s="564">
        <f t="shared" si="143"/>
        <v>1198770</v>
      </c>
      <c r="Z332" s="564">
        <f t="shared" si="143"/>
        <v>153385</v>
      </c>
      <c r="AA332" s="564">
        <f t="shared" si="143"/>
        <v>17263989</v>
      </c>
      <c r="AB332" s="564">
        <f t="shared" si="143"/>
        <v>540012</v>
      </c>
      <c r="AC332" s="564">
        <f t="shared" si="143"/>
        <v>4905</v>
      </c>
      <c r="AD332" s="564">
        <f t="shared" si="143"/>
        <v>46051</v>
      </c>
      <c r="AE332" s="564">
        <f t="shared" si="143"/>
        <v>750033</v>
      </c>
      <c r="AF332" s="564">
        <f t="shared" si="143"/>
        <v>253779</v>
      </c>
      <c r="AG332" s="564">
        <f t="shared" si="143"/>
        <v>1204</v>
      </c>
      <c r="AH332" s="564">
        <f t="shared" si="143"/>
        <v>11358</v>
      </c>
      <c r="AI332" s="564">
        <f t="shared" si="143"/>
        <v>451332</v>
      </c>
      <c r="AJ332" s="564">
        <f t="shared" ref="AJ332:BO332" si="144">AJ259</f>
        <v>3901246</v>
      </c>
      <c r="AK332" s="564">
        <f t="shared" si="144"/>
        <v>81028</v>
      </c>
      <c r="AL332" s="564">
        <f t="shared" si="144"/>
        <v>13107</v>
      </c>
      <c r="AM332" s="564">
        <f t="shared" si="144"/>
        <v>10671786</v>
      </c>
      <c r="AN332" s="564">
        <f t="shared" si="144"/>
        <v>4629352</v>
      </c>
      <c r="AO332" s="564">
        <f t="shared" si="144"/>
        <v>0</v>
      </c>
      <c r="AP332" s="564">
        <f t="shared" si="144"/>
        <v>1609692</v>
      </c>
      <c r="AQ332" s="564">
        <f t="shared" si="144"/>
        <v>6871878</v>
      </c>
      <c r="AR332" s="564">
        <f t="shared" si="144"/>
        <v>0</v>
      </c>
      <c r="AS332" s="564">
        <f t="shared" si="144"/>
        <v>0</v>
      </c>
      <c r="AT332" s="564">
        <f t="shared" si="144"/>
        <v>0</v>
      </c>
      <c r="AU332" s="564">
        <f t="shared" si="144"/>
        <v>2609064</v>
      </c>
      <c r="AV332" s="564">
        <f t="shared" si="144"/>
        <v>4993</v>
      </c>
      <c r="AW332" s="564">
        <f t="shared" si="144"/>
        <v>0</v>
      </c>
      <c r="AX332" s="564">
        <f t="shared" si="144"/>
        <v>567409</v>
      </c>
      <c r="AY332" s="564">
        <f t="shared" si="144"/>
        <v>1071497</v>
      </c>
      <c r="AZ332" s="564">
        <f t="shared" si="144"/>
        <v>0</v>
      </c>
      <c r="BA332" s="564">
        <f t="shared" si="144"/>
        <v>0</v>
      </c>
      <c r="BB332" s="564">
        <f t="shared" si="144"/>
        <v>878514</v>
      </c>
      <c r="BC332" s="564">
        <f t="shared" si="144"/>
        <v>0</v>
      </c>
      <c r="BD332" s="564">
        <f t="shared" si="144"/>
        <v>1038</v>
      </c>
      <c r="BE332" s="564">
        <f t="shared" si="144"/>
        <v>4203560</v>
      </c>
      <c r="BF332" s="564">
        <f t="shared" si="144"/>
        <v>0</v>
      </c>
      <c r="BG332" s="564">
        <f t="shared" si="144"/>
        <v>0</v>
      </c>
      <c r="BH332" s="564">
        <f t="shared" si="144"/>
        <v>56836</v>
      </c>
      <c r="BI332" s="564">
        <f t="shared" si="144"/>
        <v>452069</v>
      </c>
      <c r="BJ332" s="564">
        <f t="shared" si="144"/>
        <v>48085</v>
      </c>
      <c r="BK332" s="564">
        <f t="shared" si="144"/>
        <v>253703</v>
      </c>
      <c r="BL332" s="564">
        <f t="shared" si="144"/>
        <v>440329</v>
      </c>
      <c r="BM332" s="564">
        <f t="shared" si="144"/>
        <v>0</v>
      </c>
      <c r="BN332" s="564">
        <f t="shared" si="144"/>
        <v>1147176</v>
      </c>
      <c r="BO332" s="564">
        <f t="shared" si="144"/>
        <v>419698</v>
      </c>
      <c r="BP332" s="564">
        <f t="shared" ref="BP332:CZ332" si="145">BP259</f>
        <v>34342</v>
      </c>
      <c r="BQ332" s="564">
        <f t="shared" si="145"/>
        <v>102774</v>
      </c>
      <c r="BR332" s="564">
        <f t="shared" si="145"/>
        <v>183128</v>
      </c>
      <c r="BS332" s="564">
        <f t="shared" si="145"/>
        <v>3251311</v>
      </c>
      <c r="BT332" s="564">
        <f t="shared" si="145"/>
        <v>117767</v>
      </c>
      <c r="BU332" s="564">
        <f t="shared" si="145"/>
        <v>6173152</v>
      </c>
      <c r="BV332" s="564">
        <f t="shared" si="145"/>
        <v>123767</v>
      </c>
      <c r="BW332" s="564">
        <f t="shared" si="145"/>
        <v>111777</v>
      </c>
      <c r="BX332" s="564">
        <f t="shared" si="145"/>
        <v>0</v>
      </c>
      <c r="BY332" s="564">
        <f t="shared" si="145"/>
        <v>7738</v>
      </c>
      <c r="BZ332" s="564">
        <f t="shared" si="145"/>
        <v>4707904</v>
      </c>
      <c r="CA332" s="564">
        <f t="shared" si="145"/>
        <v>35549</v>
      </c>
      <c r="CB332" s="564">
        <f t="shared" si="145"/>
        <v>0</v>
      </c>
      <c r="CC332" s="564">
        <f t="shared" si="145"/>
        <v>0</v>
      </c>
      <c r="CD332" s="564">
        <f t="shared" si="145"/>
        <v>0</v>
      </c>
      <c r="CE332" s="564">
        <f t="shared" si="145"/>
        <v>0</v>
      </c>
      <c r="CF332" s="564">
        <f t="shared" si="145"/>
        <v>0</v>
      </c>
      <c r="CG332" s="564">
        <f t="shared" si="145"/>
        <v>0</v>
      </c>
      <c r="CH332" s="564">
        <f t="shared" si="145"/>
        <v>0</v>
      </c>
      <c r="CI332" s="564">
        <f t="shared" si="145"/>
        <v>0</v>
      </c>
      <c r="CJ332" s="564">
        <f t="shared" si="145"/>
        <v>0</v>
      </c>
      <c r="CK332" s="564">
        <f t="shared" si="145"/>
        <v>0</v>
      </c>
      <c r="CL332" s="564">
        <f t="shared" si="145"/>
        <v>0</v>
      </c>
      <c r="CM332" s="564">
        <f t="shared" si="145"/>
        <v>0</v>
      </c>
      <c r="CN332" s="564">
        <f t="shared" si="145"/>
        <v>0</v>
      </c>
      <c r="CO332" s="564">
        <f t="shared" si="145"/>
        <v>0</v>
      </c>
      <c r="CP332" s="564">
        <f t="shared" si="145"/>
        <v>0</v>
      </c>
      <c r="CQ332" s="564">
        <f t="shared" si="145"/>
        <v>0</v>
      </c>
      <c r="CR332" s="564">
        <f t="shared" si="145"/>
        <v>0</v>
      </c>
      <c r="CS332" s="564">
        <f t="shared" si="145"/>
        <v>0</v>
      </c>
      <c r="CT332" s="564">
        <f t="shared" si="145"/>
        <v>0</v>
      </c>
      <c r="CU332" s="564">
        <f t="shared" si="145"/>
        <v>0</v>
      </c>
      <c r="CV332" s="564">
        <f t="shared" si="145"/>
        <v>0</v>
      </c>
      <c r="CW332" s="564">
        <f t="shared" si="145"/>
        <v>0</v>
      </c>
      <c r="CX332" s="564">
        <f t="shared" si="145"/>
        <v>0</v>
      </c>
      <c r="CY332" s="564">
        <f t="shared" si="145"/>
        <v>0</v>
      </c>
      <c r="CZ332" s="564">
        <f t="shared" si="145"/>
        <v>0</v>
      </c>
    </row>
    <row r="333" spans="1:104" x14ac:dyDescent="0.3">
      <c r="A333" s="563">
        <v>3</v>
      </c>
      <c r="B333" s="180"/>
      <c r="C333" s="180"/>
      <c r="D333" s="564">
        <f t="shared" ref="D333:AI333" si="146">D260</f>
        <v>2280032</v>
      </c>
      <c r="E333" s="564">
        <f t="shared" si="146"/>
        <v>28283431</v>
      </c>
      <c r="F333" s="564">
        <f t="shared" si="146"/>
        <v>0</v>
      </c>
      <c r="G333" s="564">
        <f t="shared" si="146"/>
        <v>43325465</v>
      </c>
      <c r="H333" s="564">
        <f t="shared" si="146"/>
        <v>3047660</v>
      </c>
      <c r="I333" s="564">
        <f t="shared" si="146"/>
        <v>493391</v>
      </c>
      <c r="J333" s="564">
        <f t="shared" si="146"/>
        <v>579301</v>
      </c>
      <c r="K333" s="564">
        <f t="shared" si="146"/>
        <v>2897573</v>
      </c>
      <c r="L333" s="564">
        <f t="shared" si="146"/>
        <v>239772225</v>
      </c>
      <c r="M333" s="564">
        <f t="shared" si="146"/>
        <v>0</v>
      </c>
      <c r="N333" s="564">
        <f t="shared" si="146"/>
        <v>1198822</v>
      </c>
      <c r="O333" s="564">
        <f t="shared" si="146"/>
        <v>0</v>
      </c>
      <c r="P333" s="564">
        <f t="shared" si="146"/>
        <v>51640196</v>
      </c>
      <c r="Q333" s="564">
        <f t="shared" si="146"/>
        <v>30158114</v>
      </c>
      <c r="R333" s="564">
        <f t="shared" si="146"/>
        <v>6211314</v>
      </c>
      <c r="S333" s="564">
        <f t="shared" si="146"/>
        <v>21538319</v>
      </c>
      <c r="T333" s="564">
        <f t="shared" si="146"/>
        <v>116694</v>
      </c>
      <c r="U333" s="564">
        <f t="shared" si="146"/>
        <v>28342942</v>
      </c>
      <c r="V333" s="564">
        <f t="shared" si="146"/>
        <v>17433</v>
      </c>
      <c r="W333" s="564">
        <f t="shared" si="146"/>
        <v>13463099</v>
      </c>
      <c r="X333" s="564">
        <f t="shared" si="146"/>
        <v>31320062</v>
      </c>
      <c r="Y333" s="564">
        <f t="shared" si="146"/>
        <v>10207832</v>
      </c>
      <c r="Z333" s="564">
        <f t="shared" si="146"/>
        <v>413955</v>
      </c>
      <c r="AA333" s="564">
        <f t="shared" si="146"/>
        <v>24411646</v>
      </c>
      <c r="AB333" s="564">
        <f t="shared" si="146"/>
        <v>540102</v>
      </c>
      <c r="AC333" s="564">
        <f t="shared" si="146"/>
        <v>4905</v>
      </c>
      <c r="AD333" s="564">
        <f t="shared" si="146"/>
        <v>404363</v>
      </c>
      <c r="AE333" s="564">
        <f t="shared" si="146"/>
        <v>2405930</v>
      </c>
      <c r="AF333" s="564">
        <f t="shared" si="146"/>
        <v>253779</v>
      </c>
      <c r="AG333" s="564">
        <f t="shared" si="146"/>
        <v>1204</v>
      </c>
      <c r="AH333" s="564">
        <f t="shared" si="146"/>
        <v>11358</v>
      </c>
      <c r="AI333" s="564">
        <f t="shared" si="146"/>
        <v>1378198</v>
      </c>
      <c r="AJ333" s="564">
        <f t="shared" ref="AJ333:BO333" si="147">AJ260</f>
        <v>14866020</v>
      </c>
      <c r="AK333" s="564">
        <f t="shared" si="147"/>
        <v>81028</v>
      </c>
      <c r="AL333" s="564">
        <f t="shared" si="147"/>
        <v>13107</v>
      </c>
      <c r="AM333" s="564">
        <f t="shared" si="147"/>
        <v>30660290</v>
      </c>
      <c r="AN333" s="564">
        <f t="shared" si="147"/>
        <v>17537366</v>
      </c>
      <c r="AO333" s="564">
        <f t="shared" si="147"/>
        <v>0</v>
      </c>
      <c r="AP333" s="564">
        <f t="shared" si="147"/>
        <v>3454924</v>
      </c>
      <c r="AQ333" s="564">
        <f t="shared" si="147"/>
        <v>40649356</v>
      </c>
      <c r="AR333" s="564">
        <f t="shared" si="147"/>
        <v>0</v>
      </c>
      <c r="AS333" s="564">
        <f t="shared" si="147"/>
        <v>0</v>
      </c>
      <c r="AT333" s="564">
        <f t="shared" si="147"/>
        <v>0</v>
      </c>
      <c r="AU333" s="564">
        <f t="shared" si="147"/>
        <v>19597035</v>
      </c>
      <c r="AV333" s="564">
        <f t="shared" si="147"/>
        <v>28915</v>
      </c>
      <c r="AW333" s="564">
        <f t="shared" si="147"/>
        <v>0</v>
      </c>
      <c r="AX333" s="564">
        <f t="shared" si="147"/>
        <v>1924282</v>
      </c>
      <c r="AY333" s="564">
        <f t="shared" si="147"/>
        <v>3965853</v>
      </c>
      <c r="AZ333" s="564">
        <f t="shared" si="147"/>
        <v>0</v>
      </c>
      <c r="BA333" s="564">
        <f t="shared" si="147"/>
        <v>17847</v>
      </c>
      <c r="BB333" s="564">
        <f t="shared" si="147"/>
        <v>2504560</v>
      </c>
      <c r="BC333" s="564">
        <f t="shared" si="147"/>
        <v>0</v>
      </c>
      <c r="BD333" s="564">
        <f t="shared" si="147"/>
        <v>15060</v>
      </c>
      <c r="BE333" s="564">
        <f t="shared" si="147"/>
        <v>69878214</v>
      </c>
      <c r="BF333" s="564">
        <f t="shared" si="147"/>
        <v>0</v>
      </c>
      <c r="BG333" s="564">
        <f t="shared" si="147"/>
        <v>0</v>
      </c>
      <c r="BH333" s="564">
        <f t="shared" si="147"/>
        <v>10124261</v>
      </c>
      <c r="BI333" s="564">
        <f t="shared" si="147"/>
        <v>1761880</v>
      </c>
      <c r="BJ333" s="564">
        <f t="shared" si="147"/>
        <v>221445</v>
      </c>
      <c r="BK333" s="564">
        <f t="shared" si="147"/>
        <v>3381122</v>
      </c>
      <c r="BL333" s="564">
        <f t="shared" si="147"/>
        <v>4263548</v>
      </c>
      <c r="BM333" s="564">
        <f t="shared" si="147"/>
        <v>15750</v>
      </c>
      <c r="BN333" s="564">
        <f t="shared" si="147"/>
        <v>5907043</v>
      </c>
      <c r="BO333" s="564">
        <f t="shared" si="147"/>
        <v>1073763</v>
      </c>
      <c r="BP333" s="564">
        <f t="shared" ref="BP333:CZ333" si="148">BP260</f>
        <v>294980</v>
      </c>
      <c r="BQ333" s="564">
        <f t="shared" si="148"/>
        <v>2575934</v>
      </c>
      <c r="BR333" s="564">
        <f t="shared" si="148"/>
        <v>1498317</v>
      </c>
      <c r="BS333" s="564">
        <f t="shared" si="148"/>
        <v>17249500</v>
      </c>
      <c r="BT333" s="564">
        <f t="shared" si="148"/>
        <v>1871975</v>
      </c>
      <c r="BU333" s="564">
        <f t="shared" si="148"/>
        <v>7577548</v>
      </c>
      <c r="BV333" s="564">
        <f t="shared" si="148"/>
        <v>671473</v>
      </c>
      <c r="BW333" s="564">
        <f t="shared" si="148"/>
        <v>163119</v>
      </c>
      <c r="BX333" s="564">
        <f t="shared" si="148"/>
        <v>0</v>
      </c>
      <c r="BY333" s="564">
        <f t="shared" si="148"/>
        <v>7738</v>
      </c>
      <c r="BZ333" s="564">
        <f t="shared" si="148"/>
        <v>28622198</v>
      </c>
      <c r="CA333" s="564">
        <f t="shared" si="148"/>
        <v>61592</v>
      </c>
      <c r="CB333" s="564">
        <f t="shared" si="148"/>
        <v>0</v>
      </c>
      <c r="CC333" s="564">
        <f t="shared" si="148"/>
        <v>0</v>
      </c>
      <c r="CD333" s="564">
        <f t="shared" si="148"/>
        <v>0</v>
      </c>
      <c r="CE333" s="564">
        <f t="shared" si="148"/>
        <v>0</v>
      </c>
      <c r="CF333" s="564">
        <f t="shared" si="148"/>
        <v>0</v>
      </c>
      <c r="CG333" s="564">
        <f t="shared" si="148"/>
        <v>0</v>
      </c>
      <c r="CH333" s="564">
        <f t="shared" si="148"/>
        <v>0</v>
      </c>
      <c r="CI333" s="564">
        <f t="shared" si="148"/>
        <v>0</v>
      </c>
      <c r="CJ333" s="564">
        <f t="shared" si="148"/>
        <v>0</v>
      </c>
      <c r="CK333" s="564">
        <f t="shared" si="148"/>
        <v>0</v>
      </c>
      <c r="CL333" s="564">
        <f t="shared" si="148"/>
        <v>0</v>
      </c>
      <c r="CM333" s="564">
        <f t="shared" si="148"/>
        <v>0</v>
      </c>
      <c r="CN333" s="564">
        <f t="shared" si="148"/>
        <v>0</v>
      </c>
      <c r="CO333" s="564">
        <f t="shared" si="148"/>
        <v>0</v>
      </c>
      <c r="CP333" s="564">
        <f t="shared" si="148"/>
        <v>0</v>
      </c>
      <c r="CQ333" s="564">
        <f t="shared" si="148"/>
        <v>0</v>
      </c>
      <c r="CR333" s="564">
        <f t="shared" si="148"/>
        <v>0</v>
      </c>
      <c r="CS333" s="564">
        <f t="shared" si="148"/>
        <v>0</v>
      </c>
      <c r="CT333" s="564">
        <f t="shared" si="148"/>
        <v>0</v>
      </c>
      <c r="CU333" s="564">
        <f t="shared" si="148"/>
        <v>0</v>
      </c>
      <c r="CV333" s="564">
        <f t="shared" si="148"/>
        <v>0</v>
      </c>
      <c r="CW333" s="564">
        <f t="shared" si="148"/>
        <v>0</v>
      </c>
      <c r="CX333" s="564">
        <f t="shared" si="148"/>
        <v>0</v>
      </c>
      <c r="CY333" s="564">
        <f t="shared" si="148"/>
        <v>0</v>
      </c>
      <c r="CZ333" s="564">
        <f t="shared" si="148"/>
        <v>0</v>
      </c>
    </row>
    <row r="334" spans="1:104" x14ac:dyDescent="0.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V334" s="180"/>
      <c r="BW334" s="180"/>
      <c r="BX334" s="180"/>
      <c r="BY334" s="180"/>
      <c r="BZ334" s="180"/>
      <c r="CA334" s="180"/>
      <c r="CB334" s="180"/>
      <c r="CC334" s="180"/>
      <c r="CD334" s="180"/>
      <c r="CE334" s="180"/>
      <c r="CF334" s="180"/>
      <c r="CG334" s="180"/>
      <c r="CH334" s="180"/>
      <c r="CI334" s="180"/>
      <c r="CJ334" s="180"/>
      <c r="CK334" s="180"/>
      <c r="CL334" s="180"/>
      <c r="CM334" s="180"/>
      <c r="CN334" s="180"/>
      <c r="CO334" s="180"/>
      <c r="CP334" s="180"/>
      <c r="CQ334" s="180"/>
      <c r="CR334" s="180"/>
      <c r="CS334" s="180"/>
      <c r="CT334" s="180"/>
      <c r="CU334" s="180"/>
      <c r="CV334" s="180"/>
      <c r="CW334" s="180"/>
      <c r="CX334" s="180"/>
      <c r="CY334" s="180"/>
      <c r="CZ334" s="180"/>
    </row>
    <row r="335" spans="1:104" x14ac:dyDescent="0.3">
      <c r="B335" s="180"/>
      <c r="C335" s="180"/>
      <c r="D335" s="574">
        <f>D329+D331+D332+D333</f>
        <v>42599655.395000003</v>
      </c>
      <c r="E335" s="574">
        <f t="shared" ref="E335:BP335" si="149">E329+E331+E332+E333</f>
        <v>706013125.91499996</v>
      </c>
      <c r="F335" s="574">
        <f t="shared" si="149"/>
        <v>0</v>
      </c>
      <c r="G335" s="574">
        <f t="shared" si="149"/>
        <v>2482654817.9420004</v>
      </c>
      <c r="H335" s="574">
        <f t="shared" si="149"/>
        <v>270889323.96500003</v>
      </c>
      <c r="I335" s="574">
        <f t="shared" si="149"/>
        <v>14982447.689999999</v>
      </c>
      <c r="J335" s="574">
        <f t="shared" si="149"/>
        <v>108068893.33</v>
      </c>
      <c r="K335" s="574">
        <f t="shared" si="149"/>
        <v>86810002.459999993</v>
      </c>
      <c r="L335" s="574">
        <f t="shared" si="149"/>
        <v>3113513729.8000002</v>
      </c>
      <c r="M335" s="574">
        <f t="shared" si="149"/>
        <v>0</v>
      </c>
      <c r="N335" s="574">
        <f t="shared" si="149"/>
        <v>47788302.510000005</v>
      </c>
      <c r="O335" s="574">
        <f t="shared" si="149"/>
        <v>0</v>
      </c>
      <c r="P335" s="574">
        <f t="shared" si="149"/>
        <v>1103374124.349</v>
      </c>
      <c r="Q335" s="574">
        <f t="shared" si="149"/>
        <v>753382078.69000006</v>
      </c>
      <c r="R335" s="574">
        <f t="shared" si="149"/>
        <v>344680904.37199998</v>
      </c>
      <c r="S335" s="574">
        <f t="shared" si="149"/>
        <v>886696266.80999994</v>
      </c>
      <c r="T335" s="574">
        <f t="shared" si="149"/>
        <v>18109764.579999998</v>
      </c>
      <c r="U335" s="574">
        <f t="shared" si="149"/>
        <v>1701981894.23</v>
      </c>
      <c r="V335" s="574">
        <f t="shared" si="149"/>
        <v>2127026.4900000002</v>
      </c>
      <c r="W335" s="574">
        <f t="shared" si="149"/>
        <v>294379852.13</v>
      </c>
      <c r="X335" s="574">
        <f t="shared" si="149"/>
        <v>719612752.64999998</v>
      </c>
      <c r="Y335" s="574">
        <f t="shared" si="149"/>
        <v>230127581.59580001</v>
      </c>
      <c r="Z335" s="574">
        <f t="shared" si="149"/>
        <v>193659780.45199999</v>
      </c>
      <c r="AA335" s="574">
        <f t="shared" si="149"/>
        <v>297721917.31</v>
      </c>
      <c r="AB335" s="574">
        <f t="shared" si="149"/>
        <v>24444732</v>
      </c>
      <c r="AC335" s="574">
        <f t="shared" si="149"/>
        <v>11410372.453</v>
      </c>
      <c r="AD335" s="574">
        <f t="shared" si="149"/>
        <v>95273369.929999992</v>
      </c>
      <c r="AE335" s="574">
        <f t="shared" si="149"/>
        <v>230818860.69999999</v>
      </c>
      <c r="AF335" s="574">
        <f t="shared" si="149"/>
        <v>11141335.780000001</v>
      </c>
      <c r="AG335" s="574">
        <f t="shared" si="149"/>
        <v>1431258.74</v>
      </c>
      <c r="AH335" s="574">
        <f t="shared" si="149"/>
        <v>7337495.5300000003</v>
      </c>
      <c r="AI335" s="574">
        <f t="shared" si="149"/>
        <v>58257357.125</v>
      </c>
      <c r="AJ335" s="574">
        <f t="shared" si="149"/>
        <v>569663461.12</v>
      </c>
      <c r="AK335" s="574">
        <f t="shared" si="149"/>
        <v>19632225.359999999</v>
      </c>
      <c r="AL335" s="574">
        <f t="shared" si="149"/>
        <v>1224355.4099999999</v>
      </c>
      <c r="AM335" s="574">
        <f t="shared" si="149"/>
        <v>808149606.35000002</v>
      </c>
      <c r="AN335" s="574">
        <f t="shared" si="149"/>
        <v>897440538.64849997</v>
      </c>
      <c r="AO335" s="574">
        <f t="shared" si="149"/>
        <v>0</v>
      </c>
      <c r="AP335" s="574">
        <f t="shared" si="149"/>
        <v>160203409.507</v>
      </c>
      <c r="AQ335" s="574">
        <f t="shared" si="149"/>
        <v>1657639066.99</v>
      </c>
      <c r="AR335" s="574">
        <f t="shared" si="149"/>
        <v>0</v>
      </c>
      <c r="AS335" s="574">
        <f t="shared" si="149"/>
        <v>0</v>
      </c>
      <c r="AT335" s="574">
        <f t="shared" si="149"/>
        <v>0</v>
      </c>
      <c r="AU335" s="574">
        <f t="shared" si="149"/>
        <v>662793279.74000001</v>
      </c>
      <c r="AV335" s="574">
        <f t="shared" si="149"/>
        <v>20894866.68</v>
      </c>
      <c r="AW335" s="574">
        <f t="shared" si="149"/>
        <v>0</v>
      </c>
      <c r="AX335" s="574">
        <f t="shared" si="149"/>
        <v>195604270.60000002</v>
      </c>
      <c r="AY335" s="574">
        <f t="shared" si="149"/>
        <v>146943888.31999999</v>
      </c>
      <c r="AZ335" s="574">
        <f t="shared" si="149"/>
        <v>0</v>
      </c>
      <c r="BA335" s="574">
        <f t="shared" si="149"/>
        <v>2244065.5599999996</v>
      </c>
      <c r="BB335" s="574">
        <f t="shared" si="149"/>
        <v>102617756.25</v>
      </c>
      <c r="BC335" s="574">
        <f t="shared" si="149"/>
        <v>0</v>
      </c>
      <c r="BD335" s="574">
        <f t="shared" si="149"/>
        <v>3736270.5</v>
      </c>
      <c r="BE335" s="574">
        <f t="shared" si="149"/>
        <v>1290983165.6600001</v>
      </c>
      <c r="BF335" s="574">
        <f t="shared" si="149"/>
        <v>0</v>
      </c>
      <c r="BG335" s="574">
        <f t="shared" si="149"/>
        <v>0</v>
      </c>
      <c r="BH335" s="574">
        <f t="shared" si="149"/>
        <v>136628208.08000001</v>
      </c>
      <c r="BI335" s="574">
        <f t="shared" si="149"/>
        <v>133445319.26000002</v>
      </c>
      <c r="BJ335" s="574">
        <f t="shared" si="149"/>
        <v>48240037.600000001</v>
      </c>
      <c r="BK335" s="574">
        <f t="shared" si="149"/>
        <v>350182878.14000005</v>
      </c>
      <c r="BL335" s="574">
        <f t="shared" si="149"/>
        <v>191492969.34</v>
      </c>
      <c r="BM335" s="574">
        <f t="shared" si="149"/>
        <v>2066247</v>
      </c>
      <c r="BN335" s="574">
        <f t="shared" si="149"/>
        <v>298773276.51999998</v>
      </c>
      <c r="BO335" s="574">
        <f t="shared" si="149"/>
        <v>152327180</v>
      </c>
      <c r="BP335" s="574">
        <f t="shared" si="149"/>
        <v>77565116.559999987</v>
      </c>
      <c r="BQ335" s="574">
        <f t="shared" ref="BQ335:CZ335" si="150">BQ329+BQ331+BQ332+BQ333</f>
        <v>98682893.25</v>
      </c>
      <c r="BR335" s="574">
        <f t="shared" si="150"/>
        <v>71816574.939999998</v>
      </c>
      <c r="BS335" s="574">
        <f t="shared" si="150"/>
        <v>1173211408.3199999</v>
      </c>
      <c r="BT335" s="574">
        <f t="shared" si="150"/>
        <v>85835477.61999999</v>
      </c>
      <c r="BU335" s="574">
        <f t="shared" si="150"/>
        <v>179192898.17000002</v>
      </c>
      <c r="BV335" s="574">
        <f t="shared" si="150"/>
        <v>50940844.039999999</v>
      </c>
      <c r="BW335" s="574">
        <f t="shared" si="150"/>
        <v>51559034.710000001</v>
      </c>
      <c r="BX335" s="574">
        <f t="shared" si="150"/>
        <v>0</v>
      </c>
      <c r="BY335" s="574">
        <f t="shared" si="150"/>
        <v>2074168.38</v>
      </c>
      <c r="BZ335" s="574">
        <f t="shared" si="150"/>
        <v>1085657055.1400001</v>
      </c>
      <c r="CA335" s="574">
        <f t="shared" si="150"/>
        <v>2218706.85</v>
      </c>
      <c r="CB335" s="574">
        <f t="shared" si="150"/>
        <v>0</v>
      </c>
      <c r="CC335" s="574">
        <f t="shared" si="150"/>
        <v>0</v>
      </c>
      <c r="CD335" s="574">
        <f t="shared" si="150"/>
        <v>0</v>
      </c>
      <c r="CE335" s="574">
        <f t="shared" si="150"/>
        <v>0</v>
      </c>
      <c r="CF335" s="574">
        <f t="shared" si="150"/>
        <v>0</v>
      </c>
      <c r="CG335" s="574">
        <f t="shared" si="150"/>
        <v>0</v>
      </c>
      <c r="CH335" s="574">
        <f t="shared" si="150"/>
        <v>0</v>
      </c>
      <c r="CI335" s="574">
        <f t="shared" si="150"/>
        <v>0</v>
      </c>
      <c r="CJ335" s="574">
        <f t="shared" si="150"/>
        <v>0</v>
      </c>
      <c r="CK335" s="574">
        <f t="shared" si="150"/>
        <v>0</v>
      </c>
      <c r="CL335" s="574">
        <f t="shared" si="150"/>
        <v>0</v>
      </c>
      <c r="CM335" s="574">
        <f t="shared" si="150"/>
        <v>0</v>
      </c>
      <c r="CN335" s="574">
        <f t="shared" si="150"/>
        <v>0</v>
      </c>
      <c r="CO335" s="574">
        <f t="shared" si="150"/>
        <v>0</v>
      </c>
      <c r="CP335" s="574">
        <f t="shared" si="150"/>
        <v>0</v>
      </c>
      <c r="CQ335" s="574">
        <f t="shared" si="150"/>
        <v>0</v>
      </c>
      <c r="CR335" s="574">
        <f t="shared" si="150"/>
        <v>0</v>
      </c>
      <c r="CS335" s="574">
        <f t="shared" si="150"/>
        <v>0</v>
      </c>
      <c r="CT335" s="574">
        <f t="shared" si="150"/>
        <v>0</v>
      </c>
      <c r="CU335" s="574">
        <f t="shared" si="150"/>
        <v>0</v>
      </c>
      <c r="CV335" s="574">
        <f t="shared" si="150"/>
        <v>0</v>
      </c>
      <c r="CW335" s="574">
        <f t="shared" si="150"/>
        <v>0</v>
      </c>
      <c r="CX335" s="574">
        <f t="shared" si="150"/>
        <v>0</v>
      </c>
      <c r="CY335" s="574">
        <f t="shared" si="150"/>
        <v>0</v>
      </c>
      <c r="CZ335" s="574">
        <f t="shared" si="150"/>
        <v>0</v>
      </c>
    </row>
    <row r="336" spans="1:104" x14ac:dyDescent="0.3">
      <c r="B336" s="180"/>
      <c r="C336" s="180"/>
      <c r="D336" s="574"/>
      <c r="E336" s="574"/>
      <c r="F336" s="574"/>
      <c r="G336" s="574"/>
      <c r="H336" s="574"/>
      <c r="I336" s="574"/>
      <c r="J336" s="574"/>
      <c r="K336" s="574"/>
      <c r="L336" s="574"/>
      <c r="M336" s="574"/>
      <c r="N336" s="574"/>
      <c r="O336" s="574"/>
      <c r="P336" s="574"/>
      <c r="Q336" s="574"/>
      <c r="R336" s="574"/>
      <c r="S336" s="574"/>
      <c r="T336" s="574"/>
      <c r="U336" s="574"/>
      <c r="V336" s="574"/>
      <c r="W336" s="574"/>
      <c r="X336" s="574"/>
      <c r="Y336" s="574"/>
      <c r="Z336" s="574"/>
      <c r="AA336" s="574"/>
      <c r="AB336" s="574"/>
      <c r="AC336" s="574"/>
      <c r="AD336" s="574"/>
      <c r="AE336" s="574"/>
      <c r="AF336" s="574"/>
      <c r="AG336" s="574"/>
      <c r="AH336" s="574"/>
      <c r="AI336" s="574"/>
      <c r="AJ336" s="574"/>
      <c r="AK336" s="574"/>
      <c r="AL336" s="574"/>
      <c r="AM336" s="574"/>
      <c r="AN336" s="574"/>
      <c r="AO336" s="574"/>
      <c r="AP336" s="574"/>
      <c r="AQ336" s="574"/>
      <c r="AR336" s="574"/>
      <c r="AS336" s="574"/>
      <c r="AT336" s="574"/>
      <c r="AU336" s="574"/>
      <c r="AV336" s="574"/>
      <c r="AW336" s="574"/>
      <c r="AX336" s="574"/>
      <c r="AY336" s="574"/>
      <c r="AZ336" s="574"/>
      <c r="BA336" s="574"/>
      <c r="BB336" s="574"/>
      <c r="BC336" s="574"/>
      <c r="BD336" s="574"/>
      <c r="BE336" s="574"/>
      <c r="BF336" s="574"/>
      <c r="BG336" s="574"/>
      <c r="BH336" s="574"/>
      <c r="BI336" s="574"/>
      <c r="BJ336" s="574"/>
      <c r="BK336" s="574"/>
      <c r="BL336" s="574"/>
      <c r="BM336" s="574"/>
      <c r="BN336" s="574"/>
      <c r="BO336" s="574"/>
      <c r="BP336" s="574"/>
      <c r="BQ336" s="574"/>
      <c r="BR336" s="574"/>
      <c r="BS336" s="574"/>
      <c r="BT336" s="574"/>
      <c r="BU336" s="574"/>
      <c r="BV336" s="574"/>
      <c r="BW336" s="574"/>
      <c r="BX336" s="574"/>
      <c r="BY336" s="574"/>
      <c r="BZ336" s="574"/>
      <c r="CA336" s="574"/>
      <c r="CB336" s="574"/>
      <c r="CC336" s="574"/>
      <c r="CD336" s="574"/>
      <c r="CE336" s="574"/>
      <c r="CF336" s="574"/>
      <c r="CG336" s="574"/>
      <c r="CH336" s="574"/>
      <c r="CI336" s="574"/>
      <c r="CJ336" s="574"/>
      <c r="CK336" s="574"/>
      <c r="CL336" s="574"/>
      <c r="CM336" s="574"/>
      <c r="CN336" s="574"/>
      <c r="CO336" s="574"/>
      <c r="CP336" s="574"/>
      <c r="CQ336" s="574"/>
      <c r="CR336" s="574"/>
      <c r="CS336" s="574"/>
      <c r="CT336" s="574"/>
      <c r="CU336" s="574"/>
      <c r="CV336" s="574"/>
      <c r="CW336" s="574"/>
      <c r="CX336" s="574"/>
      <c r="CY336" s="574"/>
      <c r="CZ336" s="574"/>
    </row>
    <row r="337" spans="2:104" x14ac:dyDescent="0.3">
      <c r="B337" s="180"/>
      <c r="C337" s="180"/>
      <c r="D337" s="574" t="e">
        <f>'Unit Data from Audit Worksheet'!$E$299</f>
        <v>#N/A</v>
      </c>
      <c r="E337" s="574" t="e">
        <f>'Unit Data from Audit Worksheet'!$E$299</f>
        <v>#N/A</v>
      </c>
      <c r="F337" s="574" t="e">
        <f>'Unit Data from Audit Worksheet'!$E$299</f>
        <v>#N/A</v>
      </c>
      <c r="G337" s="574" t="e">
        <f>'Unit Data from Audit Worksheet'!$E$299</f>
        <v>#N/A</v>
      </c>
      <c r="H337" s="574" t="e">
        <f>'Unit Data from Audit Worksheet'!$E$299</f>
        <v>#N/A</v>
      </c>
      <c r="I337" s="574" t="e">
        <f>'Unit Data from Audit Worksheet'!$E$299</f>
        <v>#N/A</v>
      </c>
      <c r="J337" s="574" t="e">
        <f>'Unit Data from Audit Worksheet'!$E$299</f>
        <v>#N/A</v>
      </c>
      <c r="K337" s="574" t="e">
        <f>'Unit Data from Audit Worksheet'!$E$299</f>
        <v>#N/A</v>
      </c>
      <c r="L337" s="574" t="e">
        <f>'Unit Data from Audit Worksheet'!$E$299</f>
        <v>#N/A</v>
      </c>
      <c r="M337" s="574" t="e">
        <f>'Unit Data from Audit Worksheet'!$E$299</f>
        <v>#N/A</v>
      </c>
      <c r="N337" s="574" t="e">
        <f>'Unit Data from Audit Worksheet'!$E$299</f>
        <v>#N/A</v>
      </c>
      <c r="O337" s="574" t="e">
        <f>'Unit Data from Audit Worksheet'!$E$299</f>
        <v>#N/A</v>
      </c>
      <c r="P337" s="574" t="e">
        <f>'Unit Data from Audit Worksheet'!$E$299</f>
        <v>#N/A</v>
      </c>
      <c r="Q337" s="574" t="e">
        <f>'Unit Data from Audit Worksheet'!$E$299</f>
        <v>#N/A</v>
      </c>
      <c r="R337" s="574" t="e">
        <f>'Unit Data from Audit Worksheet'!$E$299</f>
        <v>#N/A</v>
      </c>
      <c r="S337" s="574" t="e">
        <f>'Unit Data from Audit Worksheet'!$E$299</f>
        <v>#N/A</v>
      </c>
      <c r="T337" s="574" t="e">
        <f>'Unit Data from Audit Worksheet'!$E$299</f>
        <v>#N/A</v>
      </c>
      <c r="U337" s="574" t="e">
        <f>'Unit Data from Audit Worksheet'!$E$299</f>
        <v>#N/A</v>
      </c>
      <c r="V337" s="574" t="e">
        <f>'Unit Data from Audit Worksheet'!$E$299</f>
        <v>#N/A</v>
      </c>
      <c r="W337" s="574" t="e">
        <f>'Unit Data from Audit Worksheet'!$E$299</f>
        <v>#N/A</v>
      </c>
      <c r="X337" s="574" t="e">
        <f>'Unit Data from Audit Worksheet'!$E$299</f>
        <v>#N/A</v>
      </c>
      <c r="Y337" s="574" t="e">
        <f>'Unit Data from Audit Worksheet'!$E$299</f>
        <v>#N/A</v>
      </c>
      <c r="Z337" s="574" t="e">
        <f>'Unit Data from Audit Worksheet'!$E$299</f>
        <v>#N/A</v>
      </c>
      <c r="AA337" s="574" t="e">
        <f>'Unit Data from Audit Worksheet'!$E$299</f>
        <v>#N/A</v>
      </c>
      <c r="AB337" s="574" t="e">
        <f>'Unit Data from Audit Worksheet'!$E$299</f>
        <v>#N/A</v>
      </c>
      <c r="AC337" s="574" t="e">
        <f>'Unit Data from Audit Worksheet'!$E$299</f>
        <v>#N/A</v>
      </c>
      <c r="AD337" s="574" t="e">
        <f>'Unit Data from Audit Worksheet'!$E$299</f>
        <v>#N/A</v>
      </c>
      <c r="AE337" s="574" t="e">
        <f>'Unit Data from Audit Worksheet'!$E$299</f>
        <v>#N/A</v>
      </c>
      <c r="AF337" s="574" t="e">
        <f>'Unit Data from Audit Worksheet'!$E$299</f>
        <v>#N/A</v>
      </c>
      <c r="AG337" s="574" t="e">
        <f>'Unit Data from Audit Worksheet'!$E$299</f>
        <v>#N/A</v>
      </c>
      <c r="AH337" s="574" t="e">
        <f>'Unit Data from Audit Worksheet'!$E$299</f>
        <v>#N/A</v>
      </c>
      <c r="AI337" s="574" t="e">
        <f>'Unit Data from Audit Worksheet'!$E$299</f>
        <v>#N/A</v>
      </c>
      <c r="AJ337" s="574" t="e">
        <f>'Unit Data from Audit Worksheet'!$E$299</f>
        <v>#N/A</v>
      </c>
      <c r="AK337" s="574" t="e">
        <f>'Unit Data from Audit Worksheet'!$E$299</f>
        <v>#N/A</v>
      </c>
      <c r="AL337" s="574" t="e">
        <f>'Unit Data from Audit Worksheet'!$E$299</f>
        <v>#N/A</v>
      </c>
      <c r="AM337" s="574" t="e">
        <f>'Unit Data from Audit Worksheet'!$E$299</f>
        <v>#N/A</v>
      </c>
      <c r="AN337" s="574" t="e">
        <f>'Unit Data from Audit Worksheet'!$E$299</f>
        <v>#N/A</v>
      </c>
      <c r="AO337" s="574" t="e">
        <f>'Unit Data from Audit Worksheet'!$E$299</f>
        <v>#N/A</v>
      </c>
      <c r="AP337" s="574" t="e">
        <f>'Unit Data from Audit Worksheet'!$E$299</f>
        <v>#N/A</v>
      </c>
      <c r="AQ337" s="574" t="e">
        <f>'Unit Data from Audit Worksheet'!$E$299</f>
        <v>#N/A</v>
      </c>
      <c r="AR337" s="574" t="e">
        <f>'Unit Data from Audit Worksheet'!$E$299</f>
        <v>#N/A</v>
      </c>
      <c r="AS337" s="574" t="e">
        <f>'Unit Data from Audit Worksheet'!$E$299</f>
        <v>#N/A</v>
      </c>
      <c r="AT337" s="574" t="e">
        <f>'Unit Data from Audit Worksheet'!$E$299</f>
        <v>#N/A</v>
      </c>
      <c r="AU337" s="574" t="e">
        <f>'Unit Data from Audit Worksheet'!$E$299</f>
        <v>#N/A</v>
      </c>
      <c r="AV337" s="574" t="e">
        <f>'Unit Data from Audit Worksheet'!$E$299</f>
        <v>#N/A</v>
      </c>
      <c r="AW337" s="574" t="e">
        <f>'Unit Data from Audit Worksheet'!$E$299</f>
        <v>#N/A</v>
      </c>
      <c r="AX337" s="574" t="e">
        <f>'Unit Data from Audit Worksheet'!$E$299</f>
        <v>#N/A</v>
      </c>
      <c r="AY337" s="574" t="e">
        <f>'Unit Data from Audit Worksheet'!$E$299</f>
        <v>#N/A</v>
      </c>
      <c r="AZ337" s="574" t="e">
        <f>'Unit Data from Audit Worksheet'!$E$299</f>
        <v>#N/A</v>
      </c>
      <c r="BA337" s="574" t="e">
        <f>'Unit Data from Audit Worksheet'!$E$299</f>
        <v>#N/A</v>
      </c>
      <c r="BB337" s="574" t="e">
        <f>'Unit Data from Audit Worksheet'!$E$299</f>
        <v>#N/A</v>
      </c>
      <c r="BC337" s="574" t="e">
        <f>'Unit Data from Audit Worksheet'!$E$299</f>
        <v>#N/A</v>
      </c>
      <c r="BD337" s="574" t="e">
        <f>'Unit Data from Audit Worksheet'!$E$299</f>
        <v>#N/A</v>
      </c>
      <c r="BE337" s="574" t="e">
        <f>'Unit Data from Audit Worksheet'!$E$299</f>
        <v>#N/A</v>
      </c>
      <c r="BF337" s="574" t="e">
        <f>'Unit Data from Audit Worksheet'!$E$299</f>
        <v>#N/A</v>
      </c>
      <c r="BG337" s="574" t="e">
        <f>'Unit Data from Audit Worksheet'!$E$299</f>
        <v>#N/A</v>
      </c>
      <c r="BH337" s="574" t="e">
        <f>'Unit Data from Audit Worksheet'!$E$299</f>
        <v>#N/A</v>
      </c>
      <c r="BI337" s="574" t="e">
        <f>'Unit Data from Audit Worksheet'!$E$299</f>
        <v>#N/A</v>
      </c>
      <c r="BJ337" s="574" t="e">
        <f>'Unit Data from Audit Worksheet'!$E$299</f>
        <v>#N/A</v>
      </c>
      <c r="BK337" s="574" t="e">
        <f>'Unit Data from Audit Worksheet'!$E$299</f>
        <v>#N/A</v>
      </c>
      <c r="BL337" s="574" t="e">
        <f>'Unit Data from Audit Worksheet'!$E$299</f>
        <v>#N/A</v>
      </c>
      <c r="BM337" s="574" t="e">
        <f>'Unit Data from Audit Worksheet'!$E$299</f>
        <v>#N/A</v>
      </c>
      <c r="BN337" s="574" t="e">
        <f>'Unit Data from Audit Worksheet'!$E$299</f>
        <v>#N/A</v>
      </c>
      <c r="BO337" s="574" t="e">
        <f>'Unit Data from Audit Worksheet'!$E$299</f>
        <v>#N/A</v>
      </c>
      <c r="BP337" s="574" t="e">
        <f>'Unit Data from Audit Worksheet'!$E$299</f>
        <v>#N/A</v>
      </c>
      <c r="BQ337" s="574" t="e">
        <f>'Unit Data from Audit Worksheet'!$E$299</f>
        <v>#N/A</v>
      </c>
      <c r="BR337" s="574" t="e">
        <f>'Unit Data from Audit Worksheet'!$E$299</f>
        <v>#N/A</v>
      </c>
      <c r="BS337" s="574" t="e">
        <f>'Unit Data from Audit Worksheet'!$E$299</f>
        <v>#N/A</v>
      </c>
      <c r="BT337" s="574" t="e">
        <f>'Unit Data from Audit Worksheet'!$E$299</f>
        <v>#N/A</v>
      </c>
      <c r="BU337" s="574" t="e">
        <f>'Unit Data from Audit Worksheet'!$E$299</f>
        <v>#N/A</v>
      </c>
      <c r="BV337" s="574" t="e">
        <f>'Unit Data from Audit Worksheet'!$E$299</f>
        <v>#N/A</v>
      </c>
      <c r="BW337" s="574" t="e">
        <f>'Unit Data from Audit Worksheet'!$E$299</f>
        <v>#N/A</v>
      </c>
      <c r="BX337" s="574" t="e">
        <f>'Unit Data from Audit Worksheet'!$E$299</f>
        <v>#N/A</v>
      </c>
      <c r="BY337" s="574" t="e">
        <f>'Unit Data from Audit Worksheet'!$E$299</f>
        <v>#N/A</v>
      </c>
      <c r="BZ337" s="574" t="e">
        <f>'Unit Data from Audit Worksheet'!$E$299</f>
        <v>#N/A</v>
      </c>
      <c r="CA337" s="574" t="e">
        <f>'Unit Data from Audit Worksheet'!$E$299</f>
        <v>#N/A</v>
      </c>
      <c r="CB337" s="574" t="e">
        <f>'Unit Data from Audit Worksheet'!$E$299</f>
        <v>#N/A</v>
      </c>
      <c r="CC337" s="574" t="e">
        <f>'Unit Data from Audit Worksheet'!$E$299</f>
        <v>#N/A</v>
      </c>
      <c r="CD337" s="574" t="e">
        <f>'Unit Data from Audit Worksheet'!$E$299</f>
        <v>#N/A</v>
      </c>
      <c r="CE337" s="574" t="e">
        <f>'Unit Data from Audit Worksheet'!$E$299</f>
        <v>#N/A</v>
      </c>
      <c r="CF337" s="574" t="e">
        <f>'Unit Data from Audit Worksheet'!$E$299</f>
        <v>#N/A</v>
      </c>
      <c r="CG337" s="574" t="e">
        <f>'Unit Data from Audit Worksheet'!$E$299</f>
        <v>#N/A</v>
      </c>
      <c r="CH337" s="574" t="e">
        <f>'Unit Data from Audit Worksheet'!$E$299</f>
        <v>#N/A</v>
      </c>
      <c r="CI337" s="574" t="e">
        <f>'Unit Data from Audit Worksheet'!$E$299</f>
        <v>#N/A</v>
      </c>
      <c r="CJ337" s="574" t="e">
        <f>'Unit Data from Audit Worksheet'!$E$299</f>
        <v>#N/A</v>
      </c>
      <c r="CK337" s="574" t="e">
        <f>'Unit Data from Audit Worksheet'!$E$299</f>
        <v>#N/A</v>
      </c>
      <c r="CL337" s="574" t="e">
        <f>'Unit Data from Audit Worksheet'!$E$299</f>
        <v>#N/A</v>
      </c>
      <c r="CM337" s="574" t="e">
        <f>'Unit Data from Audit Worksheet'!$E$299</f>
        <v>#N/A</v>
      </c>
      <c r="CN337" s="574" t="e">
        <f>'Unit Data from Audit Worksheet'!$E$299</f>
        <v>#N/A</v>
      </c>
      <c r="CO337" s="574" t="e">
        <f>'Unit Data from Audit Worksheet'!$E$299</f>
        <v>#N/A</v>
      </c>
      <c r="CP337" s="574" t="e">
        <f>'Unit Data from Audit Worksheet'!$E$299</f>
        <v>#N/A</v>
      </c>
      <c r="CQ337" s="574" t="e">
        <f>'Unit Data from Audit Worksheet'!$E$299</f>
        <v>#N/A</v>
      </c>
      <c r="CR337" s="574" t="e">
        <f>'Unit Data from Audit Worksheet'!$E$299</f>
        <v>#N/A</v>
      </c>
      <c r="CS337" s="574" t="e">
        <f>'Unit Data from Audit Worksheet'!$E$299</f>
        <v>#N/A</v>
      </c>
      <c r="CT337" s="574" t="e">
        <f>'Unit Data from Audit Worksheet'!$E$299</f>
        <v>#N/A</v>
      </c>
      <c r="CU337" s="574" t="e">
        <f>'Unit Data from Audit Worksheet'!$E$299</f>
        <v>#N/A</v>
      </c>
      <c r="CV337" s="574" t="e">
        <f>'Unit Data from Audit Worksheet'!$E$299</f>
        <v>#N/A</v>
      </c>
      <c r="CW337" s="574" t="e">
        <f>'Unit Data from Audit Worksheet'!$E$299</f>
        <v>#N/A</v>
      </c>
      <c r="CX337" s="574" t="e">
        <f>'Unit Data from Audit Worksheet'!$E$299</f>
        <v>#N/A</v>
      </c>
      <c r="CY337" s="574" t="e">
        <f>'Unit Data from Audit Worksheet'!$E$299</f>
        <v>#N/A</v>
      </c>
      <c r="CZ337" s="574" t="e">
        <f>'Unit Data from Audit Worksheet'!$E$299</f>
        <v>#N/A</v>
      </c>
    </row>
    <row r="338" spans="2:104" x14ac:dyDescent="0.3">
      <c r="B338" s="180"/>
      <c r="C338" s="180"/>
      <c r="D338" s="574"/>
      <c r="E338" s="574"/>
      <c r="F338" s="574"/>
      <c r="G338" s="574"/>
      <c r="H338" s="574"/>
      <c r="I338" s="574"/>
      <c r="J338" s="574"/>
      <c r="K338" s="574"/>
      <c r="L338" s="574"/>
      <c r="M338" s="574"/>
      <c r="N338" s="574"/>
      <c r="O338" s="574"/>
      <c r="P338" s="574"/>
      <c r="Q338" s="574"/>
      <c r="R338" s="574"/>
      <c r="S338" s="574"/>
      <c r="T338" s="574"/>
      <c r="U338" s="574"/>
      <c r="V338" s="574"/>
      <c r="W338" s="574"/>
      <c r="X338" s="574"/>
      <c r="Y338" s="574"/>
      <c r="Z338" s="574"/>
      <c r="AA338" s="574"/>
      <c r="AB338" s="574"/>
      <c r="AC338" s="574"/>
      <c r="AD338" s="574"/>
      <c r="AE338" s="574"/>
      <c r="AF338" s="574"/>
      <c r="AG338" s="574"/>
      <c r="AH338" s="574"/>
      <c r="AI338" s="574"/>
      <c r="AJ338" s="574"/>
      <c r="AK338" s="574"/>
      <c r="AL338" s="574"/>
      <c r="AM338" s="574"/>
      <c r="AN338" s="574"/>
      <c r="AO338" s="574"/>
      <c r="AP338" s="574"/>
      <c r="AQ338" s="574"/>
      <c r="AR338" s="574"/>
      <c r="AS338" s="574"/>
      <c r="AT338" s="574"/>
      <c r="AU338" s="574"/>
      <c r="AV338" s="574"/>
      <c r="AW338" s="574"/>
      <c r="AX338" s="574"/>
      <c r="AY338" s="574"/>
      <c r="AZ338" s="574"/>
      <c r="BA338" s="574"/>
      <c r="BB338" s="574"/>
      <c r="BC338" s="574"/>
      <c r="BD338" s="574"/>
      <c r="BE338" s="574"/>
      <c r="BF338" s="574"/>
      <c r="BG338" s="574"/>
      <c r="BH338" s="574"/>
      <c r="BI338" s="574"/>
      <c r="BJ338" s="574"/>
      <c r="BK338" s="574"/>
      <c r="BL338" s="574"/>
      <c r="BM338" s="574"/>
      <c r="BN338" s="574"/>
      <c r="BO338" s="574"/>
      <c r="BP338" s="574"/>
      <c r="BQ338" s="574"/>
      <c r="BR338" s="574"/>
      <c r="BS338" s="574"/>
      <c r="BT338" s="574"/>
      <c r="BU338" s="574"/>
      <c r="BV338" s="574"/>
      <c r="BW338" s="574"/>
      <c r="BX338" s="574"/>
      <c r="BY338" s="574"/>
      <c r="BZ338" s="574"/>
      <c r="CA338" s="574"/>
      <c r="CB338" s="574"/>
      <c r="CC338" s="574"/>
      <c r="CD338" s="574"/>
      <c r="CE338" s="574"/>
      <c r="CF338" s="574"/>
      <c r="CG338" s="574"/>
      <c r="CH338" s="574"/>
      <c r="CI338" s="574"/>
      <c r="CJ338" s="574"/>
      <c r="CK338" s="574"/>
      <c r="CL338" s="574"/>
      <c r="CM338" s="574"/>
      <c r="CN338" s="574"/>
      <c r="CO338" s="574"/>
      <c r="CP338" s="574"/>
      <c r="CQ338" s="574"/>
      <c r="CR338" s="574"/>
      <c r="CS338" s="574"/>
      <c r="CT338" s="574"/>
      <c r="CU338" s="574"/>
      <c r="CV338" s="574"/>
      <c r="CW338" s="574"/>
      <c r="CX338" s="574"/>
      <c r="CY338" s="574"/>
      <c r="CZ338" s="574"/>
    </row>
    <row r="339" spans="2:104" x14ac:dyDescent="0.3">
      <c r="B339" s="180"/>
      <c r="C339" s="180"/>
      <c r="D339" s="574" t="e">
        <f>D335-D337</f>
        <v>#N/A</v>
      </c>
      <c r="E339" s="574" t="e">
        <f t="shared" ref="E339:BP339" si="151">E335-E337</f>
        <v>#N/A</v>
      </c>
      <c r="F339" s="574" t="e">
        <f t="shared" si="151"/>
        <v>#N/A</v>
      </c>
      <c r="G339" s="574" t="e">
        <f t="shared" si="151"/>
        <v>#N/A</v>
      </c>
      <c r="H339" s="574" t="e">
        <f t="shared" si="151"/>
        <v>#N/A</v>
      </c>
      <c r="I339" s="574" t="e">
        <f t="shared" si="151"/>
        <v>#N/A</v>
      </c>
      <c r="J339" s="574" t="e">
        <f t="shared" si="151"/>
        <v>#N/A</v>
      </c>
      <c r="K339" s="574" t="e">
        <f t="shared" si="151"/>
        <v>#N/A</v>
      </c>
      <c r="L339" s="574" t="e">
        <f t="shared" si="151"/>
        <v>#N/A</v>
      </c>
      <c r="M339" s="574" t="e">
        <f t="shared" si="151"/>
        <v>#N/A</v>
      </c>
      <c r="N339" s="574" t="e">
        <f t="shared" si="151"/>
        <v>#N/A</v>
      </c>
      <c r="O339" s="574" t="e">
        <f t="shared" si="151"/>
        <v>#N/A</v>
      </c>
      <c r="P339" s="574" t="e">
        <f t="shared" si="151"/>
        <v>#N/A</v>
      </c>
      <c r="Q339" s="574" t="e">
        <f t="shared" si="151"/>
        <v>#N/A</v>
      </c>
      <c r="R339" s="574" t="e">
        <f t="shared" si="151"/>
        <v>#N/A</v>
      </c>
      <c r="S339" s="574" t="e">
        <f t="shared" si="151"/>
        <v>#N/A</v>
      </c>
      <c r="T339" s="574" t="e">
        <f t="shared" si="151"/>
        <v>#N/A</v>
      </c>
      <c r="U339" s="574" t="e">
        <f t="shared" si="151"/>
        <v>#N/A</v>
      </c>
      <c r="V339" s="574" t="e">
        <f t="shared" si="151"/>
        <v>#N/A</v>
      </c>
      <c r="W339" s="574" t="e">
        <f t="shared" si="151"/>
        <v>#N/A</v>
      </c>
      <c r="X339" s="574" t="e">
        <f t="shared" si="151"/>
        <v>#N/A</v>
      </c>
      <c r="Y339" s="574" t="e">
        <f t="shared" si="151"/>
        <v>#N/A</v>
      </c>
      <c r="Z339" s="574" t="e">
        <f t="shared" si="151"/>
        <v>#N/A</v>
      </c>
      <c r="AA339" s="574" t="e">
        <f t="shared" si="151"/>
        <v>#N/A</v>
      </c>
      <c r="AB339" s="574" t="e">
        <f t="shared" si="151"/>
        <v>#N/A</v>
      </c>
      <c r="AC339" s="574" t="e">
        <f t="shared" si="151"/>
        <v>#N/A</v>
      </c>
      <c r="AD339" s="574" t="e">
        <f t="shared" si="151"/>
        <v>#N/A</v>
      </c>
      <c r="AE339" s="574" t="e">
        <f t="shared" si="151"/>
        <v>#N/A</v>
      </c>
      <c r="AF339" s="574" t="e">
        <f t="shared" si="151"/>
        <v>#N/A</v>
      </c>
      <c r="AG339" s="574" t="e">
        <f t="shared" si="151"/>
        <v>#N/A</v>
      </c>
      <c r="AH339" s="574" t="e">
        <f t="shared" si="151"/>
        <v>#N/A</v>
      </c>
      <c r="AI339" s="574" t="e">
        <f t="shared" si="151"/>
        <v>#N/A</v>
      </c>
      <c r="AJ339" s="574" t="e">
        <f t="shared" si="151"/>
        <v>#N/A</v>
      </c>
      <c r="AK339" s="574" t="e">
        <f t="shared" si="151"/>
        <v>#N/A</v>
      </c>
      <c r="AL339" s="574" t="e">
        <f t="shared" si="151"/>
        <v>#N/A</v>
      </c>
      <c r="AM339" s="574" t="e">
        <f t="shared" si="151"/>
        <v>#N/A</v>
      </c>
      <c r="AN339" s="574" t="e">
        <f t="shared" si="151"/>
        <v>#N/A</v>
      </c>
      <c r="AO339" s="574" t="e">
        <f t="shared" si="151"/>
        <v>#N/A</v>
      </c>
      <c r="AP339" s="574" t="e">
        <f t="shared" si="151"/>
        <v>#N/A</v>
      </c>
      <c r="AQ339" s="574" t="e">
        <f t="shared" si="151"/>
        <v>#N/A</v>
      </c>
      <c r="AR339" s="574" t="e">
        <f t="shared" si="151"/>
        <v>#N/A</v>
      </c>
      <c r="AS339" s="574" t="e">
        <f t="shared" si="151"/>
        <v>#N/A</v>
      </c>
      <c r="AT339" s="574" t="e">
        <f t="shared" si="151"/>
        <v>#N/A</v>
      </c>
      <c r="AU339" s="574" t="e">
        <f t="shared" si="151"/>
        <v>#N/A</v>
      </c>
      <c r="AV339" s="574" t="e">
        <f t="shared" si="151"/>
        <v>#N/A</v>
      </c>
      <c r="AW339" s="574" t="e">
        <f t="shared" si="151"/>
        <v>#N/A</v>
      </c>
      <c r="AX339" s="574" t="e">
        <f t="shared" si="151"/>
        <v>#N/A</v>
      </c>
      <c r="AY339" s="574" t="e">
        <f t="shared" si="151"/>
        <v>#N/A</v>
      </c>
      <c r="AZ339" s="574" t="e">
        <f t="shared" si="151"/>
        <v>#N/A</v>
      </c>
      <c r="BA339" s="574" t="e">
        <f t="shared" si="151"/>
        <v>#N/A</v>
      </c>
      <c r="BB339" s="574" t="e">
        <f t="shared" si="151"/>
        <v>#N/A</v>
      </c>
      <c r="BC339" s="574" t="e">
        <f t="shared" si="151"/>
        <v>#N/A</v>
      </c>
      <c r="BD339" s="574" t="e">
        <f t="shared" si="151"/>
        <v>#N/A</v>
      </c>
      <c r="BE339" s="574" t="e">
        <f t="shared" si="151"/>
        <v>#N/A</v>
      </c>
      <c r="BF339" s="574" t="e">
        <f t="shared" si="151"/>
        <v>#N/A</v>
      </c>
      <c r="BG339" s="574" t="e">
        <f t="shared" si="151"/>
        <v>#N/A</v>
      </c>
      <c r="BH339" s="574" t="e">
        <f t="shared" si="151"/>
        <v>#N/A</v>
      </c>
      <c r="BI339" s="574" t="e">
        <f t="shared" si="151"/>
        <v>#N/A</v>
      </c>
      <c r="BJ339" s="574" t="e">
        <f t="shared" si="151"/>
        <v>#N/A</v>
      </c>
      <c r="BK339" s="574" t="e">
        <f t="shared" si="151"/>
        <v>#N/A</v>
      </c>
      <c r="BL339" s="574" t="e">
        <f t="shared" si="151"/>
        <v>#N/A</v>
      </c>
      <c r="BM339" s="574" t="e">
        <f t="shared" si="151"/>
        <v>#N/A</v>
      </c>
      <c r="BN339" s="574" t="e">
        <f t="shared" si="151"/>
        <v>#N/A</v>
      </c>
      <c r="BO339" s="574" t="e">
        <f t="shared" si="151"/>
        <v>#N/A</v>
      </c>
      <c r="BP339" s="574" t="e">
        <f t="shared" si="151"/>
        <v>#N/A</v>
      </c>
      <c r="BQ339" s="574" t="e">
        <f t="shared" ref="BQ339:CZ339" si="152">BQ335-BQ337</f>
        <v>#N/A</v>
      </c>
      <c r="BR339" s="574" t="e">
        <f t="shared" si="152"/>
        <v>#N/A</v>
      </c>
      <c r="BS339" s="574" t="e">
        <f t="shared" si="152"/>
        <v>#N/A</v>
      </c>
      <c r="BT339" s="574" t="e">
        <f t="shared" si="152"/>
        <v>#N/A</v>
      </c>
      <c r="BU339" s="574" t="e">
        <f t="shared" si="152"/>
        <v>#N/A</v>
      </c>
      <c r="BV339" s="574" t="e">
        <f t="shared" si="152"/>
        <v>#N/A</v>
      </c>
      <c r="BW339" s="574" t="e">
        <f t="shared" si="152"/>
        <v>#N/A</v>
      </c>
      <c r="BX339" s="574" t="e">
        <f t="shared" si="152"/>
        <v>#N/A</v>
      </c>
      <c r="BY339" s="574" t="e">
        <f t="shared" si="152"/>
        <v>#N/A</v>
      </c>
      <c r="BZ339" s="574" t="e">
        <f t="shared" si="152"/>
        <v>#N/A</v>
      </c>
      <c r="CA339" s="574" t="e">
        <f t="shared" si="152"/>
        <v>#N/A</v>
      </c>
      <c r="CB339" s="574" t="e">
        <f t="shared" si="152"/>
        <v>#N/A</v>
      </c>
      <c r="CC339" s="574" t="e">
        <f t="shared" si="152"/>
        <v>#N/A</v>
      </c>
      <c r="CD339" s="574" t="e">
        <f t="shared" si="152"/>
        <v>#N/A</v>
      </c>
      <c r="CE339" s="574" t="e">
        <f t="shared" si="152"/>
        <v>#N/A</v>
      </c>
      <c r="CF339" s="574" t="e">
        <f t="shared" si="152"/>
        <v>#N/A</v>
      </c>
      <c r="CG339" s="574" t="e">
        <f t="shared" si="152"/>
        <v>#N/A</v>
      </c>
      <c r="CH339" s="574" t="e">
        <f t="shared" si="152"/>
        <v>#N/A</v>
      </c>
      <c r="CI339" s="574" t="e">
        <f t="shared" si="152"/>
        <v>#N/A</v>
      </c>
      <c r="CJ339" s="574" t="e">
        <f t="shared" si="152"/>
        <v>#N/A</v>
      </c>
      <c r="CK339" s="574" t="e">
        <f t="shared" si="152"/>
        <v>#N/A</v>
      </c>
      <c r="CL339" s="574" t="e">
        <f t="shared" si="152"/>
        <v>#N/A</v>
      </c>
      <c r="CM339" s="574" t="e">
        <f t="shared" si="152"/>
        <v>#N/A</v>
      </c>
      <c r="CN339" s="574" t="e">
        <f t="shared" si="152"/>
        <v>#N/A</v>
      </c>
      <c r="CO339" s="574" t="e">
        <f t="shared" si="152"/>
        <v>#N/A</v>
      </c>
      <c r="CP339" s="574" t="e">
        <f t="shared" si="152"/>
        <v>#N/A</v>
      </c>
      <c r="CQ339" s="574" t="e">
        <f t="shared" si="152"/>
        <v>#N/A</v>
      </c>
      <c r="CR339" s="574" t="e">
        <f t="shared" si="152"/>
        <v>#N/A</v>
      </c>
      <c r="CS339" s="574" t="e">
        <f t="shared" si="152"/>
        <v>#N/A</v>
      </c>
      <c r="CT339" s="574" t="e">
        <f t="shared" si="152"/>
        <v>#N/A</v>
      </c>
      <c r="CU339" s="574" t="e">
        <f t="shared" si="152"/>
        <v>#N/A</v>
      </c>
      <c r="CV339" s="574" t="e">
        <f t="shared" si="152"/>
        <v>#N/A</v>
      </c>
      <c r="CW339" s="574" t="e">
        <f t="shared" si="152"/>
        <v>#N/A</v>
      </c>
      <c r="CX339" s="574" t="e">
        <f t="shared" si="152"/>
        <v>#N/A</v>
      </c>
      <c r="CY339" s="574" t="e">
        <f t="shared" si="152"/>
        <v>#N/A</v>
      </c>
      <c r="CZ339" s="574" t="e">
        <f t="shared" si="152"/>
        <v>#N/A</v>
      </c>
    </row>
    <row r="341" spans="2:104" x14ac:dyDescent="0.3">
      <c r="D341" t="str">
        <f>D1</f>
        <v>Indian Beach</v>
      </c>
      <c r="E341" s="180" t="str">
        <f t="shared" ref="E341:BP341" si="153">E1</f>
        <v>Indian Trail</v>
      </c>
      <c r="F341" s="180" t="str">
        <f t="shared" si="153"/>
        <v>Jackson</v>
      </c>
      <c r="G341" s="180" t="str">
        <f t="shared" si="153"/>
        <v>Jacksonville</v>
      </c>
      <c r="H341" s="180" t="str">
        <f t="shared" si="153"/>
        <v>Jamestown</v>
      </c>
      <c r="I341" s="180" t="str">
        <f t="shared" si="153"/>
        <v>Jamesville</v>
      </c>
      <c r="J341" s="180" t="str">
        <f t="shared" si="153"/>
        <v>Jefferson</v>
      </c>
      <c r="K341" s="180" t="str">
        <f t="shared" si="153"/>
        <v>Jonesville</v>
      </c>
      <c r="L341" s="180" t="str">
        <f t="shared" si="153"/>
        <v>Kannapolis</v>
      </c>
      <c r="M341" s="180" t="str">
        <f t="shared" si="153"/>
        <v>Kelford</v>
      </c>
      <c r="N341" s="180" t="str">
        <f t="shared" si="153"/>
        <v>Kenansville</v>
      </c>
      <c r="O341" s="180" t="str">
        <f t="shared" si="153"/>
        <v>Kenly</v>
      </c>
      <c r="P341" s="180" t="str">
        <f t="shared" si="153"/>
        <v>Kernersville</v>
      </c>
      <c r="Q341" s="180" t="str">
        <f t="shared" si="153"/>
        <v>Kill Devil Hills</v>
      </c>
      <c r="R341" s="180" t="str">
        <f t="shared" si="153"/>
        <v>King</v>
      </c>
      <c r="S341" s="180" t="str">
        <f t="shared" si="153"/>
        <v>Kings Mountain</v>
      </c>
      <c r="T341" s="180" t="str">
        <f t="shared" si="153"/>
        <v>Kingstown</v>
      </c>
      <c r="U341" s="180" t="str">
        <f t="shared" si="153"/>
        <v>Kinston</v>
      </c>
      <c r="V341" s="180" t="str">
        <f t="shared" si="153"/>
        <v>Kittrell</v>
      </c>
      <c r="W341" s="180" t="str">
        <f t="shared" si="153"/>
        <v>Kitty Hawk</v>
      </c>
      <c r="X341" s="180" t="str">
        <f t="shared" si="153"/>
        <v>Knightdale</v>
      </c>
      <c r="Y341" s="180" t="str">
        <f t="shared" si="153"/>
        <v>Kure Beach</v>
      </c>
      <c r="Z341" s="180" t="str">
        <f t="shared" si="153"/>
        <v>La Grange</v>
      </c>
      <c r="AA341" s="180" t="str">
        <f t="shared" si="153"/>
        <v>Lake Lure</v>
      </c>
      <c r="AB341" s="180" t="str">
        <f t="shared" si="153"/>
        <v>Lake Park</v>
      </c>
      <c r="AC341" s="180" t="str">
        <f t="shared" si="153"/>
        <v>Lake Santeetlah</v>
      </c>
      <c r="AD341" s="180" t="str">
        <f t="shared" si="153"/>
        <v>Lake Waccamaw</v>
      </c>
      <c r="AE341" s="180" t="str">
        <f t="shared" si="153"/>
        <v>Landis</v>
      </c>
      <c r="AF341" s="180" t="str">
        <f t="shared" si="153"/>
        <v>Lansing</v>
      </c>
      <c r="AG341" s="180" t="str">
        <f t="shared" si="153"/>
        <v>Lasker</v>
      </c>
      <c r="AH341" s="180" t="str">
        <f t="shared" si="153"/>
        <v>Lattimore</v>
      </c>
      <c r="AI341" s="180" t="str">
        <f t="shared" si="153"/>
        <v>Laurel Park</v>
      </c>
      <c r="AJ341" s="180" t="str">
        <f t="shared" si="153"/>
        <v>Laurinburg</v>
      </c>
      <c r="AK341" s="180" t="str">
        <f t="shared" si="153"/>
        <v>Lawndale</v>
      </c>
      <c r="AL341" s="180" t="str">
        <f t="shared" si="153"/>
        <v>Leggett</v>
      </c>
      <c r="AM341" s="180" t="str">
        <f t="shared" si="153"/>
        <v>Leland</v>
      </c>
      <c r="AN341" s="180" t="str">
        <f t="shared" si="153"/>
        <v>Lenoir</v>
      </c>
      <c r="AO341" s="180" t="str">
        <f t="shared" si="153"/>
        <v>Lewiston-Woodville</v>
      </c>
      <c r="AP341" s="180" t="str">
        <f t="shared" si="153"/>
        <v>Lewisville</v>
      </c>
      <c r="AQ341" s="180" t="str">
        <f t="shared" si="153"/>
        <v>Lexington</v>
      </c>
      <c r="AR341" s="180" t="str">
        <f t="shared" si="153"/>
        <v>Liberty</v>
      </c>
      <c r="AS341" s="180" t="str">
        <f t="shared" si="153"/>
        <v>Lilesville</v>
      </c>
      <c r="AT341" s="180" t="str">
        <f t="shared" si="153"/>
        <v>Lillington</v>
      </c>
      <c r="AU341" s="180" t="str">
        <f t="shared" si="153"/>
        <v>Lincolnton</v>
      </c>
      <c r="AV341" s="180" t="str">
        <f t="shared" si="153"/>
        <v>Linden</v>
      </c>
      <c r="AW341" s="180" t="str">
        <f t="shared" si="153"/>
        <v>Littleton</v>
      </c>
      <c r="AX341" s="180" t="str">
        <f t="shared" si="153"/>
        <v>Locust</v>
      </c>
      <c r="AY341" s="180" t="str">
        <f t="shared" si="153"/>
        <v>Long View</v>
      </c>
      <c r="AZ341" s="180" t="str">
        <f t="shared" si="153"/>
        <v>Louisburg</v>
      </c>
      <c r="BA341" s="180" t="str">
        <f t="shared" si="153"/>
        <v>Love Valley</v>
      </c>
      <c r="BB341" s="180" t="str">
        <f t="shared" si="153"/>
        <v>Lowell</v>
      </c>
      <c r="BC341" s="180" t="str">
        <f t="shared" si="153"/>
        <v>Lucama</v>
      </c>
      <c r="BD341" s="180" t="str">
        <f t="shared" si="153"/>
        <v>Lumber Bridge</v>
      </c>
      <c r="BE341" s="180" t="str">
        <f t="shared" si="153"/>
        <v>Lumberton</v>
      </c>
      <c r="BF341" s="180" t="str">
        <f t="shared" si="153"/>
        <v>Macclesfield</v>
      </c>
      <c r="BG341" s="180" t="str">
        <f t="shared" si="153"/>
        <v>Macon</v>
      </c>
      <c r="BH341" s="180" t="str">
        <f t="shared" si="153"/>
        <v>Madison</v>
      </c>
      <c r="BI341" s="180" t="str">
        <f t="shared" si="153"/>
        <v>Maggie Valley</v>
      </c>
      <c r="BJ341" s="180" t="str">
        <f t="shared" si="153"/>
        <v>Magnolia</v>
      </c>
      <c r="BK341" s="180" t="str">
        <f t="shared" si="153"/>
        <v>Maiden</v>
      </c>
      <c r="BL341" s="180" t="str">
        <f t="shared" si="153"/>
        <v>Manteo</v>
      </c>
      <c r="BM341" s="180" t="str">
        <f t="shared" si="153"/>
        <v>Marietta</v>
      </c>
      <c r="BN341" s="180" t="str">
        <f t="shared" si="153"/>
        <v>Marion</v>
      </c>
      <c r="BO341" s="180" t="str">
        <f t="shared" si="153"/>
        <v>Mars Hill</v>
      </c>
      <c r="BP341" s="180" t="str">
        <f t="shared" si="153"/>
        <v>Marshall</v>
      </c>
      <c r="BQ341" s="180" t="str">
        <f t="shared" ref="BQ341:CZ341" si="154">BQ1</f>
        <v>Marshville</v>
      </c>
      <c r="BR341" s="180" t="str">
        <f t="shared" si="154"/>
        <v>Marvin</v>
      </c>
      <c r="BS341" s="180" t="str">
        <f t="shared" si="154"/>
        <v>Matthews</v>
      </c>
      <c r="BT341" s="180" t="str">
        <f t="shared" si="154"/>
        <v>Maxton</v>
      </c>
      <c r="BU341" s="180" t="str">
        <f t="shared" si="154"/>
        <v>Mayodan</v>
      </c>
      <c r="BV341" s="180" t="str">
        <f t="shared" si="154"/>
        <v>Maysville</v>
      </c>
      <c r="BW341" s="180" t="str">
        <f t="shared" si="154"/>
        <v>McAdenville</v>
      </c>
      <c r="BX341" s="180" t="str">
        <f t="shared" si="154"/>
        <v>McDonald</v>
      </c>
      <c r="BY341" s="180" t="str">
        <f t="shared" si="154"/>
        <v>McFarlan</v>
      </c>
      <c r="BZ341" s="180" t="str">
        <f t="shared" si="154"/>
        <v>Mebane</v>
      </c>
      <c r="CA341" s="180" t="str">
        <f t="shared" si="154"/>
        <v>Mesic</v>
      </c>
      <c r="CB341" s="180">
        <f t="shared" si="154"/>
        <v>0</v>
      </c>
      <c r="CC341" s="180">
        <f t="shared" si="154"/>
        <v>0</v>
      </c>
      <c r="CD341" s="180">
        <f t="shared" si="154"/>
        <v>0</v>
      </c>
      <c r="CE341" s="180">
        <f t="shared" si="154"/>
        <v>0</v>
      </c>
      <c r="CF341" s="180">
        <f t="shared" si="154"/>
        <v>0</v>
      </c>
      <c r="CG341" s="180">
        <f t="shared" si="154"/>
        <v>0</v>
      </c>
      <c r="CH341" s="180">
        <f t="shared" si="154"/>
        <v>0</v>
      </c>
      <c r="CI341" s="180">
        <f t="shared" si="154"/>
        <v>0</v>
      </c>
      <c r="CJ341" s="180">
        <f t="shared" si="154"/>
        <v>0</v>
      </c>
      <c r="CK341" s="180">
        <f t="shared" si="154"/>
        <v>0</v>
      </c>
      <c r="CL341" s="180">
        <f t="shared" si="154"/>
        <v>0</v>
      </c>
      <c r="CM341" s="180">
        <f t="shared" si="154"/>
        <v>0</v>
      </c>
      <c r="CN341" s="180">
        <f t="shared" si="154"/>
        <v>0</v>
      </c>
      <c r="CO341" s="180">
        <f t="shared" si="154"/>
        <v>0</v>
      </c>
      <c r="CP341" s="180">
        <f t="shared" si="154"/>
        <v>0</v>
      </c>
      <c r="CQ341" s="180">
        <f t="shared" si="154"/>
        <v>0</v>
      </c>
      <c r="CR341" s="180">
        <f t="shared" si="154"/>
        <v>0</v>
      </c>
      <c r="CS341" s="180">
        <f t="shared" si="154"/>
        <v>0</v>
      </c>
      <c r="CT341" s="180">
        <f t="shared" si="154"/>
        <v>0</v>
      </c>
      <c r="CU341" s="180">
        <f t="shared" si="154"/>
        <v>0</v>
      </c>
      <c r="CV341" s="180">
        <f t="shared" si="154"/>
        <v>0</v>
      </c>
      <c r="CW341" s="180">
        <f t="shared" si="154"/>
        <v>0</v>
      </c>
      <c r="CX341" s="180">
        <f t="shared" si="154"/>
        <v>0</v>
      </c>
      <c r="CY341" s="180">
        <f t="shared" si="154"/>
        <v>0</v>
      </c>
      <c r="CZ341" s="180">
        <f t="shared" si="154"/>
        <v>0</v>
      </c>
    </row>
  </sheetData>
  <sheetProtection algorithmName="SHA-512" hashValue="aoIDTqebKxCnXVPJ+sCVZYNhKCl7/TodTLfR6S4WWbDkhdgvqxly9P/dEe6/r92V1WfbeVrs+Xws6k30284Ncw==" saltValue="iF/DTkX8aCe5qX1/8FdOFg=="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K314"/>
  <sheetViews>
    <sheetView workbookViewId="0">
      <pane xSplit="3" ySplit="2" topLeftCell="D3" activePane="bottomRight" state="frozen"/>
      <selection pane="topRight" activeCell="D1" sqref="D1"/>
      <selection pane="bottomLeft" activeCell="A3" sqref="A3"/>
      <selection pane="bottomRight" activeCell="C1" sqref="C1"/>
    </sheetView>
  </sheetViews>
  <sheetFormatPr defaultRowHeight="14.4" x14ac:dyDescent="0.3"/>
  <cols>
    <col min="1" max="1" width="12.5546875" style="155" customWidth="1"/>
    <col min="2" max="2" width="66.5546875" customWidth="1"/>
    <col min="3" max="3" width="37.6640625" customWidth="1"/>
    <col min="4" max="97" width="20.6640625" customWidth="1"/>
  </cols>
  <sheetData>
    <row r="1" spans="1:79" x14ac:dyDescent="0.3">
      <c r="A1" s="183" t="s">
        <v>1736</v>
      </c>
      <c r="B1" t="s">
        <v>1733</v>
      </c>
      <c r="C1" t="s">
        <v>351</v>
      </c>
      <c r="D1" t="s">
        <v>436</v>
      </c>
      <c r="E1" t="s">
        <v>1318</v>
      </c>
      <c r="F1" t="s">
        <v>437</v>
      </c>
      <c r="G1" t="s">
        <v>1319</v>
      </c>
      <c r="H1" t="s">
        <v>1320</v>
      </c>
      <c r="I1" t="s">
        <v>1321</v>
      </c>
      <c r="J1" t="s">
        <v>1322</v>
      </c>
      <c r="K1" t="s">
        <v>1323</v>
      </c>
      <c r="L1" t="s">
        <v>1324</v>
      </c>
      <c r="M1" t="s">
        <v>1325</v>
      </c>
      <c r="N1" t="s">
        <v>1326</v>
      </c>
      <c r="O1" t="s">
        <v>1327</v>
      </c>
      <c r="P1" t="s">
        <v>1328</v>
      </c>
      <c r="Q1" t="s">
        <v>1329</v>
      </c>
      <c r="R1" t="s">
        <v>1330</v>
      </c>
      <c r="S1" t="s">
        <v>1331</v>
      </c>
      <c r="T1" t="s">
        <v>438</v>
      </c>
      <c r="U1" t="s">
        <v>1332</v>
      </c>
      <c r="V1" t="s">
        <v>1333</v>
      </c>
      <c r="W1" t="s">
        <v>1334</v>
      </c>
      <c r="X1" t="s">
        <v>1335</v>
      </c>
      <c r="Y1" t="s">
        <v>1336</v>
      </c>
      <c r="Z1" t="s">
        <v>1337</v>
      </c>
      <c r="AA1" t="s">
        <v>1338</v>
      </c>
      <c r="AB1" t="s">
        <v>1339</v>
      </c>
      <c r="AC1" t="s">
        <v>1340</v>
      </c>
      <c r="AD1" t="s">
        <v>1341</v>
      </c>
      <c r="AE1" t="s">
        <v>1342</v>
      </c>
      <c r="AF1" t="s">
        <v>1343</v>
      </c>
      <c r="AG1" t="s">
        <v>1344</v>
      </c>
      <c r="AH1" t="s">
        <v>1345</v>
      </c>
      <c r="AI1" t="s">
        <v>1346</v>
      </c>
      <c r="AJ1" t="s">
        <v>1347</v>
      </c>
      <c r="AK1" t="s">
        <v>1348</v>
      </c>
      <c r="AL1" t="s">
        <v>1349</v>
      </c>
      <c r="AM1" t="s">
        <v>1350</v>
      </c>
      <c r="AN1" t="s">
        <v>1351</v>
      </c>
      <c r="AO1" t="s">
        <v>1352</v>
      </c>
      <c r="AP1" t="s">
        <v>1353</v>
      </c>
      <c r="AQ1" t="s">
        <v>1354</v>
      </c>
      <c r="AR1" t="s">
        <v>1355</v>
      </c>
      <c r="AS1" t="s">
        <v>1356</v>
      </c>
      <c r="AT1" t="s">
        <v>1357</v>
      </c>
      <c r="AU1" t="s">
        <v>1358</v>
      </c>
      <c r="AV1" t="s">
        <v>1359</v>
      </c>
      <c r="AW1" t="s">
        <v>1360</v>
      </c>
      <c r="AX1" t="s">
        <v>1361</v>
      </c>
      <c r="AY1" t="s">
        <v>1362</v>
      </c>
      <c r="AZ1" t="s">
        <v>1363</v>
      </c>
      <c r="BA1" t="s">
        <v>439</v>
      </c>
      <c r="BB1" t="s">
        <v>1364</v>
      </c>
      <c r="BC1" t="s">
        <v>440</v>
      </c>
      <c r="BD1" t="s">
        <v>1365</v>
      </c>
      <c r="BE1" t="s">
        <v>441</v>
      </c>
      <c r="BF1" t="s">
        <v>442</v>
      </c>
      <c r="BG1" t="s">
        <v>392</v>
      </c>
      <c r="BH1" t="s">
        <v>1366</v>
      </c>
      <c r="BI1" t="s">
        <v>1367</v>
      </c>
      <c r="BJ1" t="s">
        <v>443</v>
      </c>
      <c r="BK1" t="s">
        <v>1368</v>
      </c>
      <c r="BL1" t="s">
        <v>1369</v>
      </c>
      <c r="BM1" t="s">
        <v>1370</v>
      </c>
      <c r="BN1" t="s">
        <v>1371</v>
      </c>
      <c r="BO1" t="s">
        <v>1372</v>
      </c>
      <c r="BP1" t="s">
        <v>1373</v>
      </c>
      <c r="BQ1" t="s">
        <v>1374</v>
      </c>
      <c r="BR1" t="s">
        <v>1375</v>
      </c>
      <c r="BS1" t="s">
        <v>1376</v>
      </c>
      <c r="BT1" t="s">
        <v>1377</v>
      </c>
      <c r="BU1" t="s">
        <v>1378</v>
      </c>
      <c r="BV1" t="s">
        <v>444</v>
      </c>
      <c r="BW1" t="s">
        <v>1379</v>
      </c>
      <c r="BX1" t="s">
        <v>1380</v>
      </c>
      <c r="BY1" t="s">
        <v>1381</v>
      </c>
      <c r="BZ1" t="s">
        <v>1382</v>
      </c>
      <c r="CA1" t="s">
        <v>1383</v>
      </c>
    </row>
    <row r="2" spans="1:79" x14ac:dyDescent="0.3">
      <c r="A2" s="155" t="s">
        <v>896</v>
      </c>
      <c r="B2" t="s">
        <v>41</v>
      </c>
      <c r="C2" t="s">
        <v>13</v>
      </c>
      <c r="D2" s="803">
        <v>50476</v>
      </c>
      <c r="E2" s="803">
        <v>50191</v>
      </c>
      <c r="F2" s="803">
        <v>50192</v>
      </c>
      <c r="G2" s="803">
        <v>50193</v>
      </c>
      <c r="H2" s="803">
        <v>50194</v>
      </c>
      <c r="I2" s="803">
        <v>50195</v>
      </c>
      <c r="J2" s="803">
        <v>50196</v>
      </c>
      <c r="K2" s="803">
        <v>50197</v>
      </c>
      <c r="L2" s="803">
        <v>50498</v>
      </c>
      <c r="M2" s="803">
        <v>50198</v>
      </c>
      <c r="N2" s="803">
        <v>50199</v>
      </c>
      <c r="O2" s="803">
        <v>50200</v>
      </c>
      <c r="P2" s="803">
        <v>50201</v>
      </c>
      <c r="Q2" s="803">
        <v>50202</v>
      </c>
      <c r="R2" s="803">
        <v>50493</v>
      </c>
      <c r="S2" s="803">
        <v>50203</v>
      </c>
      <c r="T2" s="803">
        <v>50518</v>
      </c>
      <c r="U2" s="803">
        <v>50204</v>
      </c>
      <c r="V2" s="803">
        <v>50205</v>
      </c>
      <c r="W2" s="803">
        <v>50206</v>
      </c>
      <c r="X2" s="803">
        <v>50207</v>
      </c>
      <c r="Y2" s="803">
        <v>50208</v>
      </c>
      <c r="Z2" s="803">
        <v>50209</v>
      </c>
      <c r="AA2" s="803">
        <v>50210</v>
      </c>
      <c r="AB2" s="803">
        <v>50519</v>
      </c>
      <c r="AC2" s="803">
        <v>50528</v>
      </c>
      <c r="AD2" s="803">
        <v>50211</v>
      </c>
      <c r="AE2" s="803">
        <v>50212</v>
      </c>
      <c r="AF2" s="803">
        <v>50213</v>
      </c>
      <c r="AG2" s="803">
        <v>50214</v>
      </c>
      <c r="AH2" s="803">
        <v>50215</v>
      </c>
      <c r="AI2" s="803">
        <v>50216</v>
      </c>
      <c r="AJ2" s="803">
        <v>50217</v>
      </c>
      <c r="AK2" s="803">
        <v>50218</v>
      </c>
      <c r="AL2" s="803">
        <v>50477</v>
      </c>
      <c r="AM2" s="803">
        <v>50520</v>
      </c>
      <c r="AN2" s="803">
        <v>50219</v>
      </c>
      <c r="AO2" s="803">
        <v>50220</v>
      </c>
      <c r="AP2" s="803">
        <v>50536</v>
      </c>
      <c r="AQ2" s="803">
        <v>50221</v>
      </c>
      <c r="AR2" s="803">
        <v>50222</v>
      </c>
      <c r="AS2" s="803">
        <v>50223</v>
      </c>
      <c r="AT2" s="803">
        <v>50224</v>
      </c>
      <c r="AU2" s="803">
        <v>50225</v>
      </c>
      <c r="AV2" s="803">
        <v>50226</v>
      </c>
      <c r="AW2" s="803">
        <v>50227</v>
      </c>
      <c r="AX2" s="803">
        <v>50455</v>
      </c>
      <c r="AY2" s="803">
        <v>50229</v>
      </c>
      <c r="AZ2" s="803">
        <v>50230</v>
      </c>
      <c r="BA2" s="803">
        <v>50231</v>
      </c>
      <c r="BB2" s="803">
        <v>50232</v>
      </c>
      <c r="BC2" s="803">
        <v>50233</v>
      </c>
      <c r="BD2" s="803">
        <v>50234</v>
      </c>
      <c r="BE2" s="803">
        <v>50235</v>
      </c>
      <c r="BF2" s="803">
        <v>50236</v>
      </c>
      <c r="BG2" s="803">
        <v>50237</v>
      </c>
      <c r="BH2" s="803">
        <v>50238</v>
      </c>
      <c r="BI2" s="803">
        <v>50444</v>
      </c>
      <c r="BJ2" s="803">
        <v>50239</v>
      </c>
      <c r="BK2" s="803">
        <v>50240</v>
      </c>
      <c r="BL2" s="803">
        <v>50241</v>
      </c>
      <c r="BM2" s="803">
        <v>50521</v>
      </c>
      <c r="BN2" s="803">
        <v>50242</v>
      </c>
      <c r="BO2" s="803">
        <v>50244</v>
      </c>
      <c r="BP2" s="803">
        <v>50243</v>
      </c>
      <c r="BQ2" s="803">
        <v>50245</v>
      </c>
      <c r="BR2" s="803">
        <v>50522</v>
      </c>
      <c r="BS2">
        <v>50246</v>
      </c>
      <c r="BT2">
        <v>50247</v>
      </c>
      <c r="BU2">
        <v>50248</v>
      </c>
      <c r="BV2">
        <v>50249</v>
      </c>
      <c r="BW2">
        <v>50250</v>
      </c>
      <c r="BX2">
        <v>50251</v>
      </c>
      <c r="BY2">
        <v>50252</v>
      </c>
      <c r="BZ2">
        <v>50253</v>
      </c>
      <c r="CA2">
        <v>50454</v>
      </c>
    </row>
    <row r="3" spans="1:79" x14ac:dyDescent="0.3">
      <c r="A3" s="155">
        <v>4</v>
      </c>
      <c r="B3" t="s">
        <v>111</v>
      </c>
      <c r="D3">
        <v>220999</v>
      </c>
      <c r="E3">
        <v>1140869</v>
      </c>
      <c r="F3">
        <v>102520</v>
      </c>
      <c r="G3">
        <v>1539860</v>
      </c>
      <c r="H3">
        <v>512853</v>
      </c>
      <c r="I3">
        <v>14534</v>
      </c>
      <c r="J3">
        <v>24144</v>
      </c>
      <c r="K3">
        <v>17467</v>
      </c>
      <c r="L3">
        <v>3701189</v>
      </c>
      <c r="M3">
        <v>14081</v>
      </c>
      <c r="N3">
        <v>20254</v>
      </c>
      <c r="O3">
        <v>26850</v>
      </c>
      <c r="P3">
        <v>1461112</v>
      </c>
      <c r="Q3">
        <v>1088202</v>
      </c>
      <c r="R3">
        <v>84191</v>
      </c>
      <c r="S3">
        <v>909113</v>
      </c>
      <c r="U3">
        <v>1247137</v>
      </c>
      <c r="V3">
        <v>704</v>
      </c>
      <c r="W3">
        <v>472978</v>
      </c>
      <c r="X3">
        <v>1109885</v>
      </c>
      <c r="Y3">
        <v>242743</v>
      </c>
      <c r="Z3">
        <v>179483</v>
      </c>
      <c r="AA3">
        <v>205657</v>
      </c>
      <c r="AB3">
        <v>20945</v>
      </c>
      <c r="AC3">
        <v>9324</v>
      </c>
      <c r="AD3">
        <v>43727</v>
      </c>
      <c r="AE3">
        <v>115496</v>
      </c>
      <c r="AF3">
        <v>9021</v>
      </c>
      <c r="AG3">
        <v>1346</v>
      </c>
      <c r="AH3">
        <v>436</v>
      </c>
      <c r="AI3">
        <v>96209</v>
      </c>
      <c r="AJ3">
        <v>112490</v>
      </c>
      <c r="AK3">
        <v>7733</v>
      </c>
      <c r="AL3">
        <v>769</v>
      </c>
      <c r="AM3">
        <v>1904570</v>
      </c>
      <c r="AN3">
        <v>418407</v>
      </c>
      <c r="AP3">
        <v>548268</v>
      </c>
      <c r="AQ3">
        <v>1414375</v>
      </c>
      <c r="AR3">
        <v>186889</v>
      </c>
      <c r="AS3">
        <v>11274</v>
      </c>
      <c r="AT3">
        <v>170196</v>
      </c>
      <c r="AU3">
        <v>2644325</v>
      </c>
      <c r="AV3">
        <v>55612</v>
      </c>
      <c r="AX3">
        <v>524414</v>
      </c>
      <c r="AY3">
        <v>93177</v>
      </c>
      <c r="AZ3">
        <v>566239</v>
      </c>
      <c r="BA3">
        <v>0</v>
      </c>
      <c r="BB3">
        <v>67069</v>
      </c>
      <c r="BD3">
        <v>3352</v>
      </c>
      <c r="BE3">
        <v>2126720</v>
      </c>
      <c r="BF3">
        <v>20376</v>
      </c>
      <c r="BG3">
        <v>1857</v>
      </c>
      <c r="BH3">
        <v>27361</v>
      </c>
      <c r="BI3">
        <v>120966</v>
      </c>
      <c r="BJ3">
        <v>38972</v>
      </c>
      <c r="BK3">
        <v>131971</v>
      </c>
      <c r="BL3">
        <v>110031</v>
      </c>
      <c r="BM3">
        <v>0</v>
      </c>
      <c r="BN3">
        <v>343400</v>
      </c>
      <c r="BO3">
        <v>176186</v>
      </c>
      <c r="BP3">
        <v>18090</v>
      </c>
      <c r="BQ3">
        <v>33635</v>
      </c>
      <c r="BR3">
        <v>123413</v>
      </c>
      <c r="BS3">
        <v>1483148</v>
      </c>
      <c r="BT3">
        <v>123508</v>
      </c>
      <c r="BU3">
        <v>89721</v>
      </c>
      <c r="BV3">
        <v>51833</v>
      </c>
      <c r="BW3">
        <v>7831</v>
      </c>
      <c r="BX3">
        <v>0</v>
      </c>
      <c r="BY3">
        <v>0</v>
      </c>
      <c r="BZ3">
        <v>2092303</v>
      </c>
      <c r="CA3">
        <v>1524</v>
      </c>
    </row>
    <row r="4" spans="1:79" x14ac:dyDescent="0.3">
      <c r="A4" s="155">
        <v>5</v>
      </c>
      <c r="B4" t="s">
        <v>112</v>
      </c>
      <c r="D4">
        <v>0</v>
      </c>
      <c r="E4">
        <v>154732</v>
      </c>
      <c r="F4">
        <v>0</v>
      </c>
      <c r="G4">
        <v>82725</v>
      </c>
      <c r="H4">
        <v>1200</v>
      </c>
      <c r="I4">
        <v>25</v>
      </c>
      <c r="J4">
        <v>1173</v>
      </c>
      <c r="K4">
        <v>0</v>
      </c>
      <c r="L4">
        <v>0</v>
      </c>
      <c r="M4">
        <v>0</v>
      </c>
      <c r="N4">
        <v>0</v>
      </c>
      <c r="O4">
        <v>0</v>
      </c>
      <c r="P4">
        <v>0</v>
      </c>
      <c r="Q4">
        <v>0</v>
      </c>
      <c r="R4">
        <v>0</v>
      </c>
      <c r="S4">
        <v>0</v>
      </c>
      <c r="U4">
        <v>130992</v>
      </c>
      <c r="V4">
        <v>0</v>
      </c>
      <c r="W4">
        <v>0</v>
      </c>
      <c r="X4">
        <v>13184</v>
      </c>
      <c r="Y4">
        <v>0</v>
      </c>
      <c r="Z4">
        <v>0</v>
      </c>
      <c r="AA4">
        <v>0</v>
      </c>
      <c r="AB4">
        <v>116</v>
      </c>
      <c r="AC4">
        <v>0</v>
      </c>
      <c r="AD4">
        <v>0</v>
      </c>
      <c r="AE4">
        <v>0</v>
      </c>
      <c r="AF4">
        <v>0</v>
      </c>
      <c r="AG4">
        <v>0</v>
      </c>
      <c r="AH4">
        <v>0</v>
      </c>
      <c r="AI4">
        <v>0</v>
      </c>
      <c r="AJ4">
        <v>29984</v>
      </c>
      <c r="AK4">
        <v>0</v>
      </c>
      <c r="AL4">
        <v>0</v>
      </c>
      <c r="AM4">
        <v>0</v>
      </c>
      <c r="AN4">
        <v>0</v>
      </c>
      <c r="AP4">
        <v>0</v>
      </c>
      <c r="AQ4">
        <v>0</v>
      </c>
      <c r="AR4">
        <v>0</v>
      </c>
      <c r="AS4">
        <v>0</v>
      </c>
      <c r="AT4">
        <v>3198</v>
      </c>
      <c r="AU4">
        <v>802</v>
      </c>
      <c r="AV4">
        <v>0</v>
      </c>
      <c r="AX4">
        <v>0</v>
      </c>
      <c r="AY4">
        <v>0</v>
      </c>
      <c r="AZ4">
        <v>0</v>
      </c>
      <c r="BA4">
        <v>0</v>
      </c>
      <c r="BB4">
        <v>0</v>
      </c>
      <c r="BD4">
        <v>0</v>
      </c>
      <c r="BE4">
        <v>16696</v>
      </c>
      <c r="BF4">
        <v>0</v>
      </c>
      <c r="BG4">
        <v>0</v>
      </c>
      <c r="BH4">
        <v>0</v>
      </c>
      <c r="BI4">
        <v>4150</v>
      </c>
      <c r="BJ4">
        <v>62300</v>
      </c>
      <c r="BK4">
        <v>158</v>
      </c>
      <c r="BL4">
        <v>0</v>
      </c>
      <c r="BM4">
        <v>0</v>
      </c>
      <c r="BN4">
        <v>13944</v>
      </c>
      <c r="BO4">
        <v>1792</v>
      </c>
      <c r="BP4">
        <v>0</v>
      </c>
      <c r="BQ4">
        <v>0</v>
      </c>
      <c r="BR4">
        <v>0</v>
      </c>
      <c r="BS4">
        <v>0</v>
      </c>
      <c r="BT4">
        <v>0</v>
      </c>
      <c r="BU4">
        <v>0</v>
      </c>
      <c r="BV4">
        <v>0</v>
      </c>
      <c r="BW4">
        <v>0</v>
      </c>
      <c r="BX4">
        <v>0</v>
      </c>
      <c r="BY4">
        <v>0</v>
      </c>
      <c r="BZ4">
        <v>0</v>
      </c>
      <c r="CA4">
        <v>0</v>
      </c>
    </row>
    <row r="5" spans="1:79" x14ac:dyDescent="0.3">
      <c r="A5" s="155">
        <v>6</v>
      </c>
      <c r="B5" t="s">
        <v>251</v>
      </c>
      <c r="D5">
        <v>0</v>
      </c>
      <c r="E5">
        <v>1553148</v>
      </c>
      <c r="F5">
        <v>0</v>
      </c>
      <c r="G5">
        <v>1483705</v>
      </c>
      <c r="H5">
        <v>0</v>
      </c>
      <c r="I5">
        <v>0</v>
      </c>
      <c r="J5">
        <v>0</v>
      </c>
      <c r="K5">
        <v>0</v>
      </c>
      <c r="L5">
        <v>0</v>
      </c>
      <c r="M5">
        <v>0</v>
      </c>
      <c r="N5">
        <v>0</v>
      </c>
      <c r="O5">
        <v>0</v>
      </c>
      <c r="P5">
        <v>0</v>
      </c>
      <c r="Q5">
        <v>922763</v>
      </c>
      <c r="R5">
        <v>0</v>
      </c>
      <c r="S5">
        <v>0</v>
      </c>
      <c r="U5">
        <v>749963</v>
      </c>
      <c r="V5">
        <v>0</v>
      </c>
      <c r="W5">
        <v>30476</v>
      </c>
      <c r="X5">
        <v>296782</v>
      </c>
      <c r="Y5">
        <v>0</v>
      </c>
      <c r="Z5">
        <v>0</v>
      </c>
      <c r="AA5">
        <v>0</v>
      </c>
      <c r="AB5">
        <v>0</v>
      </c>
      <c r="AC5">
        <v>0</v>
      </c>
      <c r="AD5">
        <v>0</v>
      </c>
      <c r="AE5">
        <v>0</v>
      </c>
      <c r="AF5">
        <v>0</v>
      </c>
      <c r="AG5">
        <v>0</v>
      </c>
      <c r="AH5">
        <v>0</v>
      </c>
      <c r="AI5">
        <v>0</v>
      </c>
      <c r="AJ5">
        <v>0</v>
      </c>
      <c r="AK5">
        <v>0</v>
      </c>
      <c r="AL5">
        <v>0</v>
      </c>
      <c r="AM5">
        <v>0</v>
      </c>
      <c r="AN5">
        <v>0</v>
      </c>
      <c r="AP5">
        <v>0</v>
      </c>
      <c r="AQ5">
        <v>2045237</v>
      </c>
      <c r="AR5">
        <v>0</v>
      </c>
      <c r="AS5">
        <v>0</v>
      </c>
      <c r="AT5">
        <v>0</v>
      </c>
      <c r="AU5">
        <v>0</v>
      </c>
      <c r="AV5">
        <v>0</v>
      </c>
      <c r="AX5">
        <v>17425</v>
      </c>
      <c r="AY5">
        <v>0</v>
      </c>
      <c r="AZ5">
        <v>0</v>
      </c>
      <c r="BA5">
        <v>0</v>
      </c>
      <c r="BB5">
        <v>0</v>
      </c>
      <c r="BD5">
        <v>0</v>
      </c>
      <c r="BE5">
        <v>0</v>
      </c>
      <c r="BF5">
        <v>0</v>
      </c>
      <c r="BG5">
        <v>0</v>
      </c>
      <c r="BH5">
        <v>0</v>
      </c>
      <c r="BI5">
        <v>18450</v>
      </c>
      <c r="BJ5">
        <v>0</v>
      </c>
      <c r="BK5">
        <v>0</v>
      </c>
      <c r="BL5">
        <v>0</v>
      </c>
      <c r="BM5">
        <v>0</v>
      </c>
      <c r="BN5">
        <v>0</v>
      </c>
      <c r="BO5">
        <v>0</v>
      </c>
      <c r="BP5">
        <v>0</v>
      </c>
      <c r="BQ5">
        <v>0</v>
      </c>
      <c r="BR5">
        <v>0</v>
      </c>
      <c r="BS5">
        <v>0</v>
      </c>
      <c r="BT5">
        <v>0</v>
      </c>
      <c r="BU5">
        <v>0</v>
      </c>
      <c r="BV5">
        <v>0</v>
      </c>
      <c r="BW5">
        <v>320000</v>
      </c>
      <c r="BX5">
        <v>0</v>
      </c>
      <c r="BY5">
        <v>0</v>
      </c>
      <c r="BZ5">
        <v>804772</v>
      </c>
      <c r="CA5">
        <v>0</v>
      </c>
    </row>
    <row r="6" spans="1:79" x14ac:dyDescent="0.3">
      <c r="A6" s="155">
        <v>7</v>
      </c>
      <c r="B6" t="s">
        <v>193</v>
      </c>
      <c r="D6">
        <v>26561</v>
      </c>
      <c r="E6">
        <v>2399</v>
      </c>
      <c r="F6">
        <v>0</v>
      </c>
      <c r="G6">
        <v>2100336</v>
      </c>
      <c r="H6">
        <v>36261</v>
      </c>
      <c r="I6">
        <v>0</v>
      </c>
      <c r="J6">
        <v>0</v>
      </c>
      <c r="K6">
        <v>0</v>
      </c>
      <c r="L6">
        <v>503039</v>
      </c>
      <c r="M6">
        <v>0</v>
      </c>
      <c r="N6">
        <v>0</v>
      </c>
      <c r="O6">
        <v>0</v>
      </c>
      <c r="P6">
        <v>15397</v>
      </c>
      <c r="Q6">
        <v>178972</v>
      </c>
      <c r="R6">
        <v>0</v>
      </c>
      <c r="S6">
        <v>46703</v>
      </c>
      <c r="U6">
        <v>105960</v>
      </c>
      <c r="V6">
        <v>0</v>
      </c>
      <c r="W6">
        <v>28853</v>
      </c>
      <c r="X6">
        <v>12465</v>
      </c>
      <c r="Y6">
        <v>0</v>
      </c>
      <c r="Z6">
        <v>87561</v>
      </c>
      <c r="AA6">
        <v>780</v>
      </c>
      <c r="AB6">
        <v>2500</v>
      </c>
      <c r="AC6">
        <v>0</v>
      </c>
      <c r="AD6">
        <v>0</v>
      </c>
      <c r="AE6">
        <v>26831</v>
      </c>
      <c r="AF6">
        <v>0</v>
      </c>
      <c r="AG6">
        <v>0</v>
      </c>
      <c r="AH6">
        <v>0</v>
      </c>
      <c r="AI6">
        <v>0</v>
      </c>
      <c r="AJ6">
        <v>28410</v>
      </c>
      <c r="AK6">
        <v>4146</v>
      </c>
      <c r="AL6">
        <v>0</v>
      </c>
      <c r="AM6">
        <v>406</v>
      </c>
      <c r="AN6">
        <v>0</v>
      </c>
      <c r="AP6">
        <v>0</v>
      </c>
      <c r="AQ6">
        <v>169605</v>
      </c>
      <c r="AR6">
        <v>4398</v>
      </c>
      <c r="AS6">
        <v>0</v>
      </c>
      <c r="AT6">
        <v>16731</v>
      </c>
      <c r="AU6">
        <v>22695</v>
      </c>
      <c r="AV6">
        <v>0</v>
      </c>
      <c r="AX6">
        <v>170021</v>
      </c>
      <c r="AY6">
        <v>11166</v>
      </c>
      <c r="AZ6">
        <v>0</v>
      </c>
      <c r="BA6">
        <v>2532</v>
      </c>
      <c r="BB6">
        <v>0</v>
      </c>
      <c r="BD6">
        <v>0</v>
      </c>
      <c r="BE6">
        <v>127233</v>
      </c>
      <c r="BF6">
        <v>0</v>
      </c>
      <c r="BG6">
        <v>0</v>
      </c>
      <c r="BH6">
        <v>0</v>
      </c>
      <c r="BI6">
        <v>27036</v>
      </c>
      <c r="BJ6">
        <v>0</v>
      </c>
      <c r="BK6">
        <v>0</v>
      </c>
      <c r="BL6">
        <v>0</v>
      </c>
      <c r="BM6">
        <v>0</v>
      </c>
      <c r="BN6">
        <v>1739</v>
      </c>
      <c r="BO6">
        <v>0</v>
      </c>
      <c r="BP6">
        <v>0</v>
      </c>
      <c r="BQ6">
        <v>0</v>
      </c>
      <c r="BR6">
        <v>1300</v>
      </c>
      <c r="BS6">
        <v>142279</v>
      </c>
      <c r="BT6">
        <v>0</v>
      </c>
      <c r="BU6">
        <v>0</v>
      </c>
      <c r="BV6">
        <v>0</v>
      </c>
      <c r="BW6">
        <v>0</v>
      </c>
      <c r="BX6">
        <v>0</v>
      </c>
      <c r="BY6">
        <v>0</v>
      </c>
      <c r="BZ6">
        <v>31716</v>
      </c>
      <c r="CA6">
        <v>0</v>
      </c>
    </row>
    <row r="7" spans="1:79" x14ac:dyDescent="0.3">
      <c r="A7" s="155">
        <v>9</v>
      </c>
      <c r="B7" t="s">
        <v>195</v>
      </c>
      <c r="D7">
        <v>787982</v>
      </c>
      <c r="E7">
        <v>25120594</v>
      </c>
      <c r="F7">
        <v>546750</v>
      </c>
      <c r="G7">
        <v>38843952</v>
      </c>
      <c r="H7">
        <v>4667014</v>
      </c>
      <c r="I7">
        <v>584860</v>
      </c>
      <c r="J7">
        <v>2664512</v>
      </c>
      <c r="K7">
        <v>1632960</v>
      </c>
      <c r="L7">
        <v>29400164</v>
      </c>
      <c r="M7">
        <v>282812</v>
      </c>
      <c r="N7">
        <v>889832</v>
      </c>
      <c r="O7">
        <v>1024947</v>
      </c>
      <c r="P7">
        <v>15907002</v>
      </c>
      <c r="Q7">
        <v>21988046</v>
      </c>
      <c r="R7">
        <v>3220842</v>
      </c>
      <c r="S7">
        <v>9933171</v>
      </c>
      <c r="U7">
        <v>8558010</v>
      </c>
      <c r="V7">
        <v>269066</v>
      </c>
      <c r="W7">
        <v>14476134</v>
      </c>
      <c r="X7">
        <v>10570115</v>
      </c>
      <c r="Y7">
        <v>6167297</v>
      </c>
      <c r="Z7">
        <v>2604831</v>
      </c>
      <c r="AA7">
        <v>5091726</v>
      </c>
      <c r="AB7">
        <v>1495608</v>
      </c>
      <c r="AC7">
        <v>178638</v>
      </c>
      <c r="AD7">
        <v>1709789</v>
      </c>
      <c r="AE7">
        <v>2435698</v>
      </c>
      <c r="AF7">
        <v>107681</v>
      </c>
      <c r="AG7">
        <v>86521</v>
      </c>
      <c r="AH7">
        <v>263198</v>
      </c>
      <c r="AI7">
        <v>2929765</v>
      </c>
      <c r="AJ7">
        <v>3346025</v>
      </c>
      <c r="AK7">
        <v>369212</v>
      </c>
      <c r="AL7">
        <v>125010</v>
      </c>
      <c r="AM7">
        <v>15144960</v>
      </c>
      <c r="AN7">
        <v>14523494</v>
      </c>
      <c r="AP7">
        <v>6167864</v>
      </c>
      <c r="AQ7">
        <v>14584712</v>
      </c>
      <c r="AR7">
        <v>3055687</v>
      </c>
      <c r="AS7">
        <v>610730</v>
      </c>
      <c r="AT7">
        <v>2722139</v>
      </c>
      <c r="AU7">
        <v>5708206</v>
      </c>
      <c r="AV7">
        <v>205854</v>
      </c>
      <c r="AX7">
        <v>3969075</v>
      </c>
      <c r="AY7">
        <v>3437569</v>
      </c>
      <c r="AZ7">
        <v>2406755</v>
      </c>
      <c r="BA7">
        <v>155271</v>
      </c>
      <c r="BB7">
        <v>2510686</v>
      </c>
      <c r="BD7">
        <v>400826</v>
      </c>
      <c r="BE7">
        <v>5832914</v>
      </c>
      <c r="BF7">
        <v>673168</v>
      </c>
      <c r="BG7">
        <v>215491</v>
      </c>
      <c r="BH7">
        <v>3630477</v>
      </c>
      <c r="BI7">
        <v>4066161</v>
      </c>
      <c r="BJ7">
        <v>700541</v>
      </c>
      <c r="BK7">
        <v>4252526</v>
      </c>
      <c r="BL7">
        <v>7291972</v>
      </c>
      <c r="BM7">
        <v>166350</v>
      </c>
      <c r="BN7">
        <v>5090959</v>
      </c>
      <c r="BO7">
        <v>4523939</v>
      </c>
      <c r="BP7">
        <v>1710102</v>
      </c>
      <c r="BQ7">
        <v>936123</v>
      </c>
      <c r="BR7">
        <v>2307470</v>
      </c>
      <c r="BS7">
        <v>12816713</v>
      </c>
      <c r="BT7">
        <v>2603710</v>
      </c>
      <c r="BU7">
        <v>2409498</v>
      </c>
      <c r="BV7">
        <v>897409</v>
      </c>
      <c r="BW7">
        <v>1552602</v>
      </c>
      <c r="BX7">
        <v>198394</v>
      </c>
      <c r="BY7">
        <v>213313</v>
      </c>
      <c r="BZ7">
        <v>15719819</v>
      </c>
      <c r="CA7">
        <v>97925</v>
      </c>
    </row>
    <row r="8" spans="1:79" x14ac:dyDescent="0.3">
      <c r="A8" s="155">
        <v>11</v>
      </c>
      <c r="B8" t="s">
        <v>194</v>
      </c>
      <c r="D8">
        <v>0</v>
      </c>
      <c r="E8">
        <v>2519205</v>
      </c>
      <c r="F8">
        <v>29413</v>
      </c>
      <c r="G8">
        <v>1184801</v>
      </c>
      <c r="H8">
        <v>234555</v>
      </c>
      <c r="I8">
        <v>105667</v>
      </c>
      <c r="J8">
        <v>12554</v>
      </c>
      <c r="K8">
        <v>4483</v>
      </c>
      <c r="L8">
        <v>2278361</v>
      </c>
      <c r="M8">
        <v>41428</v>
      </c>
      <c r="N8">
        <v>209058</v>
      </c>
      <c r="O8">
        <v>82315</v>
      </c>
      <c r="P8">
        <v>0</v>
      </c>
      <c r="Q8">
        <v>43174</v>
      </c>
      <c r="R8">
        <v>866</v>
      </c>
      <c r="S8">
        <v>195243</v>
      </c>
      <c r="U8">
        <v>0</v>
      </c>
      <c r="V8">
        <v>101493</v>
      </c>
      <c r="W8">
        <v>232023</v>
      </c>
      <c r="X8">
        <v>884998</v>
      </c>
      <c r="Y8">
        <v>285458</v>
      </c>
      <c r="Z8">
        <v>284125</v>
      </c>
      <c r="AA8">
        <v>0</v>
      </c>
      <c r="AB8">
        <v>134972</v>
      </c>
      <c r="AC8">
        <v>57</v>
      </c>
      <c r="AD8">
        <v>163340</v>
      </c>
      <c r="AE8">
        <v>334523</v>
      </c>
      <c r="AF8">
        <v>18047</v>
      </c>
      <c r="AG8">
        <v>7885</v>
      </c>
      <c r="AH8">
        <v>107064</v>
      </c>
      <c r="AI8">
        <v>0</v>
      </c>
      <c r="AJ8">
        <v>0</v>
      </c>
      <c r="AK8">
        <v>46147</v>
      </c>
      <c r="AL8">
        <v>0</v>
      </c>
      <c r="AM8">
        <v>698703</v>
      </c>
      <c r="AN8">
        <v>0</v>
      </c>
      <c r="AP8">
        <v>509721</v>
      </c>
      <c r="AQ8">
        <v>309171</v>
      </c>
      <c r="AR8">
        <v>191006</v>
      </c>
      <c r="AS8">
        <v>21679</v>
      </c>
      <c r="AT8">
        <v>141436</v>
      </c>
      <c r="AU8">
        <v>278229</v>
      </c>
      <c r="AV8">
        <v>5668</v>
      </c>
      <c r="AX8">
        <v>65371</v>
      </c>
      <c r="AY8">
        <v>465927</v>
      </c>
      <c r="AZ8">
        <v>51054</v>
      </c>
      <c r="BA8">
        <v>0</v>
      </c>
      <c r="BB8">
        <v>566476</v>
      </c>
      <c r="BD8">
        <v>1209</v>
      </c>
      <c r="BE8">
        <v>147920</v>
      </c>
      <c r="BF8">
        <v>30695</v>
      </c>
      <c r="BG8">
        <v>27932</v>
      </c>
      <c r="BH8">
        <v>50181</v>
      </c>
      <c r="BI8">
        <v>57551</v>
      </c>
      <c r="BJ8">
        <v>178435</v>
      </c>
      <c r="BK8">
        <v>135630</v>
      </c>
      <c r="BL8">
        <v>93417</v>
      </c>
      <c r="BM8">
        <v>0</v>
      </c>
      <c r="BN8">
        <v>378492</v>
      </c>
      <c r="BO8">
        <v>175386</v>
      </c>
      <c r="BP8">
        <v>166891</v>
      </c>
      <c r="BQ8">
        <v>188480</v>
      </c>
      <c r="BR8">
        <v>0</v>
      </c>
      <c r="BS8">
        <v>375832</v>
      </c>
      <c r="BT8">
        <v>4531</v>
      </c>
      <c r="BU8">
        <v>188650</v>
      </c>
      <c r="BV8">
        <v>0</v>
      </c>
      <c r="BW8">
        <v>69293</v>
      </c>
      <c r="BX8">
        <v>20018</v>
      </c>
      <c r="BY8">
        <v>19525</v>
      </c>
      <c r="BZ8">
        <v>0</v>
      </c>
      <c r="CA8">
        <v>8238</v>
      </c>
    </row>
    <row r="9" spans="1:79" x14ac:dyDescent="0.3">
      <c r="A9" s="155">
        <v>13</v>
      </c>
      <c r="B9" t="s">
        <v>897</v>
      </c>
      <c r="D9">
        <v>0</v>
      </c>
      <c r="E9">
        <v>0</v>
      </c>
      <c r="F9">
        <v>0</v>
      </c>
      <c r="G9">
        <v>0</v>
      </c>
      <c r="H9">
        <v>0</v>
      </c>
      <c r="I9">
        <v>0</v>
      </c>
      <c r="J9">
        <v>0</v>
      </c>
      <c r="K9">
        <v>0</v>
      </c>
      <c r="L9">
        <v>0</v>
      </c>
      <c r="M9">
        <v>0</v>
      </c>
      <c r="N9">
        <v>0</v>
      </c>
      <c r="O9">
        <v>0</v>
      </c>
      <c r="P9">
        <v>0</v>
      </c>
      <c r="Q9">
        <v>0</v>
      </c>
      <c r="R9">
        <v>0</v>
      </c>
      <c r="S9">
        <v>0</v>
      </c>
      <c r="U9">
        <v>0</v>
      </c>
      <c r="V9">
        <v>0</v>
      </c>
      <c r="W9">
        <v>0</v>
      </c>
      <c r="X9">
        <v>0</v>
      </c>
      <c r="Y9">
        <v>0</v>
      </c>
      <c r="Z9">
        <v>0</v>
      </c>
      <c r="AA9">
        <v>0</v>
      </c>
      <c r="AB9">
        <v>0</v>
      </c>
      <c r="AC9">
        <v>0</v>
      </c>
      <c r="AD9">
        <v>0</v>
      </c>
      <c r="AE9">
        <v>0</v>
      </c>
      <c r="AF9">
        <v>0</v>
      </c>
      <c r="AG9">
        <v>0</v>
      </c>
      <c r="AH9">
        <v>0</v>
      </c>
      <c r="AI9">
        <v>0</v>
      </c>
      <c r="AJ9">
        <v>0</v>
      </c>
      <c r="AK9">
        <v>0</v>
      </c>
      <c r="AL9">
        <v>0</v>
      </c>
      <c r="AM9">
        <v>0</v>
      </c>
      <c r="AN9">
        <v>0</v>
      </c>
      <c r="AP9">
        <v>0</v>
      </c>
      <c r="AQ9">
        <v>0</v>
      </c>
      <c r="AR9">
        <v>0</v>
      </c>
      <c r="AS9">
        <v>0</v>
      </c>
      <c r="AT9">
        <v>0</v>
      </c>
      <c r="AU9">
        <v>0</v>
      </c>
      <c r="AV9">
        <v>0</v>
      </c>
      <c r="AX9">
        <v>0</v>
      </c>
      <c r="AY9">
        <v>0</v>
      </c>
      <c r="AZ9">
        <v>0</v>
      </c>
      <c r="BA9">
        <v>0</v>
      </c>
      <c r="BB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row>
    <row r="10" spans="1:79" x14ac:dyDescent="0.3">
      <c r="A10" s="155">
        <v>14</v>
      </c>
      <c r="B10" t="s">
        <v>898</v>
      </c>
      <c r="D10">
        <v>0</v>
      </c>
      <c r="E10">
        <v>0</v>
      </c>
      <c r="F10">
        <v>0</v>
      </c>
      <c r="G10">
        <v>0</v>
      </c>
      <c r="H10">
        <v>0</v>
      </c>
      <c r="I10">
        <v>0</v>
      </c>
      <c r="J10">
        <v>0</v>
      </c>
      <c r="K10">
        <v>0</v>
      </c>
      <c r="L10">
        <v>0</v>
      </c>
      <c r="M10">
        <v>0</v>
      </c>
      <c r="N10">
        <v>0</v>
      </c>
      <c r="O10">
        <v>0</v>
      </c>
      <c r="P10">
        <v>0</v>
      </c>
      <c r="Q10">
        <v>0</v>
      </c>
      <c r="R10">
        <v>0</v>
      </c>
      <c r="S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P10">
        <v>0</v>
      </c>
      <c r="AQ10">
        <v>0</v>
      </c>
      <c r="AR10">
        <v>0</v>
      </c>
      <c r="AS10">
        <v>0</v>
      </c>
      <c r="AT10">
        <v>0</v>
      </c>
      <c r="AU10">
        <v>0</v>
      </c>
      <c r="AV10">
        <v>0</v>
      </c>
      <c r="AX10">
        <v>0</v>
      </c>
      <c r="AY10">
        <v>0</v>
      </c>
      <c r="AZ10">
        <v>0</v>
      </c>
      <c r="BA10">
        <v>0</v>
      </c>
      <c r="BB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row>
    <row r="11" spans="1:79" x14ac:dyDescent="0.3">
      <c r="A11" s="155">
        <v>16</v>
      </c>
      <c r="B11" t="s">
        <v>197</v>
      </c>
      <c r="D11">
        <v>2369662</v>
      </c>
      <c r="E11">
        <v>14538630</v>
      </c>
      <c r="F11">
        <v>371085</v>
      </c>
      <c r="G11">
        <v>47878594</v>
      </c>
      <c r="H11">
        <v>5251065</v>
      </c>
      <c r="I11">
        <v>285918</v>
      </c>
      <c r="J11">
        <v>1585288</v>
      </c>
      <c r="K11">
        <v>2082840</v>
      </c>
      <c r="L11">
        <v>55344864</v>
      </c>
      <c r="M11">
        <v>118476</v>
      </c>
      <c r="N11">
        <v>919208</v>
      </c>
      <c r="O11">
        <v>1815899</v>
      </c>
      <c r="P11">
        <v>37651937</v>
      </c>
      <c r="Q11">
        <v>21817515</v>
      </c>
      <c r="R11">
        <v>6996733</v>
      </c>
      <c r="S11">
        <v>15892477</v>
      </c>
      <c r="U11">
        <v>20982264</v>
      </c>
      <c r="V11">
        <v>28731</v>
      </c>
      <c r="W11">
        <v>11982423</v>
      </c>
      <c r="X11">
        <v>20950611</v>
      </c>
      <c r="Y11">
        <v>6840049</v>
      </c>
      <c r="Z11">
        <v>1842890</v>
      </c>
      <c r="AA11">
        <v>6679056</v>
      </c>
      <c r="AB11">
        <v>1353327</v>
      </c>
      <c r="AC11">
        <v>335599</v>
      </c>
      <c r="AD11">
        <v>1355616</v>
      </c>
      <c r="AE11">
        <v>3881435</v>
      </c>
      <c r="AF11">
        <v>134058</v>
      </c>
      <c r="AG11">
        <v>53802</v>
      </c>
      <c r="AH11">
        <v>79471</v>
      </c>
      <c r="AI11">
        <v>3144318</v>
      </c>
      <c r="AJ11">
        <v>7896213</v>
      </c>
      <c r="AK11">
        <v>271200</v>
      </c>
      <c r="AL11">
        <v>32125</v>
      </c>
      <c r="AM11">
        <v>23325431</v>
      </c>
      <c r="AN11">
        <v>20301950</v>
      </c>
      <c r="AP11">
        <v>4798183</v>
      </c>
      <c r="AQ11">
        <v>22992776</v>
      </c>
      <c r="AR11">
        <v>3049175</v>
      </c>
      <c r="AS11">
        <v>705117</v>
      </c>
      <c r="AT11">
        <v>4726743</v>
      </c>
      <c r="AU11">
        <v>12971770</v>
      </c>
      <c r="AV11">
        <v>98743</v>
      </c>
      <c r="AX11">
        <v>3989520</v>
      </c>
      <c r="AY11">
        <v>4441749</v>
      </c>
      <c r="AZ11">
        <v>3646870</v>
      </c>
      <c r="BA11">
        <v>90304</v>
      </c>
      <c r="BB11">
        <v>3050276</v>
      </c>
      <c r="BD11">
        <v>77379</v>
      </c>
      <c r="BE11">
        <v>25546819</v>
      </c>
      <c r="BF11">
        <v>311951</v>
      </c>
      <c r="BG11">
        <v>86008</v>
      </c>
      <c r="BH11">
        <v>3482125</v>
      </c>
      <c r="BI11">
        <v>2982082</v>
      </c>
      <c r="BJ11">
        <v>733296</v>
      </c>
      <c r="BK11">
        <v>9737962</v>
      </c>
      <c r="BL11">
        <v>5816954</v>
      </c>
      <c r="BM11">
        <v>60803</v>
      </c>
      <c r="BN11">
        <v>8347793</v>
      </c>
      <c r="BO11">
        <v>2531598</v>
      </c>
      <c r="BP11">
        <v>1350927</v>
      </c>
      <c r="BQ11">
        <v>2150527</v>
      </c>
      <c r="BR11">
        <v>1558706</v>
      </c>
      <c r="BS11">
        <v>24254018</v>
      </c>
      <c r="BT11">
        <v>2321676</v>
      </c>
      <c r="BU11">
        <v>3107176</v>
      </c>
      <c r="BV11">
        <v>1486144</v>
      </c>
      <c r="BW11">
        <v>992836</v>
      </c>
      <c r="BX11">
        <v>42941</v>
      </c>
      <c r="BY11">
        <v>48931</v>
      </c>
      <c r="BZ11">
        <v>20855209</v>
      </c>
      <c r="CA11">
        <v>79315</v>
      </c>
    </row>
    <row r="12" spans="1:79" x14ac:dyDescent="0.3">
      <c r="A12" s="155">
        <v>17</v>
      </c>
      <c r="B12" t="s">
        <v>200</v>
      </c>
      <c r="D12">
        <v>0</v>
      </c>
      <c r="E12">
        <v>1929937</v>
      </c>
      <c r="F12">
        <v>0</v>
      </c>
      <c r="G12">
        <v>1515448</v>
      </c>
      <c r="H12">
        <v>0</v>
      </c>
      <c r="I12">
        <v>0</v>
      </c>
      <c r="J12">
        <v>0</v>
      </c>
      <c r="K12">
        <v>10799</v>
      </c>
      <c r="L12">
        <v>200000</v>
      </c>
      <c r="M12">
        <v>0</v>
      </c>
      <c r="N12">
        <v>0</v>
      </c>
      <c r="O12">
        <v>0</v>
      </c>
      <c r="P12">
        <v>79244</v>
      </c>
      <c r="Q12">
        <v>372071</v>
      </c>
      <c r="R12">
        <v>0</v>
      </c>
      <c r="S12">
        <v>3630000</v>
      </c>
      <c r="U12">
        <v>2089827</v>
      </c>
      <c r="V12">
        <v>0</v>
      </c>
      <c r="W12">
        <v>0</v>
      </c>
      <c r="X12">
        <v>490000</v>
      </c>
      <c r="Y12">
        <v>0</v>
      </c>
      <c r="Z12">
        <v>20000</v>
      </c>
      <c r="AA12">
        <v>11728</v>
      </c>
      <c r="AB12">
        <v>0</v>
      </c>
      <c r="AC12">
        <v>0</v>
      </c>
      <c r="AD12">
        <v>0</v>
      </c>
      <c r="AE12">
        <v>450000</v>
      </c>
      <c r="AF12">
        <v>0</v>
      </c>
      <c r="AG12">
        <v>0</v>
      </c>
      <c r="AH12">
        <v>0</v>
      </c>
      <c r="AI12">
        <v>0</v>
      </c>
      <c r="AJ12">
        <v>367957</v>
      </c>
      <c r="AK12">
        <v>0</v>
      </c>
      <c r="AL12">
        <v>0</v>
      </c>
      <c r="AM12">
        <v>1814007</v>
      </c>
      <c r="AN12">
        <v>0</v>
      </c>
      <c r="AP12">
        <v>29547</v>
      </c>
      <c r="AQ12">
        <v>2256917</v>
      </c>
      <c r="AR12">
        <v>0</v>
      </c>
      <c r="AS12">
        <v>0</v>
      </c>
      <c r="AT12">
        <v>0</v>
      </c>
      <c r="AU12">
        <v>419687</v>
      </c>
      <c r="AV12">
        <v>20000</v>
      </c>
      <c r="AX12">
        <v>0</v>
      </c>
      <c r="AY12">
        <v>60000</v>
      </c>
      <c r="AZ12">
        <v>391543</v>
      </c>
      <c r="BA12">
        <v>0</v>
      </c>
      <c r="BB12">
        <v>0</v>
      </c>
      <c r="BD12">
        <v>0</v>
      </c>
      <c r="BE12">
        <v>1808430</v>
      </c>
      <c r="BF12">
        <v>0</v>
      </c>
      <c r="BG12">
        <v>0</v>
      </c>
      <c r="BH12">
        <v>21</v>
      </c>
      <c r="BI12">
        <v>0</v>
      </c>
      <c r="BJ12">
        <v>0</v>
      </c>
      <c r="BK12">
        <v>70221</v>
      </c>
      <c r="BL12">
        <v>16502</v>
      </c>
      <c r="BM12">
        <v>0</v>
      </c>
      <c r="BN12">
        <v>212986</v>
      </c>
      <c r="BO12">
        <v>1574</v>
      </c>
      <c r="BP12">
        <v>0</v>
      </c>
      <c r="BQ12">
        <v>0</v>
      </c>
      <c r="BR12">
        <v>0</v>
      </c>
      <c r="BS12">
        <v>601647</v>
      </c>
      <c r="BT12">
        <v>0</v>
      </c>
      <c r="BU12">
        <v>70072</v>
      </c>
      <c r="BV12">
        <v>0</v>
      </c>
      <c r="BW12">
        <v>0</v>
      </c>
      <c r="BX12">
        <v>0</v>
      </c>
      <c r="BY12">
        <v>0</v>
      </c>
      <c r="BZ12">
        <v>0</v>
      </c>
      <c r="CA12">
        <v>0</v>
      </c>
    </row>
    <row r="13" spans="1:79" x14ac:dyDescent="0.3">
      <c r="A13" s="155">
        <v>20</v>
      </c>
      <c r="B13" t="s">
        <v>201</v>
      </c>
      <c r="D13">
        <v>0</v>
      </c>
      <c r="E13">
        <v>2167340</v>
      </c>
      <c r="F13">
        <v>0</v>
      </c>
      <c r="G13">
        <v>10082017</v>
      </c>
      <c r="H13">
        <v>614103</v>
      </c>
      <c r="I13">
        <v>0</v>
      </c>
      <c r="J13">
        <v>205000</v>
      </c>
      <c r="K13">
        <v>0</v>
      </c>
      <c r="L13">
        <v>6959289</v>
      </c>
      <c r="M13">
        <v>0</v>
      </c>
      <c r="N13">
        <v>0</v>
      </c>
      <c r="O13">
        <v>0</v>
      </c>
      <c r="P13">
        <v>4146761</v>
      </c>
      <c r="Q13">
        <v>368217</v>
      </c>
      <c r="R13">
        <v>0</v>
      </c>
      <c r="S13">
        <v>3004827</v>
      </c>
      <c r="U13">
        <v>0</v>
      </c>
      <c r="V13">
        <v>0</v>
      </c>
      <c r="W13">
        <v>497989</v>
      </c>
      <c r="X13">
        <v>783363</v>
      </c>
      <c r="Y13">
        <v>2500</v>
      </c>
      <c r="Z13">
        <v>40650</v>
      </c>
      <c r="AA13">
        <v>483936</v>
      </c>
      <c r="AB13">
        <v>0</v>
      </c>
      <c r="AC13">
        <v>0</v>
      </c>
      <c r="AD13">
        <v>0</v>
      </c>
      <c r="AE13">
        <v>0</v>
      </c>
      <c r="AF13">
        <v>0</v>
      </c>
      <c r="AG13">
        <v>0</v>
      </c>
      <c r="AH13">
        <v>0</v>
      </c>
      <c r="AI13">
        <v>0</v>
      </c>
      <c r="AJ13">
        <v>121923</v>
      </c>
      <c r="AK13">
        <v>0</v>
      </c>
      <c r="AL13">
        <v>0</v>
      </c>
      <c r="AM13">
        <v>3695000</v>
      </c>
      <c r="AN13">
        <v>250000</v>
      </c>
      <c r="AP13">
        <v>2111656</v>
      </c>
      <c r="AQ13">
        <v>725000</v>
      </c>
      <c r="AR13">
        <v>10000</v>
      </c>
      <c r="AS13">
        <v>0</v>
      </c>
      <c r="AT13">
        <v>536494</v>
      </c>
      <c r="AU13">
        <v>0</v>
      </c>
      <c r="AV13">
        <v>0</v>
      </c>
      <c r="AX13">
        <v>0</v>
      </c>
      <c r="AY13">
        <v>0</v>
      </c>
      <c r="AZ13">
        <v>133676</v>
      </c>
      <c r="BA13">
        <v>0</v>
      </c>
      <c r="BB13">
        <v>0</v>
      </c>
      <c r="BD13">
        <v>0</v>
      </c>
      <c r="BE13">
        <v>0</v>
      </c>
      <c r="BF13">
        <v>0</v>
      </c>
      <c r="BG13">
        <v>0</v>
      </c>
      <c r="BH13">
        <v>0</v>
      </c>
      <c r="BI13">
        <v>0</v>
      </c>
      <c r="BJ13">
        <v>0</v>
      </c>
      <c r="BK13">
        <v>0</v>
      </c>
      <c r="BL13">
        <v>0</v>
      </c>
      <c r="BM13">
        <v>0</v>
      </c>
      <c r="BN13">
        <v>682674</v>
      </c>
      <c r="BO13">
        <v>0</v>
      </c>
      <c r="BP13">
        <v>0</v>
      </c>
      <c r="BQ13">
        <v>1510315</v>
      </c>
      <c r="BR13">
        <v>0</v>
      </c>
      <c r="BS13">
        <v>582041</v>
      </c>
      <c r="BT13">
        <v>18446</v>
      </c>
      <c r="BU13">
        <v>0</v>
      </c>
      <c r="BV13">
        <v>0</v>
      </c>
      <c r="BW13">
        <v>0</v>
      </c>
      <c r="BX13">
        <v>0</v>
      </c>
      <c r="BY13">
        <v>0</v>
      </c>
      <c r="BZ13">
        <v>1144592</v>
      </c>
      <c r="CA13">
        <v>0</v>
      </c>
    </row>
    <row r="14" spans="1:79" x14ac:dyDescent="0.3">
      <c r="A14" s="155">
        <v>22</v>
      </c>
      <c r="B14" t="s">
        <v>203</v>
      </c>
      <c r="D14">
        <v>250000</v>
      </c>
      <c r="E14">
        <v>419052</v>
      </c>
      <c r="F14">
        <v>0</v>
      </c>
      <c r="G14">
        <v>241423</v>
      </c>
      <c r="H14">
        <v>0</v>
      </c>
      <c r="I14">
        <v>0</v>
      </c>
      <c r="J14">
        <v>0</v>
      </c>
      <c r="K14">
        <v>0</v>
      </c>
      <c r="L14">
        <v>0</v>
      </c>
      <c r="M14">
        <v>0</v>
      </c>
      <c r="N14">
        <v>0</v>
      </c>
      <c r="O14">
        <v>0</v>
      </c>
      <c r="P14">
        <v>108625</v>
      </c>
      <c r="Q14">
        <v>191218</v>
      </c>
      <c r="R14">
        <v>45285</v>
      </c>
      <c r="S14">
        <v>0</v>
      </c>
      <c r="U14">
        <v>0</v>
      </c>
      <c r="V14">
        <v>0</v>
      </c>
      <c r="W14">
        <v>0</v>
      </c>
      <c r="X14">
        <v>72431</v>
      </c>
      <c r="Y14">
        <v>0</v>
      </c>
      <c r="Z14">
        <v>108932</v>
      </c>
      <c r="AA14">
        <v>0</v>
      </c>
      <c r="AB14">
        <v>0</v>
      </c>
      <c r="AC14">
        <v>0</v>
      </c>
      <c r="AD14">
        <v>0</v>
      </c>
      <c r="AE14">
        <v>0</v>
      </c>
      <c r="AF14">
        <v>0</v>
      </c>
      <c r="AG14">
        <v>0</v>
      </c>
      <c r="AH14">
        <v>0</v>
      </c>
      <c r="AI14">
        <v>0</v>
      </c>
      <c r="AJ14">
        <v>1204</v>
      </c>
      <c r="AK14">
        <v>0</v>
      </c>
      <c r="AL14">
        <v>0</v>
      </c>
      <c r="AM14">
        <v>0</v>
      </c>
      <c r="AN14">
        <v>0</v>
      </c>
      <c r="AP14">
        <v>0</v>
      </c>
      <c r="AQ14">
        <v>56534</v>
      </c>
      <c r="AR14">
        <v>23698</v>
      </c>
      <c r="AS14">
        <v>9001</v>
      </c>
      <c r="AT14">
        <v>0</v>
      </c>
      <c r="AU14">
        <v>401151</v>
      </c>
      <c r="AV14">
        <v>59467</v>
      </c>
      <c r="AX14">
        <v>0</v>
      </c>
      <c r="AY14">
        <v>0</v>
      </c>
      <c r="AZ14">
        <v>510194</v>
      </c>
      <c r="BA14">
        <v>0</v>
      </c>
      <c r="BB14">
        <v>2757</v>
      </c>
      <c r="BD14">
        <v>0</v>
      </c>
      <c r="BE14">
        <v>0</v>
      </c>
      <c r="BF14">
        <v>0</v>
      </c>
      <c r="BG14">
        <v>0</v>
      </c>
      <c r="BH14">
        <v>0</v>
      </c>
      <c r="BI14">
        <v>66803</v>
      </c>
      <c r="BJ14">
        <v>3309</v>
      </c>
      <c r="BK14">
        <v>397275</v>
      </c>
      <c r="BL14">
        <v>0</v>
      </c>
      <c r="BM14">
        <v>0</v>
      </c>
      <c r="BN14">
        <v>168819</v>
      </c>
      <c r="BO14">
        <v>0</v>
      </c>
      <c r="BP14">
        <v>0</v>
      </c>
      <c r="BQ14">
        <v>2393</v>
      </c>
      <c r="BR14">
        <v>0</v>
      </c>
      <c r="BS14">
        <v>50553</v>
      </c>
      <c r="BT14">
        <v>0</v>
      </c>
      <c r="BU14">
        <v>0</v>
      </c>
      <c r="BV14">
        <v>25398</v>
      </c>
      <c r="BW14">
        <v>0</v>
      </c>
      <c r="BX14">
        <v>0</v>
      </c>
      <c r="BY14">
        <v>0</v>
      </c>
      <c r="BZ14">
        <v>0</v>
      </c>
      <c r="CA14">
        <v>0</v>
      </c>
    </row>
    <row r="15" spans="1:79" x14ac:dyDescent="0.3">
      <c r="A15" s="155">
        <v>23</v>
      </c>
      <c r="B15" t="s">
        <v>206</v>
      </c>
      <c r="D15">
        <v>271707</v>
      </c>
      <c r="E15">
        <v>3352215</v>
      </c>
      <c r="F15">
        <v>11638</v>
      </c>
      <c r="G15">
        <v>-145439</v>
      </c>
      <c r="H15">
        <v>-311422</v>
      </c>
      <c r="I15">
        <v>15768</v>
      </c>
      <c r="J15">
        <v>77110</v>
      </c>
      <c r="K15">
        <v>136099</v>
      </c>
      <c r="L15">
        <v>8534030</v>
      </c>
      <c r="M15">
        <v>35705</v>
      </c>
      <c r="N15">
        <v>87763</v>
      </c>
      <c r="O15">
        <v>335806</v>
      </c>
      <c r="P15">
        <v>3790</v>
      </c>
      <c r="Q15">
        <v>2224779</v>
      </c>
      <c r="R15">
        <v>4626</v>
      </c>
      <c r="S15">
        <v>674916</v>
      </c>
      <c r="U15">
        <v>1516980</v>
      </c>
      <c r="V15">
        <v>-453</v>
      </c>
      <c r="W15">
        <v>1622217</v>
      </c>
      <c r="X15">
        <v>2917330</v>
      </c>
      <c r="Y15">
        <v>1070487</v>
      </c>
      <c r="Z15">
        <v>410301</v>
      </c>
      <c r="AA15">
        <v>712379</v>
      </c>
      <c r="AB15">
        <v>31761</v>
      </c>
      <c r="AC15">
        <v>-54313</v>
      </c>
      <c r="AD15">
        <v>188702</v>
      </c>
      <c r="AE15">
        <v>472365</v>
      </c>
      <c r="AF15">
        <v>11264</v>
      </c>
      <c r="AG15">
        <v>10802</v>
      </c>
      <c r="AH15">
        <v>-37664</v>
      </c>
      <c r="AI15">
        <v>737466</v>
      </c>
      <c r="AJ15">
        <v>732610</v>
      </c>
      <c r="AK15">
        <v>46117</v>
      </c>
      <c r="AL15">
        <v>7857</v>
      </c>
      <c r="AM15">
        <v>2694873</v>
      </c>
      <c r="AN15">
        <v>2201970</v>
      </c>
      <c r="AP15">
        <v>-1621329</v>
      </c>
      <c r="AQ15">
        <v>2895096</v>
      </c>
      <c r="AR15">
        <v>85415</v>
      </c>
      <c r="AS15">
        <v>125246</v>
      </c>
      <c r="AT15">
        <v>-384510</v>
      </c>
      <c r="AU15">
        <v>417389</v>
      </c>
      <c r="AV15">
        <v>48491</v>
      </c>
      <c r="AX15">
        <v>440483</v>
      </c>
      <c r="AY15">
        <v>381262</v>
      </c>
      <c r="AZ15">
        <v>235646</v>
      </c>
      <c r="BA15">
        <v>35075</v>
      </c>
      <c r="BB15">
        <v>622597</v>
      </c>
      <c r="BD15">
        <v>4422</v>
      </c>
      <c r="BE15">
        <v>449503</v>
      </c>
      <c r="BF15">
        <v>104521</v>
      </c>
      <c r="BG15">
        <v>34041</v>
      </c>
      <c r="BH15">
        <v>669603</v>
      </c>
      <c r="BI15">
        <v>364089</v>
      </c>
      <c r="BJ15">
        <v>86999</v>
      </c>
      <c r="BK15">
        <v>925692</v>
      </c>
      <c r="BL15">
        <v>1194144</v>
      </c>
      <c r="BM15">
        <v>24361</v>
      </c>
      <c r="BN15">
        <v>612206</v>
      </c>
      <c r="BO15">
        <v>768934</v>
      </c>
      <c r="BP15">
        <v>19638</v>
      </c>
      <c r="BQ15">
        <v>-2096109</v>
      </c>
      <c r="BR15">
        <v>191445</v>
      </c>
      <c r="BS15">
        <v>1816244</v>
      </c>
      <c r="BT15">
        <v>162544</v>
      </c>
      <c r="BU15">
        <v>440369</v>
      </c>
      <c r="BV15">
        <v>354272</v>
      </c>
      <c r="BW15">
        <v>237785</v>
      </c>
      <c r="BX15">
        <v>11766</v>
      </c>
      <c r="BY15">
        <v>-3436</v>
      </c>
      <c r="BZ15">
        <v>877502</v>
      </c>
      <c r="CA15">
        <v>-4957</v>
      </c>
    </row>
    <row r="16" spans="1:79" x14ac:dyDescent="0.3">
      <c r="A16" s="155">
        <v>31</v>
      </c>
      <c r="B16" t="s">
        <v>899</v>
      </c>
      <c r="D16">
        <v>0</v>
      </c>
      <c r="E16">
        <v>0</v>
      </c>
      <c r="F16">
        <v>0</v>
      </c>
      <c r="G16">
        <v>0</v>
      </c>
      <c r="H16">
        <v>0</v>
      </c>
      <c r="I16">
        <v>0</v>
      </c>
      <c r="J16">
        <v>0</v>
      </c>
      <c r="K16">
        <v>0</v>
      </c>
      <c r="L16">
        <v>0</v>
      </c>
      <c r="M16">
        <v>0</v>
      </c>
      <c r="N16">
        <v>0</v>
      </c>
      <c r="O16">
        <v>0</v>
      </c>
      <c r="P16">
        <v>0</v>
      </c>
      <c r="Q16">
        <v>0</v>
      </c>
      <c r="R16">
        <v>0</v>
      </c>
      <c r="S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P16">
        <v>0</v>
      </c>
      <c r="AQ16">
        <v>0</v>
      </c>
      <c r="AR16">
        <v>0</v>
      </c>
      <c r="AS16">
        <v>0</v>
      </c>
      <c r="AT16">
        <v>0</v>
      </c>
      <c r="AU16">
        <v>0</v>
      </c>
      <c r="AV16">
        <v>0</v>
      </c>
      <c r="AX16">
        <v>0</v>
      </c>
      <c r="AY16">
        <v>0</v>
      </c>
      <c r="AZ16">
        <v>0</v>
      </c>
      <c r="BA16">
        <v>0</v>
      </c>
      <c r="BB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row>
    <row r="17" spans="1:79" x14ac:dyDescent="0.3">
      <c r="A17" s="155">
        <v>32</v>
      </c>
      <c r="B17" t="s">
        <v>900</v>
      </c>
      <c r="D17">
        <v>0</v>
      </c>
      <c r="E17">
        <v>0</v>
      </c>
      <c r="F17">
        <v>0</v>
      </c>
      <c r="G17">
        <v>0</v>
      </c>
      <c r="H17">
        <v>0</v>
      </c>
      <c r="I17">
        <v>0</v>
      </c>
      <c r="J17">
        <v>0</v>
      </c>
      <c r="K17">
        <v>0</v>
      </c>
      <c r="L17">
        <v>0</v>
      </c>
      <c r="M17">
        <v>0</v>
      </c>
      <c r="N17">
        <v>0</v>
      </c>
      <c r="O17">
        <v>0</v>
      </c>
      <c r="P17">
        <v>0</v>
      </c>
      <c r="Q17">
        <v>0</v>
      </c>
      <c r="R17">
        <v>0</v>
      </c>
      <c r="S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P17">
        <v>0</v>
      </c>
      <c r="AQ17">
        <v>0</v>
      </c>
      <c r="AR17">
        <v>0</v>
      </c>
      <c r="AS17">
        <v>0</v>
      </c>
      <c r="AT17">
        <v>0</v>
      </c>
      <c r="AU17">
        <v>0</v>
      </c>
      <c r="AV17">
        <v>0</v>
      </c>
      <c r="AX17">
        <v>0</v>
      </c>
      <c r="AY17">
        <v>0</v>
      </c>
      <c r="AZ17">
        <v>0</v>
      </c>
      <c r="BA17">
        <v>0</v>
      </c>
      <c r="BB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row>
    <row r="18" spans="1:79" x14ac:dyDescent="0.3">
      <c r="A18" s="155">
        <v>33</v>
      </c>
      <c r="B18" t="s">
        <v>282</v>
      </c>
      <c r="D18">
        <v>0</v>
      </c>
      <c r="E18">
        <v>0</v>
      </c>
      <c r="F18">
        <v>0</v>
      </c>
      <c r="G18">
        <v>0</v>
      </c>
      <c r="H18">
        <v>0</v>
      </c>
      <c r="I18">
        <v>0</v>
      </c>
      <c r="J18">
        <v>0</v>
      </c>
      <c r="K18">
        <v>0</v>
      </c>
      <c r="L18">
        <v>0</v>
      </c>
      <c r="M18">
        <v>0</v>
      </c>
      <c r="N18">
        <v>0</v>
      </c>
      <c r="O18">
        <v>0</v>
      </c>
      <c r="P18">
        <v>0</v>
      </c>
      <c r="Q18">
        <v>0</v>
      </c>
      <c r="R18">
        <v>0</v>
      </c>
      <c r="S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P18">
        <v>0</v>
      </c>
      <c r="AQ18">
        <v>0</v>
      </c>
      <c r="AR18">
        <v>0</v>
      </c>
      <c r="AS18">
        <v>0</v>
      </c>
      <c r="AT18">
        <v>0</v>
      </c>
      <c r="AU18">
        <v>0</v>
      </c>
      <c r="AV18">
        <v>0</v>
      </c>
      <c r="AX18">
        <v>0</v>
      </c>
      <c r="AY18">
        <v>0</v>
      </c>
      <c r="AZ18">
        <v>0</v>
      </c>
      <c r="BA18">
        <v>0</v>
      </c>
      <c r="BB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row>
    <row r="19" spans="1:79" x14ac:dyDescent="0.3">
      <c r="A19" s="155">
        <v>34</v>
      </c>
      <c r="B19" t="s">
        <v>901</v>
      </c>
      <c r="D19">
        <v>0</v>
      </c>
      <c r="E19">
        <v>0</v>
      </c>
      <c r="F19">
        <v>0</v>
      </c>
      <c r="G19">
        <v>0</v>
      </c>
      <c r="H19">
        <v>0</v>
      </c>
      <c r="I19">
        <v>0</v>
      </c>
      <c r="J19">
        <v>0</v>
      </c>
      <c r="K19">
        <v>0</v>
      </c>
      <c r="L19">
        <v>0</v>
      </c>
      <c r="M19">
        <v>0</v>
      </c>
      <c r="N19">
        <v>0</v>
      </c>
      <c r="O19">
        <v>0</v>
      </c>
      <c r="P19">
        <v>0</v>
      </c>
      <c r="Q19">
        <v>0</v>
      </c>
      <c r="R19">
        <v>0</v>
      </c>
      <c r="S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P19">
        <v>0</v>
      </c>
      <c r="AQ19">
        <v>0</v>
      </c>
      <c r="AR19">
        <v>0</v>
      </c>
      <c r="AS19">
        <v>0</v>
      </c>
      <c r="AT19">
        <v>0</v>
      </c>
      <c r="AU19">
        <v>0</v>
      </c>
      <c r="AV19">
        <v>0</v>
      </c>
      <c r="AX19">
        <v>0</v>
      </c>
      <c r="AY19">
        <v>0</v>
      </c>
      <c r="AZ19">
        <v>0</v>
      </c>
      <c r="BA19">
        <v>0</v>
      </c>
      <c r="BB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row>
    <row r="20" spans="1:79" x14ac:dyDescent="0.3">
      <c r="A20" s="155">
        <v>35</v>
      </c>
      <c r="B20" t="s">
        <v>902</v>
      </c>
      <c r="D20">
        <v>0</v>
      </c>
      <c r="E20">
        <v>0</v>
      </c>
      <c r="F20">
        <v>0</v>
      </c>
      <c r="G20">
        <v>0</v>
      </c>
      <c r="H20">
        <v>0</v>
      </c>
      <c r="I20">
        <v>0</v>
      </c>
      <c r="J20">
        <v>0</v>
      </c>
      <c r="K20">
        <v>0</v>
      </c>
      <c r="L20">
        <v>0</v>
      </c>
      <c r="M20">
        <v>0</v>
      </c>
      <c r="N20">
        <v>0</v>
      </c>
      <c r="O20">
        <v>0</v>
      </c>
      <c r="P20">
        <v>0</v>
      </c>
      <c r="Q20">
        <v>0</v>
      </c>
      <c r="R20">
        <v>0</v>
      </c>
      <c r="S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P20">
        <v>0</v>
      </c>
      <c r="AQ20">
        <v>0</v>
      </c>
      <c r="AR20">
        <v>0</v>
      </c>
      <c r="AS20">
        <v>0</v>
      </c>
      <c r="AT20">
        <v>0</v>
      </c>
      <c r="AU20">
        <v>0</v>
      </c>
      <c r="AV20">
        <v>0</v>
      </c>
      <c r="AX20">
        <v>0</v>
      </c>
      <c r="AY20">
        <v>0</v>
      </c>
      <c r="AZ20">
        <v>0</v>
      </c>
      <c r="BA20">
        <v>0</v>
      </c>
      <c r="BB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row>
    <row r="21" spans="1:79" x14ac:dyDescent="0.3">
      <c r="A21" s="155">
        <v>36</v>
      </c>
      <c r="B21" t="s">
        <v>903</v>
      </c>
      <c r="D21">
        <v>0</v>
      </c>
      <c r="E21">
        <v>0</v>
      </c>
      <c r="F21">
        <v>0</v>
      </c>
      <c r="G21">
        <v>0</v>
      </c>
      <c r="H21">
        <v>0</v>
      </c>
      <c r="I21">
        <v>0</v>
      </c>
      <c r="J21">
        <v>0</v>
      </c>
      <c r="K21">
        <v>0</v>
      </c>
      <c r="L21">
        <v>0</v>
      </c>
      <c r="M21">
        <v>0</v>
      </c>
      <c r="N21">
        <v>0</v>
      </c>
      <c r="O21">
        <v>0</v>
      </c>
      <c r="P21">
        <v>0</v>
      </c>
      <c r="Q21">
        <v>0</v>
      </c>
      <c r="R21">
        <v>0</v>
      </c>
      <c r="S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P21">
        <v>0</v>
      </c>
      <c r="AQ21">
        <v>0</v>
      </c>
      <c r="AR21">
        <v>0</v>
      </c>
      <c r="AS21">
        <v>0</v>
      </c>
      <c r="AT21">
        <v>0</v>
      </c>
      <c r="AU21">
        <v>0</v>
      </c>
      <c r="AV21">
        <v>0</v>
      </c>
      <c r="AX21">
        <v>0</v>
      </c>
      <c r="AY21">
        <v>0</v>
      </c>
      <c r="AZ21">
        <v>0</v>
      </c>
      <c r="BA21">
        <v>0</v>
      </c>
      <c r="BB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row>
    <row r="22" spans="1:79" x14ac:dyDescent="0.3">
      <c r="A22" s="155">
        <v>37</v>
      </c>
      <c r="B22" t="s">
        <v>904</v>
      </c>
      <c r="D22">
        <v>0</v>
      </c>
      <c r="E22">
        <v>0</v>
      </c>
      <c r="F22">
        <v>0</v>
      </c>
      <c r="G22">
        <v>0</v>
      </c>
      <c r="H22">
        <v>0</v>
      </c>
      <c r="I22">
        <v>0</v>
      </c>
      <c r="J22">
        <v>0</v>
      </c>
      <c r="K22">
        <v>0</v>
      </c>
      <c r="L22">
        <v>0</v>
      </c>
      <c r="M22">
        <v>0</v>
      </c>
      <c r="N22">
        <v>0</v>
      </c>
      <c r="O22">
        <v>0</v>
      </c>
      <c r="P22">
        <v>0</v>
      </c>
      <c r="Q22">
        <v>0</v>
      </c>
      <c r="R22">
        <v>0</v>
      </c>
      <c r="S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P22">
        <v>0</v>
      </c>
      <c r="AQ22">
        <v>0</v>
      </c>
      <c r="AR22">
        <v>0</v>
      </c>
      <c r="AS22">
        <v>0</v>
      </c>
      <c r="AT22">
        <v>0</v>
      </c>
      <c r="AU22">
        <v>0</v>
      </c>
      <c r="AV22">
        <v>0</v>
      </c>
      <c r="AX22">
        <v>0</v>
      </c>
      <c r="AY22">
        <v>0</v>
      </c>
      <c r="AZ22">
        <v>0</v>
      </c>
      <c r="BA22">
        <v>0</v>
      </c>
      <c r="BB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row>
    <row r="23" spans="1:79" x14ac:dyDescent="0.3">
      <c r="A23" s="155">
        <v>38</v>
      </c>
      <c r="B23" t="s">
        <v>905</v>
      </c>
      <c r="D23">
        <v>0</v>
      </c>
      <c r="E23">
        <v>0</v>
      </c>
      <c r="F23">
        <v>0</v>
      </c>
      <c r="G23">
        <v>0</v>
      </c>
      <c r="H23">
        <v>0</v>
      </c>
      <c r="I23">
        <v>0</v>
      </c>
      <c r="J23">
        <v>0</v>
      </c>
      <c r="K23">
        <v>0</v>
      </c>
      <c r="L23">
        <v>0</v>
      </c>
      <c r="M23">
        <v>0</v>
      </c>
      <c r="N23">
        <v>0</v>
      </c>
      <c r="O23">
        <v>0</v>
      </c>
      <c r="P23">
        <v>0</v>
      </c>
      <c r="Q23">
        <v>0</v>
      </c>
      <c r="R23">
        <v>0</v>
      </c>
      <c r="S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P23">
        <v>0</v>
      </c>
      <c r="AQ23">
        <v>0</v>
      </c>
      <c r="AR23">
        <v>0</v>
      </c>
      <c r="AS23">
        <v>0</v>
      </c>
      <c r="AT23">
        <v>0</v>
      </c>
      <c r="AU23">
        <v>0</v>
      </c>
      <c r="AV23">
        <v>0</v>
      </c>
      <c r="AX23">
        <v>0</v>
      </c>
      <c r="AY23">
        <v>0</v>
      </c>
      <c r="AZ23">
        <v>0</v>
      </c>
      <c r="BA23">
        <v>0</v>
      </c>
      <c r="BB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row>
    <row r="24" spans="1:79" x14ac:dyDescent="0.3">
      <c r="A24" s="155">
        <v>39</v>
      </c>
      <c r="B24" t="s">
        <v>906</v>
      </c>
      <c r="D24">
        <v>0</v>
      </c>
      <c r="E24">
        <v>0</v>
      </c>
      <c r="F24">
        <v>0</v>
      </c>
      <c r="G24">
        <v>0</v>
      </c>
      <c r="H24">
        <v>0</v>
      </c>
      <c r="I24">
        <v>0</v>
      </c>
      <c r="J24">
        <v>0</v>
      </c>
      <c r="K24">
        <v>0</v>
      </c>
      <c r="L24">
        <v>0</v>
      </c>
      <c r="M24">
        <v>0</v>
      </c>
      <c r="N24">
        <v>0</v>
      </c>
      <c r="O24">
        <v>0</v>
      </c>
      <c r="P24">
        <v>0</v>
      </c>
      <c r="Q24">
        <v>0</v>
      </c>
      <c r="R24">
        <v>0</v>
      </c>
      <c r="S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P24">
        <v>0</v>
      </c>
      <c r="AQ24">
        <v>0</v>
      </c>
      <c r="AR24">
        <v>0</v>
      </c>
      <c r="AS24">
        <v>0</v>
      </c>
      <c r="AT24">
        <v>0</v>
      </c>
      <c r="AU24">
        <v>0</v>
      </c>
      <c r="AV24">
        <v>0</v>
      </c>
      <c r="AX24">
        <v>0</v>
      </c>
      <c r="AY24">
        <v>0</v>
      </c>
      <c r="AZ24">
        <v>0</v>
      </c>
      <c r="BA24">
        <v>0</v>
      </c>
      <c r="BB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row>
    <row r="25" spans="1:79" x14ac:dyDescent="0.3">
      <c r="A25" s="155">
        <v>40</v>
      </c>
      <c r="B25" t="s">
        <v>907</v>
      </c>
      <c r="D25">
        <v>0</v>
      </c>
      <c r="E25">
        <v>0</v>
      </c>
      <c r="F25">
        <v>0</v>
      </c>
      <c r="G25">
        <v>0</v>
      </c>
      <c r="H25">
        <v>0</v>
      </c>
      <c r="I25">
        <v>0</v>
      </c>
      <c r="J25">
        <v>0</v>
      </c>
      <c r="K25">
        <v>0</v>
      </c>
      <c r="L25">
        <v>0</v>
      </c>
      <c r="M25">
        <v>0</v>
      </c>
      <c r="N25">
        <v>0</v>
      </c>
      <c r="O25">
        <v>0</v>
      </c>
      <c r="P25">
        <v>0</v>
      </c>
      <c r="Q25">
        <v>0</v>
      </c>
      <c r="R25">
        <v>0</v>
      </c>
      <c r="S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P25">
        <v>0</v>
      </c>
      <c r="AQ25">
        <v>0</v>
      </c>
      <c r="AR25">
        <v>0</v>
      </c>
      <c r="AS25">
        <v>0</v>
      </c>
      <c r="AT25">
        <v>0</v>
      </c>
      <c r="AU25">
        <v>0</v>
      </c>
      <c r="AV25">
        <v>0</v>
      </c>
      <c r="AX25">
        <v>0</v>
      </c>
      <c r="AY25">
        <v>0</v>
      </c>
      <c r="AZ25">
        <v>0</v>
      </c>
      <c r="BA25">
        <v>0</v>
      </c>
      <c r="BB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row>
    <row r="26" spans="1:79" x14ac:dyDescent="0.3">
      <c r="A26" s="155">
        <v>41</v>
      </c>
      <c r="B26" t="s">
        <v>908</v>
      </c>
      <c r="D26">
        <v>0</v>
      </c>
      <c r="E26">
        <v>0</v>
      </c>
      <c r="F26">
        <v>0</v>
      </c>
      <c r="G26">
        <v>0</v>
      </c>
      <c r="H26">
        <v>0</v>
      </c>
      <c r="I26">
        <v>0</v>
      </c>
      <c r="J26">
        <v>0</v>
      </c>
      <c r="K26">
        <v>0</v>
      </c>
      <c r="L26">
        <v>0</v>
      </c>
      <c r="M26">
        <v>0</v>
      </c>
      <c r="N26">
        <v>0</v>
      </c>
      <c r="O26">
        <v>0</v>
      </c>
      <c r="P26">
        <v>0</v>
      </c>
      <c r="Q26">
        <v>0</v>
      </c>
      <c r="R26">
        <v>0</v>
      </c>
      <c r="S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P26">
        <v>0</v>
      </c>
      <c r="AQ26">
        <v>0</v>
      </c>
      <c r="AR26">
        <v>0</v>
      </c>
      <c r="AS26">
        <v>0</v>
      </c>
      <c r="AT26">
        <v>0</v>
      </c>
      <c r="AU26">
        <v>0</v>
      </c>
      <c r="AV26">
        <v>0</v>
      </c>
      <c r="AX26">
        <v>0</v>
      </c>
      <c r="AY26">
        <v>0</v>
      </c>
      <c r="AZ26">
        <v>0</v>
      </c>
      <c r="BA26">
        <v>0</v>
      </c>
      <c r="BB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row>
    <row r="27" spans="1:79" x14ac:dyDescent="0.3">
      <c r="A27" s="155">
        <v>44</v>
      </c>
      <c r="B27" t="s">
        <v>909</v>
      </c>
      <c r="D27">
        <v>0</v>
      </c>
      <c r="E27">
        <v>0</v>
      </c>
      <c r="F27">
        <v>259222</v>
      </c>
      <c r="G27">
        <v>50191839</v>
      </c>
      <c r="H27">
        <v>9520422</v>
      </c>
      <c r="I27">
        <v>242165</v>
      </c>
      <c r="J27">
        <v>6499038</v>
      </c>
      <c r="K27">
        <v>1266335</v>
      </c>
      <c r="L27">
        <v>8197232</v>
      </c>
      <c r="M27">
        <v>0</v>
      </c>
      <c r="N27">
        <v>1722557</v>
      </c>
      <c r="O27">
        <v>6557630</v>
      </c>
      <c r="P27">
        <v>0</v>
      </c>
      <c r="Q27">
        <v>8577420</v>
      </c>
      <c r="R27">
        <v>8819865</v>
      </c>
      <c r="S27">
        <v>8266746</v>
      </c>
      <c r="U27">
        <v>12233571</v>
      </c>
      <c r="V27">
        <v>0</v>
      </c>
      <c r="W27">
        <v>0</v>
      </c>
      <c r="X27">
        <v>185109</v>
      </c>
      <c r="Y27">
        <v>3334636</v>
      </c>
      <c r="Z27">
        <v>1352003</v>
      </c>
      <c r="AA27">
        <v>1296750</v>
      </c>
      <c r="AB27">
        <v>0</v>
      </c>
      <c r="AC27">
        <v>123420</v>
      </c>
      <c r="AD27">
        <v>1923004</v>
      </c>
      <c r="AE27">
        <v>2194265</v>
      </c>
      <c r="AF27">
        <v>658461</v>
      </c>
      <c r="AG27">
        <v>0</v>
      </c>
      <c r="AH27">
        <v>0</v>
      </c>
      <c r="AI27">
        <v>919466</v>
      </c>
      <c r="AJ27">
        <v>6243744</v>
      </c>
      <c r="AK27">
        <v>202066</v>
      </c>
      <c r="AL27">
        <v>0</v>
      </c>
      <c r="AM27">
        <v>0</v>
      </c>
      <c r="AN27">
        <v>13166775</v>
      </c>
      <c r="AP27">
        <v>0</v>
      </c>
      <c r="AQ27">
        <v>6731476</v>
      </c>
      <c r="AR27">
        <v>956946</v>
      </c>
      <c r="AS27">
        <v>276522</v>
      </c>
      <c r="AT27">
        <v>1345531</v>
      </c>
      <c r="AU27">
        <v>7575618</v>
      </c>
      <c r="AV27">
        <v>1296510</v>
      </c>
      <c r="AX27">
        <v>1586749</v>
      </c>
      <c r="AY27">
        <v>1491370</v>
      </c>
      <c r="AZ27">
        <v>2119419</v>
      </c>
      <c r="BA27">
        <v>3122</v>
      </c>
      <c r="BB27">
        <v>610100</v>
      </c>
      <c r="BD27">
        <v>0</v>
      </c>
      <c r="BE27">
        <v>9363343</v>
      </c>
      <c r="BF27">
        <v>35675</v>
      </c>
      <c r="BG27">
        <v>0</v>
      </c>
      <c r="BH27">
        <v>880531</v>
      </c>
      <c r="BI27">
        <v>2330284</v>
      </c>
      <c r="BJ27">
        <v>124802</v>
      </c>
      <c r="BK27">
        <v>6418153</v>
      </c>
      <c r="BL27">
        <v>3365923</v>
      </c>
      <c r="BM27">
        <v>0</v>
      </c>
      <c r="BN27">
        <v>2588384</v>
      </c>
      <c r="BO27">
        <v>3856916</v>
      </c>
      <c r="BP27">
        <v>1263865</v>
      </c>
      <c r="BQ27">
        <v>3080308</v>
      </c>
      <c r="BR27">
        <v>0</v>
      </c>
      <c r="BS27">
        <v>0</v>
      </c>
      <c r="BT27">
        <v>1313911</v>
      </c>
      <c r="BU27">
        <v>2187333</v>
      </c>
      <c r="BV27">
        <v>512447</v>
      </c>
      <c r="BW27">
        <v>1621358</v>
      </c>
      <c r="BX27">
        <v>0</v>
      </c>
      <c r="BY27">
        <v>0</v>
      </c>
      <c r="BZ27">
        <v>8495903</v>
      </c>
      <c r="CA27">
        <v>0</v>
      </c>
    </row>
    <row r="28" spans="1:79" x14ac:dyDescent="0.3">
      <c r="A28" s="155">
        <v>45</v>
      </c>
      <c r="B28" t="s">
        <v>910</v>
      </c>
      <c r="D28">
        <v>0</v>
      </c>
      <c r="E28">
        <v>0</v>
      </c>
      <c r="F28">
        <v>17231</v>
      </c>
      <c r="G28">
        <v>10446715</v>
      </c>
      <c r="H28">
        <v>358215</v>
      </c>
      <c r="I28">
        <v>27362</v>
      </c>
      <c r="J28">
        <v>27210</v>
      </c>
      <c r="K28">
        <v>321853</v>
      </c>
      <c r="L28">
        <v>4698690</v>
      </c>
      <c r="M28">
        <v>0</v>
      </c>
      <c r="N28">
        <v>11903</v>
      </c>
      <c r="O28">
        <v>165590</v>
      </c>
      <c r="P28">
        <v>0</v>
      </c>
      <c r="Q28">
        <v>1217085</v>
      </c>
      <c r="R28">
        <v>1508897</v>
      </c>
      <c r="S28">
        <v>1798097</v>
      </c>
      <c r="U28">
        <v>2922184</v>
      </c>
      <c r="V28">
        <v>0</v>
      </c>
      <c r="W28">
        <v>0</v>
      </c>
      <c r="X28">
        <v>2238</v>
      </c>
      <c r="Y28">
        <v>517598</v>
      </c>
      <c r="Z28">
        <v>35620</v>
      </c>
      <c r="AA28">
        <v>349785</v>
      </c>
      <c r="AB28">
        <v>0</v>
      </c>
      <c r="AC28">
        <v>20914</v>
      </c>
      <c r="AD28">
        <v>322226</v>
      </c>
      <c r="AE28">
        <v>288270</v>
      </c>
      <c r="AF28">
        <v>6593</v>
      </c>
      <c r="AG28">
        <v>0</v>
      </c>
      <c r="AH28">
        <v>0</v>
      </c>
      <c r="AI28">
        <v>23466</v>
      </c>
      <c r="AJ28">
        <v>1724921</v>
      </c>
      <c r="AK28">
        <v>24325</v>
      </c>
      <c r="AL28">
        <v>0</v>
      </c>
      <c r="AM28">
        <v>0</v>
      </c>
      <c r="AN28">
        <v>2057399</v>
      </c>
      <c r="AP28">
        <v>0</v>
      </c>
      <c r="AQ28">
        <v>703294</v>
      </c>
      <c r="AR28">
        <v>45853</v>
      </c>
      <c r="AS28">
        <v>10914</v>
      </c>
      <c r="AT28">
        <v>144765</v>
      </c>
      <c r="AU28">
        <v>1113586</v>
      </c>
      <c r="AV28">
        <v>35072</v>
      </c>
      <c r="AX28">
        <v>78630</v>
      </c>
      <c r="AY28">
        <v>117318</v>
      </c>
      <c r="AZ28">
        <v>359002</v>
      </c>
      <c r="BA28">
        <v>31298</v>
      </c>
      <c r="BB28">
        <v>134360</v>
      </c>
      <c r="BD28">
        <v>0</v>
      </c>
      <c r="BE28">
        <v>726981</v>
      </c>
      <c r="BF28">
        <v>116192</v>
      </c>
      <c r="BG28">
        <v>0</v>
      </c>
      <c r="BH28">
        <v>383188</v>
      </c>
      <c r="BI28">
        <v>182678</v>
      </c>
      <c r="BJ28">
        <v>174340</v>
      </c>
      <c r="BK28">
        <v>171532</v>
      </c>
      <c r="BL28">
        <v>89556</v>
      </c>
      <c r="BM28">
        <v>0</v>
      </c>
      <c r="BN28">
        <v>328260</v>
      </c>
      <c r="BO28">
        <v>222776</v>
      </c>
      <c r="BP28">
        <v>36084</v>
      </c>
      <c r="BQ28">
        <v>150095</v>
      </c>
      <c r="BR28">
        <v>0</v>
      </c>
      <c r="BS28">
        <v>0</v>
      </c>
      <c r="BT28">
        <v>112048</v>
      </c>
      <c r="BU28">
        <v>87327</v>
      </c>
      <c r="BV28">
        <v>37118</v>
      </c>
      <c r="BW28">
        <v>195180</v>
      </c>
      <c r="BX28">
        <v>0</v>
      </c>
      <c r="BY28">
        <v>0</v>
      </c>
      <c r="BZ28">
        <v>1389699</v>
      </c>
      <c r="CA28">
        <v>0</v>
      </c>
    </row>
    <row r="29" spans="1:79" x14ac:dyDescent="0.3">
      <c r="A29" s="155">
        <v>47</v>
      </c>
      <c r="B29" t="s">
        <v>911</v>
      </c>
      <c r="D29">
        <v>0</v>
      </c>
      <c r="E29">
        <v>0</v>
      </c>
      <c r="F29">
        <v>0</v>
      </c>
      <c r="G29">
        <v>0</v>
      </c>
      <c r="H29">
        <v>0</v>
      </c>
      <c r="I29">
        <v>0</v>
      </c>
      <c r="J29">
        <v>0</v>
      </c>
      <c r="K29">
        <v>0</v>
      </c>
      <c r="L29">
        <v>0</v>
      </c>
      <c r="M29">
        <v>0</v>
      </c>
      <c r="N29">
        <v>0</v>
      </c>
      <c r="O29">
        <v>0</v>
      </c>
      <c r="P29">
        <v>0</v>
      </c>
      <c r="Q29">
        <v>0</v>
      </c>
      <c r="R29">
        <v>0</v>
      </c>
      <c r="S29">
        <v>7734137</v>
      </c>
      <c r="U29">
        <v>36068159</v>
      </c>
      <c r="V29">
        <v>0</v>
      </c>
      <c r="W29">
        <v>0</v>
      </c>
      <c r="X29">
        <v>0</v>
      </c>
      <c r="Y29">
        <v>0</v>
      </c>
      <c r="Z29">
        <v>1363877</v>
      </c>
      <c r="AA29">
        <v>0</v>
      </c>
      <c r="AB29">
        <v>0</v>
      </c>
      <c r="AC29">
        <v>0</v>
      </c>
      <c r="AD29">
        <v>0</v>
      </c>
      <c r="AE29">
        <v>2590026</v>
      </c>
      <c r="AF29">
        <v>0</v>
      </c>
      <c r="AG29">
        <v>0</v>
      </c>
      <c r="AH29">
        <v>0</v>
      </c>
      <c r="AI29">
        <v>0</v>
      </c>
      <c r="AJ29">
        <v>4044950</v>
      </c>
      <c r="AK29">
        <v>0</v>
      </c>
      <c r="AL29">
        <v>0</v>
      </c>
      <c r="AM29">
        <v>0</v>
      </c>
      <c r="AN29">
        <v>0</v>
      </c>
      <c r="AP29">
        <v>0</v>
      </c>
      <c r="AQ29">
        <v>27815645</v>
      </c>
      <c r="AR29">
        <v>0</v>
      </c>
      <c r="AS29">
        <v>0</v>
      </c>
      <c r="AT29">
        <v>0</v>
      </c>
      <c r="AU29">
        <v>2546514</v>
      </c>
      <c r="AV29">
        <v>0</v>
      </c>
      <c r="AX29">
        <v>0</v>
      </c>
      <c r="AY29">
        <v>0</v>
      </c>
      <c r="AZ29">
        <v>2129934</v>
      </c>
      <c r="BA29">
        <v>0</v>
      </c>
      <c r="BB29">
        <v>0</v>
      </c>
      <c r="BD29">
        <v>0</v>
      </c>
      <c r="BE29">
        <v>13217155</v>
      </c>
      <c r="BF29">
        <v>357373</v>
      </c>
      <c r="BG29">
        <v>0</v>
      </c>
      <c r="BH29">
        <v>0</v>
      </c>
      <c r="BI29">
        <v>0</v>
      </c>
      <c r="BJ29">
        <v>0</v>
      </c>
      <c r="BK29">
        <v>4514744</v>
      </c>
      <c r="BL29">
        <v>0</v>
      </c>
      <c r="BM29">
        <v>0</v>
      </c>
      <c r="BN29">
        <v>0</v>
      </c>
      <c r="BO29">
        <v>0</v>
      </c>
      <c r="BP29">
        <v>0</v>
      </c>
      <c r="BQ29">
        <v>0</v>
      </c>
      <c r="BR29">
        <v>0</v>
      </c>
      <c r="BS29">
        <v>0</v>
      </c>
      <c r="BT29">
        <v>0</v>
      </c>
      <c r="BU29">
        <v>0</v>
      </c>
      <c r="BV29">
        <v>0</v>
      </c>
      <c r="BW29">
        <v>0</v>
      </c>
      <c r="BX29">
        <v>0</v>
      </c>
      <c r="BY29">
        <v>0</v>
      </c>
      <c r="BZ29">
        <v>0</v>
      </c>
      <c r="CA29">
        <v>0</v>
      </c>
    </row>
    <row r="30" spans="1:79" x14ac:dyDescent="0.3">
      <c r="A30" s="155">
        <v>48</v>
      </c>
      <c r="B30" t="s">
        <v>115</v>
      </c>
      <c r="D30">
        <v>0</v>
      </c>
      <c r="E30">
        <v>0</v>
      </c>
      <c r="F30">
        <v>0</v>
      </c>
      <c r="G30">
        <v>0</v>
      </c>
      <c r="H30">
        <v>0</v>
      </c>
      <c r="I30">
        <v>0</v>
      </c>
      <c r="J30">
        <v>0</v>
      </c>
      <c r="K30">
        <v>0</v>
      </c>
      <c r="L30">
        <v>0</v>
      </c>
      <c r="M30">
        <v>0</v>
      </c>
      <c r="N30">
        <v>0</v>
      </c>
      <c r="O30">
        <v>0</v>
      </c>
      <c r="P30">
        <v>0</v>
      </c>
      <c r="Q30">
        <v>0</v>
      </c>
      <c r="R30">
        <v>0</v>
      </c>
      <c r="S30">
        <v>1025305</v>
      </c>
      <c r="U30">
        <v>1773862</v>
      </c>
      <c r="V30">
        <v>0</v>
      </c>
      <c r="W30">
        <v>0</v>
      </c>
      <c r="X30">
        <v>0</v>
      </c>
      <c r="Y30">
        <v>0</v>
      </c>
      <c r="Z30">
        <v>732743</v>
      </c>
      <c r="AA30">
        <v>207508</v>
      </c>
      <c r="AB30">
        <v>0</v>
      </c>
      <c r="AC30">
        <v>0</v>
      </c>
      <c r="AD30">
        <v>0</v>
      </c>
      <c r="AE30">
        <v>431684</v>
      </c>
      <c r="AF30">
        <v>0</v>
      </c>
      <c r="AG30">
        <v>0</v>
      </c>
      <c r="AH30">
        <v>0</v>
      </c>
      <c r="AI30">
        <v>0</v>
      </c>
      <c r="AJ30">
        <v>2026044</v>
      </c>
      <c r="AK30">
        <v>0</v>
      </c>
      <c r="AL30">
        <v>0</v>
      </c>
      <c r="AM30">
        <v>0</v>
      </c>
      <c r="AN30">
        <v>0</v>
      </c>
      <c r="AP30">
        <v>0</v>
      </c>
      <c r="AQ30">
        <v>4690320</v>
      </c>
      <c r="AR30">
        <v>0</v>
      </c>
      <c r="AS30">
        <v>0</v>
      </c>
      <c r="AT30">
        <v>0</v>
      </c>
      <c r="AU30">
        <v>599069</v>
      </c>
      <c r="AV30">
        <v>0</v>
      </c>
      <c r="AX30">
        <v>0</v>
      </c>
      <c r="AY30">
        <v>0</v>
      </c>
      <c r="AZ30">
        <v>606781</v>
      </c>
      <c r="BA30">
        <v>0</v>
      </c>
      <c r="BB30">
        <v>0</v>
      </c>
      <c r="BD30">
        <v>0</v>
      </c>
      <c r="BE30">
        <v>2148434</v>
      </c>
      <c r="BF30">
        <v>35868</v>
      </c>
      <c r="BG30">
        <v>0</v>
      </c>
      <c r="BH30">
        <v>0</v>
      </c>
      <c r="BI30">
        <v>0</v>
      </c>
      <c r="BJ30">
        <v>0</v>
      </c>
      <c r="BK30">
        <v>17516</v>
      </c>
      <c r="BL30">
        <v>0</v>
      </c>
      <c r="BM30">
        <v>0</v>
      </c>
      <c r="BN30">
        <v>0</v>
      </c>
      <c r="BO30">
        <v>0</v>
      </c>
      <c r="BP30">
        <v>0</v>
      </c>
      <c r="BQ30">
        <v>0</v>
      </c>
      <c r="BR30">
        <v>0</v>
      </c>
      <c r="BS30">
        <v>0</v>
      </c>
      <c r="BT30">
        <v>0</v>
      </c>
      <c r="BU30">
        <v>0</v>
      </c>
      <c r="BV30">
        <v>0</v>
      </c>
      <c r="BW30">
        <v>0</v>
      </c>
      <c r="BX30">
        <v>0</v>
      </c>
      <c r="BY30">
        <v>0</v>
      </c>
      <c r="BZ30">
        <v>0</v>
      </c>
      <c r="CA30">
        <v>0</v>
      </c>
    </row>
    <row r="31" spans="1:79" x14ac:dyDescent="0.3">
      <c r="A31" s="155">
        <v>49</v>
      </c>
      <c r="B31" t="s">
        <v>219</v>
      </c>
      <c r="D31">
        <v>0</v>
      </c>
      <c r="E31">
        <v>0</v>
      </c>
      <c r="F31">
        <v>72096</v>
      </c>
      <c r="G31">
        <v>8534383</v>
      </c>
      <c r="H31">
        <v>716913</v>
      </c>
      <c r="I31">
        <v>18764</v>
      </c>
      <c r="J31">
        <v>225688</v>
      </c>
      <c r="K31">
        <v>164224</v>
      </c>
      <c r="L31">
        <v>3723301</v>
      </c>
      <c r="M31">
        <v>0</v>
      </c>
      <c r="N31">
        <v>135155</v>
      </c>
      <c r="O31">
        <v>231885</v>
      </c>
      <c r="P31">
        <v>0</v>
      </c>
      <c r="Q31">
        <v>713949</v>
      </c>
      <c r="R31">
        <v>1031537</v>
      </c>
      <c r="S31">
        <v>2859240</v>
      </c>
      <c r="U31">
        <v>2915341</v>
      </c>
      <c r="V31">
        <v>0</v>
      </c>
      <c r="W31">
        <v>0</v>
      </c>
      <c r="X31">
        <v>0</v>
      </c>
      <c r="Y31">
        <v>358487</v>
      </c>
      <c r="Z31">
        <v>396976</v>
      </c>
      <c r="AA31">
        <v>317523</v>
      </c>
      <c r="AB31">
        <v>0</v>
      </c>
      <c r="AC31">
        <v>6821</v>
      </c>
      <c r="AD31">
        <v>297929</v>
      </c>
      <c r="AE31">
        <v>559396</v>
      </c>
      <c r="AF31">
        <v>26826</v>
      </c>
      <c r="AG31">
        <v>0</v>
      </c>
      <c r="AH31">
        <v>0</v>
      </c>
      <c r="AI31">
        <v>49977</v>
      </c>
      <c r="AJ31">
        <v>1511955</v>
      </c>
      <c r="AK31">
        <v>45827</v>
      </c>
      <c r="AL31">
        <v>0</v>
      </c>
      <c r="AM31">
        <v>1346610</v>
      </c>
      <c r="AN31">
        <v>1598135</v>
      </c>
      <c r="AP31">
        <v>0</v>
      </c>
      <c r="AQ31">
        <v>1425580</v>
      </c>
      <c r="AR31">
        <v>260685</v>
      </c>
      <c r="AS31">
        <v>120522</v>
      </c>
      <c r="AT31">
        <v>269889</v>
      </c>
      <c r="AU31">
        <v>1901589</v>
      </c>
      <c r="AV31">
        <v>60968</v>
      </c>
      <c r="AX31">
        <v>308169</v>
      </c>
      <c r="AY31">
        <v>339552</v>
      </c>
      <c r="AZ31">
        <v>614275</v>
      </c>
      <c r="BA31">
        <v>0</v>
      </c>
      <c r="BB31">
        <v>153917</v>
      </c>
      <c r="BD31">
        <v>0</v>
      </c>
      <c r="BE31">
        <v>1886768</v>
      </c>
      <c r="BF31">
        <v>105424</v>
      </c>
      <c r="BG31">
        <v>0</v>
      </c>
      <c r="BH31">
        <v>295318</v>
      </c>
      <c r="BI31">
        <v>189711</v>
      </c>
      <c r="BJ31">
        <v>272229</v>
      </c>
      <c r="BK31">
        <v>391603</v>
      </c>
      <c r="BL31">
        <v>325363</v>
      </c>
      <c r="BM31">
        <v>0</v>
      </c>
      <c r="BN31">
        <v>911871</v>
      </c>
      <c r="BO31">
        <v>276175</v>
      </c>
      <c r="BP31">
        <v>318035</v>
      </c>
      <c r="BQ31">
        <v>185656</v>
      </c>
      <c r="BR31">
        <v>0</v>
      </c>
      <c r="BS31">
        <v>0</v>
      </c>
      <c r="BT31">
        <v>233951</v>
      </c>
      <c r="BU31">
        <v>550212</v>
      </c>
      <c r="BV31">
        <v>149551</v>
      </c>
      <c r="BW31">
        <v>44311</v>
      </c>
      <c r="BX31">
        <v>0</v>
      </c>
      <c r="BY31">
        <v>0</v>
      </c>
      <c r="BZ31">
        <v>1626168</v>
      </c>
      <c r="CA31">
        <v>0</v>
      </c>
    </row>
    <row r="32" spans="1:79" x14ac:dyDescent="0.3">
      <c r="A32" s="155">
        <v>50</v>
      </c>
      <c r="B32" t="s">
        <v>92</v>
      </c>
      <c r="D32">
        <v>0</v>
      </c>
      <c r="E32">
        <v>0</v>
      </c>
      <c r="F32">
        <v>-20754</v>
      </c>
      <c r="G32">
        <v>2787709</v>
      </c>
      <c r="H32">
        <v>316099</v>
      </c>
      <c r="I32">
        <v>-31832</v>
      </c>
      <c r="J32">
        <v>160068</v>
      </c>
      <c r="K32">
        <v>233443</v>
      </c>
      <c r="L32">
        <v>3934987</v>
      </c>
      <c r="M32">
        <v>0</v>
      </c>
      <c r="N32">
        <v>-122255</v>
      </c>
      <c r="O32">
        <v>170364</v>
      </c>
      <c r="P32">
        <v>0</v>
      </c>
      <c r="Q32">
        <v>1035334</v>
      </c>
      <c r="R32">
        <v>598032</v>
      </c>
      <c r="S32">
        <v>-224883</v>
      </c>
      <c r="U32">
        <v>1172150</v>
      </c>
      <c r="V32">
        <v>0</v>
      </c>
      <c r="W32">
        <v>0</v>
      </c>
      <c r="X32">
        <v>133</v>
      </c>
      <c r="Y32">
        <v>401881</v>
      </c>
      <c r="Z32">
        <v>-15838</v>
      </c>
      <c r="AA32">
        <v>462005</v>
      </c>
      <c r="AB32">
        <v>0</v>
      </c>
      <c r="AC32">
        <v>36111</v>
      </c>
      <c r="AD32">
        <v>153611</v>
      </c>
      <c r="AE32">
        <v>240735</v>
      </c>
      <c r="AF32">
        <v>-29757</v>
      </c>
      <c r="AG32">
        <v>0</v>
      </c>
      <c r="AH32">
        <v>0</v>
      </c>
      <c r="AI32">
        <v>-1556033</v>
      </c>
      <c r="AJ32">
        <v>2140186</v>
      </c>
      <c r="AK32">
        <v>-90485</v>
      </c>
      <c r="AL32">
        <v>0</v>
      </c>
      <c r="AM32">
        <v>-52417044</v>
      </c>
      <c r="AN32">
        <v>1883457</v>
      </c>
      <c r="AP32">
        <v>0</v>
      </c>
      <c r="AQ32">
        <v>-1785476</v>
      </c>
      <c r="AR32">
        <v>-281103</v>
      </c>
      <c r="AS32">
        <v>-115101</v>
      </c>
      <c r="AT32">
        <v>4298</v>
      </c>
      <c r="AU32">
        <v>303996</v>
      </c>
      <c r="AV32">
        <v>69888</v>
      </c>
      <c r="AX32">
        <v>697113</v>
      </c>
      <c r="AY32">
        <v>-80280</v>
      </c>
      <c r="AZ32">
        <v>-260571</v>
      </c>
      <c r="BA32">
        <v>-13641</v>
      </c>
      <c r="BB32">
        <v>76698</v>
      </c>
      <c r="BD32">
        <v>0</v>
      </c>
      <c r="BE32">
        <v>1613070</v>
      </c>
      <c r="BF32">
        <v>-143907</v>
      </c>
      <c r="BG32">
        <v>0</v>
      </c>
      <c r="BH32">
        <v>-112952</v>
      </c>
      <c r="BI32">
        <v>247214</v>
      </c>
      <c r="BJ32">
        <v>-152485</v>
      </c>
      <c r="BK32">
        <v>1160679</v>
      </c>
      <c r="BL32">
        <v>115605</v>
      </c>
      <c r="BM32">
        <v>0</v>
      </c>
      <c r="BN32">
        <v>-426639</v>
      </c>
      <c r="BO32">
        <v>65592</v>
      </c>
      <c r="BP32">
        <v>-89226</v>
      </c>
      <c r="BQ32">
        <v>1672714</v>
      </c>
      <c r="BR32">
        <v>0</v>
      </c>
      <c r="BS32">
        <v>0</v>
      </c>
      <c r="BT32">
        <v>-142540</v>
      </c>
      <c r="BU32">
        <v>-73023</v>
      </c>
      <c r="BV32">
        <v>315042</v>
      </c>
      <c r="BW32">
        <v>236862</v>
      </c>
      <c r="BX32">
        <v>0</v>
      </c>
      <c r="BY32">
        <v>0</v>
      </c>
      <c r="BZ32">
        <v>4316567</v>
      </c>
      <c r="CA32">
        <v>0</v>
      </c>
    </row>
    <row r="33" spans="1:79" x14ac:dyDescent="0.3">
      <c r="A33" s="155">
        <v>51</v>
      </c>
      <c r="B33" t="s">
        <v>237</v>
      </c>
      <c r="D33">
        <v>0</v>
      </c>
      <c r="E33">
        <v>0</v>
      </c>
      <c r="F33">
        <v>43372</v>
      </c>
      <c r="G33">
        <v>17901257</v>
      </c>
      <c r="H33">
        <v>1206416</v>
      </c>
      <c r="I33">
        <v>10414</v>
      </c>
      <c r="J33">
        <v>213917</v>
      </c>
      <c r="K33">
        <v>444574</v>
      </c>
      <c r="L33">
        <v>6878944</v>
      </c>
      <c r="M33">
        <v>0</v>
      </c>
      <c r="N33">
        <v>181863</v>
      </c>
      <c r="O33">
        <v>253335</v>
      </c>
      <c r="P33">
        <v>0</v>
      </c>
      <c r="Q33">
        <v>2208384</v>
      </c>
      <c r="R33">
        <v>1720947</v>
      </c>
      <c r="S33">
        <v>2261086</v>
      </c>
      <c r="U33">
        <v>2891376</v>
      </c>
      <c r="V33">
        <v>0</v>
      </c>
      <c r="W33">
        <v>0</v>
      </c>
      <c r="X33">
        <v>0</v>
      </c>
      <c r="Y33">
        <v>863661</v>
      </c>
      <c r="Z33">
        <v>133890</v>
      </c>
      <c r="AA33">
        <v>805428</v>
      </c>
      <c r="AB33">
        <v>0</v>
      </c>
      <c r="AC33">
        <v>42728</v>
      </c>
      <c r="AD33">
        <v>504210</v>
      </c>
      <c r="AE33">
        <v>544294</v>
      </c>
      <c r="AF33">
        <v>-4153</v>
      </c>
      <c r="AG33">
        <v>0</v>
      </c>
      <c r="AH33">
        <v>0</v>
      </c>
      <c r="AI33">
        <v>34508</v>
      </c>
      <c r="AJ33">
        <v>3023010</v>
      </c>
      <c r="AK33">
        <v>-29291</v>
      </c>
      <c r="AL33">
        <v>0</v>
      </c>
      <c r="AM33">
        <v>4958895</v>
      </c>
      <c r="AN33">
        <v>3379248</v>
      </c>
      <c r="AP33">
        <v>0</v>
      </c>
      <c r="AQ33">
        <v>-602288</v>
      </c>
      <c r="AR33">
        <v>-574420</v>
      </c>
      <c r="AS33">
        <v>24450</v>
      </c>
      <c r="AT33">
        <v>11377</v>
      </c>
      <c r="AU33">
        <v>2665352</v>
      </c>
      <c r="AV33">
        <v>163215</v>
      </c>
      <c r="AX33">
        <v>1021588</v>
      </c>
      <c r="AY33">
        <v>290562</v>
      </c>
      <c r="AZ33">
        <v>765991</v>
      </c>
      <c r="BA33">
        <v>-14885</v>
      </c>
      <c r="BB33">
        <v>-144238</v>
      </c>
      <c r="BD33">
        <v>0</v>
      </c>
      <c r="BE33">
        <v>3562172</v>
      </c>
      <c r="BF33">
        <v>-29969</v>
      </c>
      <c r="BG33">
        <v>0</v>
      </c>
      <c r="BH33">
        <v>212776</v>
      </c>
      <c r="BI33">
        <v>372527</v>
      </c>
      <c r="BJ33">
        <v>-91821</v>
      </c>
      <c r="BK33">
        <v>143871</v>
      </c>
      <c r="BL33">
        <v>593186</v>
      </c>
      <c r="BM33">
        <v>0</v>
      </c>
      <c r="BN33">
        <v>609477</v>
      </c>
      <c r="BO33">
        <v>319529</v>
      </c>
      <c r="BP33">
        <v>274557</v>
      </c>
      <c r="BQ33">
        <v>-250586</v>
      </c>
      <c r="BR33">
        <v>0</v>
      </c>
      <c r="BS33">
        <v>0</v>
      </c>
      <c r="BT33">
        <v>79282</v>
      </c>
      <c r="BU33">
        <v>156238</v>
      </c>
      <c r="BV33">
        <v>105812</v>
      </c>
      <c r="BW33">
        <v>317255</v>
      </c>
      <c r="BX33">
        <v>0</v>
      </c>
      <c r="BY33">
        <v>0</v>
      </c>
      <c r="BZ33">
        <v>3146021</v>
      </c>
      <c r="CA33">
        <v>0</v>
      </c>
    </row>
    <row r="34" spans="1:79" x14ac:dyDescent="0.3">
      <c r="A34" s="155">
        <v>52</v>
      </c>
      <c r="B34" t="s">
        <v>230</v>
      </c>
      <c r="D34">
        <v>0</v>
      </c>
      <c r="E34">
        <v>0</v>
      </c>
      <c r="F34">
        <v>0</v>
      </c>
      <c r="G34">
        <v>0</v>
      </c>
      <c r="H34">
        <v>0</v>
      </c>
      <c r="I34">
        <v>0</v>
      </c>
      <c r="J34">
        <v>0</v>
      </c>
      <c r="K34">
        <v>0</v>
      </c>
      <c r="L34">
        <v>0</v>
      </c>
      <c r="M34">
        <v>0</v>
      </c>
      <c r="N34">
        <v>0</v>
      </c>
      <c r="O34">
        <v>0</v>
      </c>
      <c r="P34">
        <v>0</v>
      </c>
      <c r="Q34">
        <v>0</v>
      </c>
      <c r="R34">
        <v>0</v>
      </c>
      <c r="S34">
        <v>778789</v>
      </c>
      <c r="U34">
        <v>1210410</v>
      </c>
      <c r="V34">
        <v>0</v>
      </c>
      <c r="W34">
        <v>0</v>
      </c>
      <c r="X34">
        <v>0</v>
      </c>
      <c r="Y34">
        <v>0</v>
      </c>
      <c r="Z34">
        <v>73901</v>
      </c>
      <c r="AA34">
        <v>111490</v>
      </c>
      <c r="AB34">
        <v>0</v>
      </c>
      <c r="AC34">
        <v>0</v>
      </c>
      <c r="AD34">
        <v>0</v>
      </c>
      <c r="AE34">
        <v>165830</v>
      </c>
      <c r="AF34">
        <v>0</v>
      </c>
      <c r="AG34">
        <v>0</v>
      </c>
      <c r="AH34">
        <v>0</v>
      </c>
      <c r="AI34">
        <v>0</v>
      </c>
      <c r="AJ34">
        <v>489510</v>
      </c>
      <c r="AK34">
        <v>0</v>
      </c>
      <c r="AL34">
        <v>0</v>
      </c>
      <c r="AM34">
        <v>0</v>
      </c>
      <c r="AN34">
        <v>0</v>
      </c>
      <c r="AP34">
        <v>0</v>
      </c>
      <c r="AQ34">
        <v>1281967</v>
      </c>
      <c r="AR34">
        <v>0</v>
      </c>
      <c r="AS34">
        <v>0</v>
      </c>
      <c r="AT34">
        <v>0</v>
      </c>
      <c r="AU34">
        <v>254117</v>
      </c>
      <c r="AV34">
        <v>0</v>
      </c>
      <c r="AX34">
        <v>0</v>
      </c>
      <c r="AY34">
        <v>0</v>
      </c>
      <c r="AZ34">
        <v>221994</v>
      </c>
      <c r="BA34">
        <v>0</v>
      </c>
      <c r="BB34">
        <v>0</v>
      </c>
      <c r="BD34">
        <v>0</v>
      </c>
      <c r="BE34">
        <v>896464</v>
      </c>
      <c r="BF34">
        <v>1625</v>
      </c>
      <c r="BG34">
        <v>0</v>
      </c>
      <c r="BH34">
        <v>0</v>
      </c>
      <c r="BI34">
        <v>0</v>
      </c>
      <c r="BJ34">
        <v>0</v>
      </c>
      <c r="BK34">
        <v>133435</v>
      </c>
      <c r="BL34">
        <v>0</v>
      </c>
      <c r="BM34">
        <v>0</v>
      </c>
      <c r="BN34">
        <v>0</v>
      </c>
      <c r="BO34">
        <v>0</v>
      </c>
      <c r="BP34">
        <v>0</v>
      </c>
      <c r="BQ34">
        <v>0</v>
      </c>
      <c r="BR34">
        <v>0</v>
      </c>
      <c r="BS34">
        <v>0</v>
      </c>
      <c r="BT34">
        <v>0</v>
      </c>
      <c r="BU34">
        <v>0</v>
      </c>
      <c r="BV34">
        <v>0</v>
      </c>
      <c r="BW34">
        <v>0</v>
      </c>
      <c r="BX34">
        <v>0</v>
      </c>
      <c r="BY34">
        <v>0</v>
      </c>
      <c r="BZ34">
        <v>0</v>
      </c>
      <c r="CA34">
        <v>0</v>
      </c>
    </row>
    <row r="35" spans="1:79" x14ac:dyDescent="0.3">
      <c r="A35" s="155">
        <v>53</v>
      </c>
      <c r="B35" t="s">
        <v>93</v>
      </c>
      <c r="D35">
        <v>0</v>
      </c>
      <c r="E35">
        <v>0</v>
      </c>
      <c r="F35">
        <v>0</v>
      </c>
      <c r="G35">
        <v>0</v>
      </c>
      <c r="H35">
        <v>0</v>
      </c>
      <c r="I35">
        <v>0</v>
      </c>
      <c r="J35">
        <v>0</v>
      </c>
      <c r="K35">
        <v>0</v>
      </c>
      <c r="L35">
        <v>0</v>
      </c>
      <c r="M35">
        <v>0</v>
      </c>
      <c r="N35">
        <v>0</v>
      </c>
      <c r="O35">
        <v>0</v>
      </c>
      <c r="P35">
        <v>0</v>
      </c>
      <c r="Q35">
        <v>0</v>
      </c>
      <c r="R35">
        <v>0</v>
      </c>
      <c r="S35">
        <v>66844</v>
      </c>
      <c r="U35">
        <v>7190755</v>
      </c>
      <c r="V35">
        <v>0</v>
      </c>
      <c r="W35">
        <v>0</v>
      </c>
      <c r="X35">
        <v>0</v>
      </c>
      <c r="Y35">
        <v>0</v>
      </c>
      <c r="Z35">
        <v>110327</v>
      </c>
      <c r="AA35">
        <v>237395</v>
      </c>
      <c r="AB35">
        <v>0</v>
      </c>
      <c r="AC35">
        <v>0</v>
      </c>
      <c r="AD35">
        <v>0</v>
      </c>
      <c r="AE35">
        <v>403118</v>
      </c>
      <c r="AF35">
        <v>0</v>
      </c>
      <c r="AG35">
        <v>0</v>
      </c>
      <c r="AH35">
        <v>0</v>
      </c>
      <c r="AI35">
        <v>0</v>
      </c>
      <c r="AJ35">
        <v>1410865</v>
      </c>
      <c r="AK35">
        <v>0</v>
      </c>
      <c r="AL35">
        <v>0</v>
      </c>
      <c r="AM35">
        <v>0</v>
      </c>
      <c r="AN35">
        <v>0</v>
      </c>
      <c r="AP35">
        <v>0</v>
      </c>
      <c r="AQ35">
        <v>11882840</v>
      </c>
      <c r="AR35">
        <v>0</v>
      </c>
      <c r="AS35">
        <v>0</v>
      </c>
      <c r="AT35">
        <v>0</v>
      </c>
      <c r="AU35">
        <v>1559697</v>
      </c>
      <c r="AV35">
        <v>0</v>
      </c>
      <c r="AX35">
        <v>0</v>
      </c>
      <c r="AY35">
        <v>0</v>
      </c>
      <c r="AZ35">
        <v>-213915</v>
      </c>
      <c r="BA35">
        <v>0</v>
      </c>
      <c r="BB35">
        <v>0</v>
      </c>
      <c r="BD35">
        <v>0</v>
      </c>
      <c r="BE35">
        <v>-433017</v>
      </c>
      <c r="BF35">
        <v>-27809</v>
      </c>
      <c r="BG35">
        <v>0</v>
      </c>
      <c r="BH35">
        <v>0</v>
      </c>
      <c r="BI35">
        <v>0</v>
      </c>
      <c r="BJ35">
        <v>0</v>
      </c>
      <c r="BK35">
        <v>984118</v>
      </c>
      <c r="BL35">
        <v>0</v>
      </c>
      <c r="BM35">
        <v>0</v>
      </c>
      <c r="BN35">
        <v>0</v>
      </c>
      <c r="BO35">
        <v>0</v>
      </c>
      <c r="BP35">
        <v>0</v>
      </c>
      <c r="BQ35">
        <v>0</v>
      </c>
      <c r="BR35">
        <v>0</v>
      </c>
      <c r="BS35">
        <v>0</v>
      </c>
      <c r="BT35">
        <v>0</v>
      </c>
      <c r="BU35">
        <v>0</v>
      </c>
      <c r="BV35">
        <v>0</v>
      </c>
      <c r="BW35">
        <v>0</v>
      </c>
      <c r="BX35">
        <v>0</v>
      </c>
      <c r="BY35">
        <v>0</v>
      </c>
      <c r="BZ35">
        <v>0</v>
      </c>
      <c r="CA35">
        <v>0</v>
      </c>
    </row>
    <row r="36" spans="1:79" x14ac:dyDescent="0.3">
      <c r="A36" s="155">
        <v>55</v>
      </c>
      <c r="B36" t="s">
        <v>240</v>
      </c>
      <c r="D36">
        <v>0</v>
      </c>
      <c r="E36">
        <v>0</v>
      </c>
      <c r="F36">
        <v>0</v>
      </c>
      <c r="G36">
        <v>0</v>
      </c>
      <c r="H36">
        <v>0</v>
      </c>
      <c r="I36">
        <v>0</v>
      </c>
      <c r="J36">
        <v>0</v>
      </c>
      <c r="K36">
        <v>0</v>
      </c>
      <c r="L36">
        <v>0</v>
      </c>
      <c r="M36">
        <v>0</v>
      </c>
      <c r="N36">
        <v>0</v>
      </c>
      <c r="O36">
        <v>0</v>
      </c>
      <c r="P36">
        <v>0</v>
      </c>
      <c r="Q36">
        <v>0</v>
      </c>
      <c r="R36">
        <v>0</v>
      </c>
      <c r="S36">
        <v>4327000</v>
      </c>
      <c r="U36">
        <v>10229353</v>
      </c>
      <c r="V36">
        <v>0</v>
      </c>
      <c r="W36">
        <v>0</v>
      </c>
      <c r="X36">
        <v>0</v>
      </c>
      <c r="Y36">
        <v>0</v>
      </c>
      <c r="Z36">
        <v>125439</v>
      </c>
      <c r="AA36">
        <v>350859</v>
      </c>
      <c r="AB36">
        <v>0</v>
      </c>
      <c r="AC36">
        <v>0</v>
      </c>
      <c r="AD36">
        <v>0</v>
      </c>
      <c r="AE36">
        <v>1067328</v>
      </c>
      <c r="AF36">
        <v>0</v>
      </c>
      <c r="AG36">
        <v>0</v>
      </c>
      <c r="AH36">
        <v>0</v>
      </c>
      <c r="AI36">
        <v>0</v>
      </c>
      <c r="AJ36">
        <v>2378287</v>
      </c>
      <c r="AK36">
        <v>0</v>
      </c>
      <c r="AL36">
        <v>0</v>
      </c>
      <c r="AM36">
        <v>0</v>
      </c>
      <c r="AN36">
        <v>0</v>
      </c>
      <c r="AP36">
        <v>0</v>
      </c>
      <c r="AQ36">
        <v>4284418</v>
      </c>
      <c r="AR36">
        <v>0</v>
      </c>
      <c r="AS36">
        <v>0</v>
      </c>
      <c r="AT36">
        <v>0</v>
      </c>
      <c r="AU36">
        <v>1761605</v>
      </c>
      <c r="AV36">
        <v>0</v>
      </c>
      <c r="AX36">
        <v>0</v>
      </c>
      <c r="AY36">
        <v>0</v>
      </c>
      <c r="AZ36">
        <v>646408</v>
      </c>
      <c r="BA36">
        <v>0</v>
      </c>
      <c r="BB36">
        <v>0</v>
      </c>
      <c r="BD36">
        <v>0</v>
      </c>
      <c r="BE36">
        <v>3365752</v>
      </c>
      <c r="BF36">
        <v>-14693</v>
      </c>
      <c r="BG36">
        <v>0</v>
      </c>
      <c r="BH36">
        <v>0</v>
      </c>
      <c r="BI36">
        <v>0</v>
      </c>
      <c r="BJ36">
        <v>0</v>
      </c>
      <c r="BK36">
        <v>1037812</v>
      </c>
      <c r="BL36">
        <v>0</v>
      </c>
      <c r="BM36">
        <v>0</v>
      </c>
      <c r="BN36">
        <v>0</v>
      </c>
      <c r="BO36">
        <v>0</v>
      </c>
      <c r="BP36">
        <v>0</v>
      </c>
      <c r="BQ36">
        <v>0</v>
      </c>
      <c r="BR36">
        <v>0</v>
      </c>
      <c r="BS36">
        <v>0</v>
      </c>
      <c r="BT36">
        <v>0</v>
      </c>
      <c r="BU36">
        <v>0</v>
      </c>
      <c r="BV36">
        <v>0</v>
      </c>
      <c r="BW36">
        <v>0</v>
      </c>
      <c r="BX36">
        <v>0</v>
      </c>
      <c r="BY36">
        <v>0</v>
      </c>
      <c r="BZ36">
        <v>0</v>
      </c>
      <c r="CA36">
        <v>0</v>
      </c>
    </row>
    <row r="37" spans="1:79" x14ac:dyDescent="0.3">
      <c r="A37" s="155">
        <v>61</v>
      </c>
      <c r="B37" t="s">
        <v>254</v>
      </c>
      <c r="D37">
        <v>99.97</v>
      </c>
      <c r="E37">
        <v>99.79</v>
      </c>
      <c r="F37">
        <v>92.77</v>
      </c>
      <c r="G37">
        <v>98.65</v>
      </c>
      <c r="H37">
        <v>99.84</v>
      </c>
      <c r="I37">
        <v>89.92</v>
      </c>
      <c r="J37">
        <v>93.37</v>
      </c>
      <c r="K37">
        <v>94.39</v>
      </c>
      <c r="L37">
        <v>98.54</v>
      </c>
      <c r="M37">
        <v>94.97</v>
      </c>
      <c r="N37">
        <v>88.43</v>
      </c>
      <c r="O37">
        <v>99.47</v>
      </c>
      <c r="P37">
        <v>99.32</v>
      </c>
      <c r="Q37">
        <v>99.73</v>
      </c>
      <c r="R37">
        <v>99.08</v>
      </c>
      <c r="S37">
        <v>99.46</v>
      </c>
      <c r="U37">
        <v>97.91</v>
      </c>
      <c r="V37">
        <v>95.55</v>
      </c>
      <c r="W37">
        <v>99.69</v>
      </c>
      <c r="X37">
        <v>99.64</v>
      </c>
      <c r="Y37">
        <v>99.73</v>
      </c>
      <c r="Z37">
        <v>95.84</v>
      </c>
      <c r="AA37">
        <v>99.13</v>
      </c>
      <c r="AB37">
        <v>99.97</v>
      </c>
      <c r="AC37">
        <v>98.92</v>
      </c>
      <c r="AD37">
        <v>99.01</v>
      </c>
      <c r="AE37">
        <v>97.42</v>
      </c>
      <c r="AF37">
        <v>85.03</v>
      </c>
      <c r="AG37">
        <v>96.9</v>
      </c>
      <c r="AH37">
        <v>98.85</v>
      </c>
      <c r="AI37">
        <v>99.85</v>
      </c>
      <c r="AJ37">
        <v>95.43</v>
      </c>
      <c r="AK37">
        <v>96.89</v>
      </c>
      <c r="AL37">
        <v>99.62</v>
      </c>
      <c r="AM37">
        <v>99.53</v>
      </c>
      <c r="AN37">
        <v>97.01</v>
      </c>
      <c r="AP37">
        <v>99.78</v>
      </c>
      <c r="AQ37">
        <v>97.62</v>
      </c>
      <c r="AR37">
        <v>99.31</v>
      </c>
      <c r="AS37">
        <v>92.83</v>
      </c>
      <c r="AT37">
        <v>99.54</v>
      </c>
      <c r="AU37">
        <v>99.1</v>
      </c>
      <c r="AV37">
        <v>97.54</v>
      </c>
      <c r="AX37">
        <v>98.98</v>
      </c>
      <c r="AY37">
        <v>97.53</v>
      </c>
      <c r="AZ37">
        <v>98.63</v>
      </c>
      <c r="BA37">
        <v>92.67</v>
      </c>
      <c r="BB37">
        <v>99.21</v>
      </c>
      <c r="BD37">
        <v>96.94</v>
      </c>
      <c r="BE37">
        <v>93.64</v>
      </c>
      <c r="BF37">
        <v>92.65</v>
      </c>
      <c r="BG37">
        <v>94.77</v>
      </c>
      <c r="BH37">
        <v>98.73</v>
      </c>
      <c r="BI37">
        <v>98.05</v>
      </c>
      <c r="BJ37">
        <v>91.77</v>
      </c>
      <c r="BK37">
        <v>99.83</v>
      </c>
      <c r="BL37">
        <v>99.66</v>
      </c>
      <c r="BM37">
        <v>0</v>
      </c>
      <c r="BN37">
        <v>99.4</v>
      </c>
      <c r="BO37">
        <v>95.78</v>
      </c>
      <c r="BP37">
        <v>98.18</v>
      </c>
      <c r="BQ37">
        <v>99.4</v>
      </c>
      <c r="BR37">
        <v>99.59</v>
      </c>
      <c r="BS37">
        <v>99.4</v>
      </c>
      <c r="BT37">
        <v>88.12</v>
      </c>
      <c r="BU37">
        <v>99.29</v>
      </c>
      <c r="BV37">
        <v>94.96</v>
      </c>
      <c r="BW37">
        <v>99.74</v>
      </c>
      <c r="BX37">
        <v>96.8</v>
      </c>
      <c r="BY37">
        <v>88.35</v>
      </c>
      <c r="BZ37">
        <v>99.64</v>
      </c>
      <c r="CA37">
        <v>93.07</v>
      </c>
    </row>
    <row r="38" spans="1:79" x14ac:dyDescent="0.3">
      <c r="A38" s="155">
        <v>80</v>
      </c>
      <c r="B38" t="s">
        <v>209</v>
      </c>
      <c r="D38">
        <v>0</v>
      </c>
      <c r="E38">
        <v>0</v>
      </c>
      <c r="F38">
        <v>204752</v>
      </c>
      <c r="G38">
        <v>47163270</v>
      </c>
      <c r="H38">
        <v>8873303</v>
      </c>
      <c r="I38">
        <v>223474</v>
      </c>
      <c r="J38">
        <v>6437103</v>
      </c>
      <c r="K38">
        <v>754725</v>
      </c>
      <c r="L38">
        <v>3895821</v>
      </c>
      <c r="M38">
        <v>0</v>
      </c>
      <c r="N38">
        <v>1602171</v>
      </c>
      <c r="O38">
        <v>1058069</v>
      </c>
      <c r="P38">
        <v>0</v>
      </c>
      <c r="Q38">
        <v>7238083</v>
      </c>
      <c r="R38">
        <v>7163592</v>
      </c>
      <c r="S38">
        <v>7091782</v>
      </c>
      <c r="U38">
        <v>9746099</v>
      </c>
      <c r="V38">
        <v>0</v>
      </c>
      <c r="W38">
        <v>0</v>
      </c>
      <c r="X38">
        <v>40688</v>
      </c>
      <c r="Y38">
        <v>2943841</v>
      </c>
      <c r="Z38">
        <v>930368</v>
      </c>
      <c r="AA38">
        <v>1072380</v>
      </c>
      <c r="AB38">
        <v>0</v>
      </c>
      <c r="AC38">
        <v>87278</v>
      </c>
      <c r="AD38">
        <v>1732797</v>
      </c>
      <c r="AE38">
        <v>1787269</v>
      </c>
      <c r="AF38">
        <v>42428</v>
      </c>
      <c r="AG38">
        <v>0</v>
      </c>
      <c r="AH38">
        <v>0</v>
      </c>
      <c r="AI38">
        <v>877329</v>
      </c>
      <c r="AJ38">
        <v>5466473</v>
      </c>
      <c r="AK38">
        <v>183394</v>
      </c>
      <c r="AL38">
        <v>0</v>
      </c>
      <c r="AM38">
        <v>0</v>
      </c>
      <c r="AN38">
        <v>11907165</v>
      </c>
      <c r="AP38">
        <v>0</v>
      </c>
      <c r="AQ38">
        <v>4473246</v>
      </c>
      <c r="AR38">
        <v>757031</v>
      </c>
      <c r="AS38">
        <v>236201</v>
      </c>
      <c r="AT38">
        <v>1039323</v>
      </c>
      <c r="AU38">
        <v>6769052</v>
      </c>
      <c r="AV38">
        <v>1217918</v>
      </c>
      <c r="AX38">
        <v>940228</v>
      </c>
      <c r="AY38">
        <v>1118555</v>
      </c>
      <c r="AZ38">
        <v>1401794</v>
      </c>
      <c r="BA38">
        <v>3122</v>
      </c>
      <c r="BB38">
        <v>422567</v>
      </c>
      <c r="BD38">
        <v>0</v>
      </c>
      <c r="BE38">
        <v>5081889</v>
      </c>
      <c r="BF38">
        <v>0</v>
      </c>
      <c r="BG38">
        <v>0</v>
      </c>
      <c r="BH38">
        <v>590720</v>
      </c>
      <c r="BI38">
        <v>2141714</v>
      </c>
      <c r="BJ38">
        <v>0</v>
      </c>
      <c r="BK38">
        <v>6019796</v>
      </c>
      <c r="BL38">
        <v>3042056</v>
      </c>
      <c r="BM38">
        <v>0</v>
      </c>
      <c r="BN38">
        <v>1821389</v>
      </c>
      <c r="BO38">
        <v>3545517</v>
      </c>
      <c r="BP38">
        <v>1181690</v>
      </c>
      <c r="BQ38">
        <v>2887343</v>
      </c>
      <c r="BR38">
        <v>0</v>
      </c>
      <c r="BS38">
        <v>0</v>
      </c>
      <c r="BT38">
        <v>1140316</v>
      </c>
      <c r="BU38">
        <v>1546267</v>
      </c>
      <c r="BV38">
        <v>385551</v>
      </c>
      <c r="BW38">
        <v>1434590</v>
      </c>
      <c r="BX38">
        <v>0</v>
      </c>
      <c r="BY38">
        <v>0</v>
      </c>
      <c r="BZ38">
        <v>7511270</v>
      </c>
      <c r="CA38">
        <v>0</v>
      </c>
    </row>
    <row r="39" spans="1:79" x14ac:dyDescent="0.3">
      <c r="A39" s="155">
        <v>81</v>
      </c>
      <c r="B39" t="s">
        <v>210</v>
      </c>
      <c r="D39">
        <v>0</v>
      </c>
      <c r="E39">
        <v>0</v>
      </c>
      <c r="F39">
        <v>54470</v>
      </c>
      <c r="G39">
        <v>2752985</v>
      </c>
      <c r="H39">
        <v>277534</v>
      </c>
      <c r="I39">
        <v>18691</v>
      </c>
      <c r="J39">
        <v>51750</v>
      </c>
      <c r="K39">
        <v>194494</v>
      </c>
      <c r="L39">
        <v>4166596</v>
      </c>
      <c r="M39">
        <v>0</v>
      </c>
      <c r="N39">
        <v>120386</v>
      </c>
      <c r="O39">
        <v>95929</v>
      </c>
      <c r="P39">
        <v>0</v>
      </c>
      <c r="Q39">
        <v>1032070</v>
      </c>
      <c r="R39">
        <v>1189408</v>
      </c>
      <c r="S39">
        <v>713777</v>
      </c>
      <c r="U39">
        <v>2108791</v>
      </c>
      <c r="V39">
        <v>0</v>
      </c>
      <c r="W39">
        <v>0</v>
      </c>
      <c r="X39">
        <v>0</v>
      </c>
      <c r="Y39">
        <v>390795</v>
      </c>
      <c r="Z39">
        <v>59933</v>
      </c>
      <c r="AA39">
        <v>192105</v>
      </c>
      <c r="AB39">
        <v>0</v>
      </c>
      <c r="AC39">
        <v>14406</v>
      </c>
      <c r="AD39">
        <v>183903</v>
      </c>
      <c r="AE39">
        <v>397513</v>
      </c>
      <c r="AF39">
        <v>13381</v>
      </c>
      <c r="AG39">
        <v>0</v>
      </c>
      <c r="AH39">
        <v>0</v>
      </c>
      <c r="AI39">
        <v>18137</v>
      </c>
      <c r="AJ39">
        <v>567204</v>
      </c>
      <c r="AK39">
        <v>15992</v>
      </c>
      <c r="AL39">
        <v>0</v>
      </c>
      <c r="AM39">
        <v>0</v>
      </c>
      <c r="AN39">
        <v>540035</v>
      </c>
      <c r="AP39">
        <v>0</v>
      </c>
      <c r="AQ39">
        <v>1328523</v>
      </c>
      <c r="AR39">
        <v>184035</v>
      </c>
      <c r="AS39">
        <v>40321</v>
      </c>
      <c r="AT39">
        <v>266691</v>
      </c>
      <c r="AU39">
        <v>718035</v>
      </c>
      <c r="AV39">
        <v>27496</v>
      </c>
      <c r="AX39">
        <v>142572</v>
      </c>
      <c r="AY39">
        <v>184835</v>
      </c>
      <c r="AZ39">
        <v>388729</v>
      </c>
      <c r="BA39">
        <v>0</v>
      </c>
      <c r="BB39">
        <v>146808</v>
      </c>
      <c r="BD39">
        <v>0</v>
      </c>
      <c r="BE39">
        <v>3557891</v>
      </c>
      <c r="BF39">
        <v>33666</v>
      </c>
      <c r="BG39">
        <v>0</v>
      </c>
      <c r="BH39">
        <v>156591</v>
      </c>
      <c r="BI39">
        <v>184110</v>
      </c>
      <c r="BJ39">
        <v>48175</v>
      </c>
      <c r="BK39">
        <v>189240</v>
      </c>
      <c r="BL39">
        <v>323867</v>
      </c>
      <c r="BM39">
        <v>0</v>
      </c>
      <c r="BN39">
        <v>581154</v>
      </c>
      <c r="BO39">
        <v>90852</v>
      </c>
      <c r="BP39">
        <v>82175</v>
      </c>
      <c r="BQ39">
        <v>120160</v>
      </c>
      <c r="BR39">
        <v>0</v>
      </c>
      <c r="BS39">
        <v>0</v>
      </c>
      <c r="BT39">
        <v>149442</v>
      </c>
      <c r="BU39">
        <v>327500</v>
      </c>
      <c r="BV39">
        <v>102206</v>
      </c>
      <c r="BW39">
        <v>86656</v>
      </c>
      <c r="BX39">
        <v>0</v>
      </c>
      <c r="BY39">
        <v>0</v>
      </c>
      <c r="BZ39">
        <v>978214</v>
      </c>
      <c r="CA39">
        <v>0</v>
      </c>
    </row>
    <row r="40" spans="1:79" x14ac:dyDescent="0.3">
      <c r="A40" s="155">
        <v>82</v>
      </c>
      <c r="B40" t="s">
        <v>309</v>
      </c>
      <c r="D40">
        <v>0</v>
      </c>
      <c r="E40">
        <v>0</v>
      </c>
      <c r="F40">
        <v>22032</v>
      </c>
      <c r="G40">
        <v>55295540</v>
      </c>
      <c r="H40">
        <v>1321822</v>
      </c>
      <c r="I40">
        <v>0</v>
      </c>
      <c r="J40">
        <v>0</v>
      </c>
      <c r="K40">
        <v>2326500</v>
      </c>
      <c r="L40">
        <v>53882647</v>
      </c>
      <c r="M40">
        <v>0</v>
      </c>
      <c r="N40">
        <v>0</v>
      </c>
      <c r="O40">
        <v>16578</v>
      </c>
      <c r="P40">
        <v>0</v>
      </c>
      <c r="Q40">
        <v>25318</v>
      </c>
      <c r="R40">
        <v>10292499</v>
      </c>
      <c r="S40">
        <v>21902668</v>
      </c>
      <c r="U40">
        <v>12090006</v>
      </c>
      <c r="V40">
        <v>0</v>
      </c>
      <c r="W40">
        <v>0</v>
      </c>
      <c r="X40">
        <v>144421</v>
      </c>
      <c r="Y40">
        <v>2135521</v>
      </c>
      <c r="Z40">
        <v>509451</v>
      </c>
      <c r="AA40">
        <v>919668</v>
      </c>
      <c r="AB40">
        <v>0</v>
      </c>
      <c r="AC40">
        <v>191667</v>
      </c>
      <c r="AD40">
        <v>1338848</v>
      </c>
      <c r="AE40">
        <v>4801169</v>
      </c>
      <c r="AF40">
        <v>0</v>
      </c>
      <c r="AG40">
        <v>0</v>
      </c>
      <c r="AH40">
        <v>0</v>
      </c>
      <c r="AI40">
        <v>0</v>
      </c>
      <c r="AJ40">
        <v>3537668</v>
      </c>
      <c r="AK40">
        <v>0</v>
      </c>
      <c r="AL40">
        <v>0</v>
      </c>
      <c r="AM40">
        <v>0</v>
      </c>
      <c r="AN40">
        <v>22308832</v>
      </c>
      <c r="AP40">
        <v>0</v>
      </c>
      <c r="AQ40">
        <v>541233</v>
      </c>
      <c r="AR40">
        <v>48514</v>
      </c>
      <c r="AS40">
        <v>238000</v>
      </c>
      <c r="AT40">
        <v>0</v>
      </c>
      <c r="AU40">
        <v>3320245</v>
      </c>
      <c r="AV40">
        <v>144341</v>
      </c>
      <c r="AX40">
        <v>0</v>
      </c>
      <c r="AY40">
        <v>254502</v>
      </c>
      <c r="AZ40">
        <v>3254977</v>
      </c>
      <c r="BA40">
        <v>0</v>
      </c>
      <c r="BB40">
        <v>619458</v>
      </c>
      <c r="BD40">
        <v>0</v>
      </c>
      <c r="BE40">
        <v>6376605</v>
      </c>
      <c r="BF40">
        <v>0</v>
      </c>
      <c r="BG40">
        <v>0</v>
      </c>
      <c r="BH40">
        <v>948963</v>
      </c>
      <c r="BI40">
        <v>1140726</v>
      </c>
      <c r="BJ40">
        <v>0</v>
      </c>
      <c r="BK40">
        <v>461695</v>
      </c>
      <c r="BL40">
        <v>256648</v>
      </c>
      <c r="BM40">
        <v>0</v>
      </c>
      <c r="BN40">
        <v>1100904</v>
      </c>
      <c r="BO40">
        <v>606811</v>
      </c>
      <c r="BP40">
        <v>0</v>
      </c>
      <c r="BQ40">
        <v>1141434</v>
      </c>
      <c r="BR40">
        <v>0</v>
      </c>
      <c r="BS40">
        <v>0</v>
      </c>
      <c r="BT40">
        <v>231142</v>
      </c>
      <c r="BU40">
        <v>1096634</v>
      </c>
      <c r="BV40">
        <v>653103</v>
      </c>
      <c r="BW40">
        <v>0</v>
      </c>
      <c r="BX40">
        <v>0</v>
      </c>
      <c r="BY40">
        <v>0</v>
      </c>
      <c r="BZ40">
        <v>6725491</v>
      </c>
      <c r="CA40">
        <v>0</v>
      </c>
    </row>
    <row r="41" spans="1:79" x14ac:dyDescent="0.3">
      <c r="A41" s="155">
        <v>83</v>
      </c>
      <c r="B41" t="s">
        <v>94</v>
      </c>
      <c r="D41">
        <v>0</v>
      </c>
      <c r="E41">
        <v>0</v>
      </c>
      <c r="F41">
        <v>827807</v>
      </c>
      <c r="G41">
        <v>73093003</v>
      </c>
      <c r="H41">
        <v>23867949</v>
      </c>
      <c r="I41">
        <v>259337</v>
      </c>
      <c r="J41">
        <v>11391690</v>
      </c>
      <c r="K41">
        <v>4143581</v>
      </c>
      <c r="L41">
        <v>77114525</v>
      </c>
      <c r="M41">
        <v>0</v>
      </c>
      <c r="N41">
        <v>3067730</v>
      </c>
      <c r="O41">
        <v>5316116</v>
      </c>
      <c r="P41">
        <v>0</v>
      </c>
      <c r="Q41">
        <v>22968550</v>
      </c>
      <c r="R41">
        <v>24594927</v>
      </c>
      <c r="S41">
        <v>35587645</v>
      </c>
      <c r="U41">
        <v>75759035</v>
      </c>
      <c r="V41">
        <v>0</v>
      </c>
      <c r="W41">
        <v>0</v>
      </c>
      <c r="X41">
        <v>38450</v>
      </c>
      <c r="Y41">
        <v>7727926</v>
      </c>
      <c r="Z41">
        <v>8237455</v>
      </c>
      <c r="AA41">
        <v>6277906</v>
      </c>
      <c r="AB41">
        <v>0</v>
      </c>
      <c r="AC41">
        <v>179687</v>
      </c>
      <c r="AD41">
        <v>8579785</v>
      </c>
      <c r="AE41">
        <v>9231186</v>
      </c>
      <c r="AF41">
        <v>657818</v>
      </c>
      <c r="AG41">
        <v>0</v>
      </c>
      <c r="AH41">
        <v>0</v>
      </c>
      <c r="AI41">
        <v>927871</v>
      </c>
      <c r="AJ41">
        <v>38720702</v>
      </c>
      <c r="AK41">
        <v>1735213</v>
      </c>
      <c r="AL41">
        <v>0</v>
      </c>
      <c r="AM41">
        <v>0</v>
      </c>
      <c r="AN41">
        <v>58449814</v>
      </c>
      <c r="AP41">
        <v>0</v>
      </c>
      <c r="AQ41">
        <v>42556196</v>
      </c>
      <c r="AR41">
        <v>5265473</v>
      </c>
      <c r="AS41">
        <v>4175495</v>
      </c>
      <c r="AT41">
        <v>5455827</v>
      </c>
      <c r="AU41">
        <v>27993770</v>
      </c>
      <c r="AV41">
        <v>1670510</v>
      </c>
      <c r="AX41">
        <v>11604286</v>
      </c>
      <c r="AY41">
        <v>8867537</v>
      </c>
      <c r="AZ41">
        <v>12532227</v>
      </c>
      <c r="BA41">
        <v>-28176</v>
      </c>
      <c r="BB41">
        <v>2980775</v>
      </c>
      <c r="BD41">
        <v>0</v>
      </c>
      <c r="BE41">
        <v>48648689</v>
      </c>
      <c r="BF41">
        <v>2433254</v>
      </c>
      <c r="BG41">
        <v>0</v>
      </c>
      <c r="BH41">
        <v>5462590</v>
      </c>
      <c r="BI41">
        <v>6403984</v>
      </c>
      <c r="BJ41">
        <v>5677897</v>
      </c>
      <c r="BK41">
        <v>13948492</v>
      </c>
      <c r="BL41">
        <v>7162179</v>
      </c>
      <c r="BM41">
        <v>0</v>
      </c>
      <c r="BN41">
        <v>18944829</v>
      </c>
      <c r="BO41">
        <v>11756589</v>
      </c>
      <c r="BP41">
        <v>8080607</v>
      </c>
      <c r="BQ41">
        <v>6885282</v>
      </c>
      <c r="BR41">
        <v>0</v>
      </c>
      <c r="BS41">
        <v>0</v>
      </c>
      <c r="BT41">
        <v>6450551</v>
      </c>
      <c r="BU41">
        <v>12432399</v>
      </c>
      <c r="BV41">
        <v>5166378</v>
      </c>
      <c r="BW41">
        <v>2845820</v>
      </c>
      <c r="BX41">
        <v>0</v>
      </c>
      <c r="BY41">
        <v>0</v>
      </c>
      <c r="BZ41">
        <v>57362451</v>
      </c>
      <c r="CA41">
        <v>0</v>
      </c>
    </row>
    <row r="42" spans="1:79" x14ac:dyDescent="0.3">
      <c r="A42" s="155">
        <v>84</v>
      </c>
      <c r="B42" t="s">
        <v>218</v>
      </c>
      <c r="D42">
        <v>0</v>
      </c>
      <c r="E42">
        <v>0</v>
      </c>
      <c r="F42">
        <v>284970</v>
      </c>
      <c r="G42">
        <v>25181003</v>
      </c>
      <c r="H42">
        <v>3695747</v>
      </c>
      <c r="I42">
        <v>211430</v>
      </c>
      <c r="J42">
        <v>869208</v>
      </c>
      <c r="K42">
        <v>991735</v>
      </c>
      <c r="L42">
        <v>21028417</v>
      </c>
      <c r="M42">
        <v>0</v>
      </c>
      <c r="N42">
        <v>569291</v>
      </c>
      <c r="O42">
        <v>1374125</v>
      </c>
      <c r="P42">
        <v>0</v>
      </c>
      <c r="Q42">
        <v>5492560</v>
      </c>
      <c r="R42">
        <v>6541239</v>
      </c>
      <c r="S42">
        <v>6982614</v>
      </c>
      <c r="U42">
        <v>17267701</v>
      </c>
      <c r="V42">
        <v>0</v>
      </c>
      <c r="W42">
        <v>0</v>
      </c>
      <c r="X42">
        <v>0</v>
      </c>
      <c r="Y42">
        <v>2498539</v>
      </c>
      <c r="Z42">
        <v>1208715</v>
      </c>
      <c r="AA42">
        <v>1648749</v>
      </c>
      <c r="AB42">
        <v>0</v>
      </c>
      <c r="AC42">
        <v>131656</v>
      </c>
      <c r="AD42">
        <v>1083979</v>
      </c>
      <c r="AE42">
        <v>2083011</v>
      </c>
      <c r="AF42">
        <v>42781</v>
      </c>
      <c r="AG42">
        <v>0</v>
      </c>
      <c r="AH42">
        <v>0</v>
      </c>
      <c r="AI42">
        <v>370243</v>
      </c>
      <c r="AJ42">
        <v>6804161</v>
      </c>
      <c r="AK42">
        <v>117275</v>
      </c>
      <c r="AL42">
        <v>0</v>
      </c>
      <c r="AM42">
        <v>7410119</v>
      </c>
      <c r="AN42">
        <v>9634393</v>
      </c>
      <c r="AP42">
        <v>0</v>
      </c>
      <c r="AQ42">
        <v>10500236</v>
      </c>
      <c r="AR42">
        <v>841966</v>
      </c>
      <c r="AS42">
        <v>295009</v>
      </c>
      <c r="AT42">
        <v>2690690</v>
      </c>
      <c r="AU42">
        <v>7624106</v>
      </c>
      <c r="AV42">
        <v>431768</v>
      </c>
      <c r="AX42">
        <v>1936350</v>
      </c>
      <c r="AY42">
        <v>2133113</v>
      </c>
      <c r="AZ42">
        <v>3319433</v>
      </c>
      <c r="BA42">
        <v>13915</v>
      </c>
      <c r="BB42">
        <v>1263676</v>
      </c>
      <c r="BD42">
        <v>0</v>
      </c>
      <c r="BE42">
        <v>11499981</v>
      </c>
      <c r="BF42">
        <v>219143</v>
      </c>
      <c r="BG42">
        <v>0</v>
      </c>
      <c r="BH42">
        <v>1500056</v>
      </c>
      <c r="BI42">
        <v>1065092</v>
      </c>
      <c r="BJ42">
        <v>309228</v>
      </c>
      <c r="BK42">
        <v>2237184</v>
      </c>
      <c r="BL42">
        <v>1982380</v>
      </c>
      <c r="BM42">
        <v>0</v>
      </c>
      <c r="BN42">
        <v>3770498</v>
      </c>
      <c r="BO42">
        <v>1011103</v>
      </c>
      <c r="BP42">
        <v>765251</v>
      </c>
      <c r="BQ42">
        <v>1672095</v>
      </c>
      <c r="BR42">
        <v>0</v>
      </c>
      <c r="BS42">
        <v>0</v>
      </c>
      <c r="BT42">
        <v>690740</v>
      </c>
      <c r="BU42">
        <v>2480329</v>
      </c>
      <c r="BV42">
        <v>532697</v>
      </c>
      <c r="BW42">
        <v>737839</v>
      </c>
      <c r="BX42">
        <v>0</v>
      </c>
      <c r="BY42">
        <v>0</v>
      </c>
      <c r="BZ42">
        <v>9152731</v>
      </c>
      <c r="CA42">
        <v>0</v>
      </c>
    </row>
    <row r="43" spans="1:79" x14ac:dyDescent="0.3">
      <c r="A43" s="155">
        <v>85</v>
      </c>
      <c r="B43" t="s">
        <v>220</v>
      </c>
      <c r="D43">
        <v>0</v>
      </c>
      <c r="E43">
        <v>0</v>
      </c>
      <c r="F43">
        <v>305481</v>
      </c>
      <c r="G43">
        <v>21134960</v>
      </c>
      <c r="H43">
        <v>3363541</v>
      </c>
      <c r="I43">
        <v>243355</v>
      </c>
      <c r="J43">
        <v>929294</v>
      </c>
      <c r="K43">
        <v>856034</v>
      </c>
      <c r="L43">
        <v>17702323</v>
      </c>
      <c r="M43">
        <v>0</v>
      </c>
      <c r="N43">
        <v>706875</v>
      </c>
      <c r="O43">
        <v>1508240</v>
      </c>
      <c r="P43">
        <v>0</v>
      </c>
      <c r="Q43">
        <v>4393454</v>
      </c>
      <c r="R43">
        <v>5982316</v>
      </c>
      <c r="S43">
        <v>7548760</v>
      </c>
      <c r="U43">
        <v>15967991</v>
      </c>
      <c r="V43">
        <v>0</v>
      </c>
      <c r="W43">
        <v>0</v>
      </c>
      <c r="X43">
        <v>0</v>
      </c>
      <c r="Y43">
        <v>2078262</v>
      </c>
      <c r="Z43">
        <v>1340075</v>
      </c>
      <c r="AA43">
        <v>1179755</v>
      </c>
      <c r="AB43">
        <v>0</v>
      </c>
      <c r="AC43">
        <v>92918</v>
      </c>
      <c r="AD43">
        <v>947763</v>
      </c>
      <c r="AE43">
        <v>2129530</v>
      </c>
      <c r="AF43">
        <v>72538</v>
      </c>
      <c r="AG43">
        <v>0</v>
      </c>
      <c r="AH43">
        <v>0</v>
      </c>
      <c r="AI43">
        <v>422325</v>
      </c>
      <c r="AJ43">
        <v>6424720</v>
      </c>
      <c r="AK43">
        <v>210373</v>
      </c>
      <c r="AL43">
        <v>0</v>
      </c>
      <c r="AM43">
        <v>4543844</v>
      </c>
      <c r="AN43">
        <v>7666199</v>
      </c>
      <c r="AP43">
        <v>0</v>
      </c>
      <c r="AQ43">
        <v>12327633</v>
      </c>
      <c r="AR43">
        <v>1781990</v>
      </c>
      <c r="AS43">
        <v>402368</v>
      </c>
      <c r="AT43">
        <v>3035242</v>
      </c>
      <c r="AU43">
        <v>6861419</v>
      </c>
      <c r="AV43">
        <v>340350</v>
      </c>
      <c r="AX43">
        <v>1239236</v>
      </c>
      <c r="AY43">
        <v>2144312</v>
      </c>
      <c r="AZ43">
        <v>3214654</v>
      </c>
      <c r="BA43">
        <v>28800</v>
      </c>
      <c r="BB43">
        <v>1474176</v>
      </c>
      <c r="BD43">
        <v>0</v>
      </c>
      <c r="BE43">
        <v>10298252</v>
      </c>
      <c r="BF43">
        <v>363050</v>
      </c>
      <c r="BG43">
        <v>0</v>
      </c>
      <c r="BH43">
        <v>1632407</v>
      </c>
      <c r="BI43">
        <v>811474</v>
      </c>
      <c r="BJ43">
        <v>649149</v>
      </c>
      <c r="BK43">
        <v>2551427</v>
      </c>
      <c r="BL43">
        <v>1973317</v>
      </c>
      <c r="BM43">
        <v>0</v>
      </c>
      <c r="BN43">
        <v>4141961</v>
      </c>
      <c r="BO43">
        <v>1012534</v>
      </c>
      <c r="BP43">
        <v>815815</v>
      </c>
      <c r="BQ43">
        <v>1475861</v>
      </c>
      <c r="BR43">
        <v>0</v>
      </c>
      <c r="BS43">
        <v>0</v>
      </c>
      <c r="BT43">
        <v>901850</v>
      </c>
      <c r="BU43">
        <v>2556621</v>
      </c>
      <c r="BV43">
        <v>534678</v>
      </c>
      <c r="BW43">
        <v>509347</v>
      </c>
      <c r="BX43">
        <v>0</v>
      </c>
      <c r="BY43">
        <v>0</v>
      </c>
      <c r="BZ43">
        <v>7569707</v>
      </c>
      <c r="CA43">
        <v>0</v>
      </c>
    </row>
    <row r="44" spans="1:79" x14ac:dyDescent="0.3">
      <c r="A44" s="155">
        <v>88</v>
      </c>
      <c r="B44" t="s">
        <v>217</v>
      </c>
      <c r="D44">
        <v>0</v>
      </c>
      <c r="E44">
        <v>0</v>
      </c>
      <c r="F44">
        <v>283180</v>
      </c>
      <c r="G44">
        <v>25181003</v>
      </c>
      <c r="H44">
        <v>3664331</v>
      </c>
      <c r="I44">
        <v>209470</v>
      </c>
      <c r="J44">
        <v>800606</v>
      </c>
      <c r="K44">
        <v>763138</v>
      </c>
      <c r="L44">
        <v>18639356</v>
      </c>
      <c r="M44">
        <v>0</v>
      </c>
      <c r="N44">
        <v>547317</v>
      </c>
      <c r="O44">
        <v>1292201</v>
      </c>
      <c r="P44">
        <v>0</v>
      </c>
      <c r="Q44">
        <v>4655105</v>
      </c>
      <c r="R44">
        <v>6137094</v>
      </c>
      <c r="S44">
        <v>6949452</v>
      </c>
      <c r="U44">
        <v>16822660</v>
      </c>
      <c r="V44">
        <v>0</v>
      </c>
      <c r="W44">
        <v>0</v>
      </c>
      <c r="X44">
        <v>0</v>
      </c>
      <c r="Y44">
        <v>2495089</v>
      </c>
      <c r="Z44">
        <v>1207420</v>
      </c>
      <c r="AA44">
        <v>1611096</v>
      </c>
      <c r="AB44">
        <v>0</v>
      </c>
      <c r="AC44">
        <v>131656</v>
      </c>
      <c r="AD44">
        <v>1060424</v>
      </c>
      <c r="AE44">
        <v>1989378</v>
      </c>
      <c r="AF44">
        <v>42781</v>
      </c>
      <c r="AG44">
        <v>0</v>
      </c>
      <c r="AH44">
        <v>0</v>
      </c>
      <c r="AI44">
        <v>370243</v>
      </c>
      <c r="AJ44">
        <v>6503416</v>
      </c>
      <c r="AK44">
        <v>117275</v>
      </c>
      <c r="AL44">
        <v>0</v>
      </c>
      <c r="AM44">
        <v>7381470</v>
      </c>
      <c r="AN44">
        <v>9446095</v>
      </c>
      <c r="AP44">
        <v>0</v>
      </c>
      <c r="AQ44">
        <v>9862688</v>
      </c>
      <c r="AR44">
        <v>794758</v>
      </c>
      <c r="AS44">
        <v>295009</v>
      </c>
      <c r="AT44">
        <v>2640504</v>
      </c>
      <c r="AU44">
        <v>7214907</v>
      </c>
      <c r="AV44">
        <v>424513</v>
      </c>
      <c r="AX44">
        <v>1523542</v>
      </c>
      <c r="AY44">
        <v>2133113</v>
      </c>
      <c r="AZ44">
        <v>3256112</v>
      </c>
      <c r="BA44">
        <v>13915</v>
      </c>
      <c r="BB44">
        <v>1237573</v>
      </c>
      <c r="BD44">
        <v>0</v>
      </c>
      <c r="BE44">
        <v>8496678</v>
      </c>
      <c r="BF44">
        <v>217613</v>
      </c>
      <c r="BG44">
        <v>0</v>
      </c>
      <c r="BH44">
        <v>1411358</v>
      </c>
      <c r="BI44">
        <v>804951</v>
      </c>
      <c r="BJ44">
        <v>295020</v>
      </c>
      <c r="BK44">
        <v>2114668</v>
      </c>
      <c r="BL44">
        <v>1893933</v>
      </c>
      <c r="BM44">
        <v>0</v>
      </c>
      <c r="BN44">
        <v>3664660</v>
      </c>
      <c r="BO44">
        <v>997201</v>
      </c>
      <c r="BP44">
        <v>737571</v>
      </c>
      <c r="BQ44">
        <v>1590853</v>
      </c>
      <c r="BR44">
        <v>0</v>
      </c>
      <c r="BS44">
        <v>0</v>
      </c>
      <c r="BT44">
        <v>690740</v>
      </c>
      <c r="BU44">
        <v>2259459</v>
      </c>
      <c r="BV44">
        <v>532697</v>
      </c>
      <c r="BW44">
        <v>732687</v>
      </c>
      <c r="BX44">
        <v>0</v>
      </c>
      <c r="BY44">
        <v>0</v>
      </c>
      <c r="BZ44">
        <v>6839089</v>
      </c>
      <c r="CA44">
        <v>0</v>
      </c>
    </row>
    <row r="45" spans="1:79" x14ac:dyDescent="0.3">
      <c r="A45" s="155">
        <v>89</v>
      </c>
      <c r="B45" t="s">
        <v>221</v>
      </c>
      <c r="D45">
        <v>0</v>
      </c>
      <c r="E45">
        <v>0</v>
      </c>
      <c r="F45">
        <v>458</v>
      </c>
      <c r="G45">
        <v>1577397</v>
      </c>
      <c r="H45">
        <v>33033</v>
      </c>
      <c r="I45">
        <v>0</v>
      </c>
      <c r="J45">
        <v>0</v>
      </c>
      <c r="K45">
        <v>68207</v>
      </c>
      <c r="L45">
        <v>1839075</v>
      </c>
      <c r="M45">
        <v>0</v>
      </c>
      <c r="N45">
        <v>78</v>
      </c>
      <c r="O45">
        <v>10937</v>
      </c>
      <c r="P45">
        <v>0</v>
      </c>
      <c r="Q45">
        <v>0</v>
      </c>
      <c r="R45">
        <v>41290</v>
      </c>
      <c r="S45">
        <v>5516</v>
      </c>
      <c r="U45">
        <v>109413</v>
      </c>
      <c r="V45">
        <v>0</v>
      </c>
      <c r="W45">
        <v>0</v>
      </c>
      <c r="X45">
        <v>0</v>
      </c>
      <c r="Y45">
        <v>62329</v>
      </c>
      <c r="Z45">
        <v>13467</v>
      </c>
      <c r="AA45">
        <v>7738</v>
      </c>
      <c r="AB45">
        <v>0</v>
      </c>
      <c r="AC45">
        <v>2686</v>
      </c>
      <c r="AD45">
        <v>16874</v>
      </c>
      <c r="AE45">
        <v>161265</v>
      </c>
      <c r="AF45">
        <v>0</v>
      </c>
      <c r="AG45">
        <v>0</v>
      </c>
      <c r="AH45">
        <v>0</v>
      </c>
      <c r="AI45">
        <v>0</v>
      </c>
      <c r="AJ45">
        <v>93612</v>
      </c>
      <c r="AK45">
        <v>0</v>
      </c>
      <c r="AL45">
        <v>0</v>
      </c>
      <c r="AM45">
        <v>794757</v>
      </c>
      <c r="AN45">
        <v>200025</v>
      </c>
      <c r="AP45">
        <v>0</v>
      </c>
      <c r="AQ45">
        <v>17827</v>
      </c>
      <c r="AR45">
        <v>0</v>
      </c>
      <c r="AS45">
        <v>6655</v>
      </c>
      <c r="AT45">
        <v>0</v>
      </c>
      <c r="AU45">
        <v>132043</v>
      </c>
      <c r="AV45">
        <v>2714</v>
      </c>
      <c r="AX45">
        <v>0</v>
      </c>
      <c r="AY45">
        <v>9393</v>
      </c>
      <c r="AZ45">
        <v>98188</v>
      </c>
      <c r="BA45">
        <v>0</v>
      </c>
      <c r="BB45">
        <v>10672</v>
      </c>
      <c r="BD45">
        <v>0</v>
      </c>
      <c r="BE45">
        <v>25637</v>
      </c>
      <c r="BF45">
        <v>0</v>
      </c>
      <c r="BG45">
        <v>0</v>
      </c>
      <c r="BH45">
        <v>41127</v>
      </c>
      <c r="BI45">
        <v>27377</v>
      </c>
      <c r="BJ45">
        <v>0</v>
      </c>
      <c r="BK45">
        <v>0</v>
      </c>
      <c r="BL45">
        <v>6644</v>
      </c>
      <c r="BM45">
        <v>0</v>
      </c>
      <c r="BN45">
        <v>13656</v>
      </c>
      <c r="BO45">
        <v>21225</v>
      </c>
      <c r="BP45">
        <v>24186</v>
      </c>
      <c r="BQ45">
        <v>0</v>
      </c>
      <c r="BR45">
        <v>0</v>
      </c>
      <c r="BS45">
        <v>0</v>
      </c>
      <c r="BT45">
        <v>5039</v>
      </c>
      <c r="BU45">
        <v>41456</v>
      </c>
      <c r="BV45">
        <v>0</v>
      </c>
      <c r="BW45">
        <v>0</v>
      </c>
      <c r="BX45">
        <v>0</v>
      </c>
      <c r="BY45">
        <v>0</v>
      </c>
      <c r="BZ45">
        <v>87254</v>
      </c>
      <c r="CA45">
        <v>0</v>
      </c>
    </row>
    <row r="46" spans="1:79" x14ac:dyDescent="0.3">
      <c r="A46" s="155">
        <v>90</v>
      </c>
      <c r="B46" t="s">
        <v>214</v>
      </c>
      <c r="D46">
        <v>0</v>
      </c>
      <c r="E46">
        <v>0</v>
      </c>
      <c r="F46">
        <v>0</v>
      </c>
      <c r="G46">
        <v>0</v>
      </c>
      <c r="H46">
        <v>0</v>
      </c>
      <c r="I46">
        <v>0</v>
      </c>
      <c r="J46">
        <v>0</v>
      </c>
      <c r="K46">
        <v>0</v>
      </c>
      <c r="L46">
        <v>0</v>
      </c>
      <c r="M46">
        <v>0</v>
      </c>
      <c r="N46">
        <v>0</v>
      </c>
      <c r="O46">
        <v>0</v>
      </c>
      <c r="P46">
        <v>0</v>
      </c>
      <c r="Q46">
        <v>0</v>
      </c>
      <c r="R46">
        <v>0</v>
      </c>
      <c r="S46">
        <v>6086504</v>
      </c>
      <c r="U46">
        <v>28806741</v>
      </c>
      <c r="V46">
        <v>0</v>
      </c>
      <c r="W46">
        <v>0</v>
      </c>
      <c r="X46">
        <v>0</v>
      </c>
      <c r="Y46">
        <v>0</v>
      </c>
      <c r="Z46">
        <v>785351</v>
      </c>
      <c r="AA46">
        <v>0</v>
      </c>
      <c r="AB46">
        <v>0</v>
      </c>
      <c r="AC46">
        <v>0</v>
      </c>
      <c r="AD46">
        <v>0</v>
      </c>
      <c r="AE46">
        <v>1565568</v>
      </c>
      <c r="AF46">
        <v>0</v>
      </c>
      <c r="AG46">
        <v>0</v>
      </c>
      <c r="AH46">
        <v>0</v>
      </c>
      <c r="AI46">
        <v>0</v>
      </c>
      <c r="AJ46">
        <v>1642530</v>
      </c>
      <c r="AK46">
        <v>0</v>
      </c>
      <c r="AL46">
        <v>0</v>
      </c>
      <c r="AM46">
        <v>0</v>
      </c>
      <c r="AN46">
        <v>0</v>
      </c>
      <c r="AP46">
        <v>0</v>
      </c>
      <c r="AQ46">
        <v>19667201</v>
      </c>
      <c r="AR46">
        <v>0</v>
      </c>
      <c r="AS46">
        <v>0</v>
      </c>
      <c r="AT46">
        <v>0</v>
      </c>
      <c r="AU46">
        <v>4106737</v>
      </c>
      <c r="AV46">
        <v>0</v>
      </c>
      <c r="AX46">
        <v>0</v>
      </c>
      <c r="AY46">
        <v>0</v>
      </c>
      <c r="AZ46">
        <v>1283802</v>
      </c>
      <c r="BA46">
        <v>0</v>
      </c>
      <c r="BB46">
        <v>0</v>
      </c>
      <c r="BD46">
        <v>0</v>
      </c>
      <c r="BE46">
        <v>4688198</v>
      </c>
      <c r="BF46">
        <v>200725</v>
      </c>
      <c r="BG46">
        <v>0</v>
      </c>
      <c r="BH46">
        <v>0</v>
      </c>
      <c r="BI46">
        <v>0</v>
      </c>
      <c r="BJ46">
        <v>0</v>
      </c>
      <c r="BK46">
        <v>3561076</v>
      </c>
      <c r="BL46">
        <v>0</v>
      </c>
      <c r="BM46">
        <v>0</v>
      </c>
      <c r="BN46">
        <v>0</v>
      </c>
      <c r="BO46">
        <v>0</v>
      </c>
      <c r="BP46">
        <v>0</v>
      </c>
      <c r="BQ46">
        <v>0</v>
      </c>
      <c r="BR46">
        <v>0</v>
      </c>
      <c r="BS46">
        <v>0</v>
      </c>
      <c r="BT46">
        <v>0</v>
      </c>
      <c r="BU46">
        <v>0</v>
      </c>
      <c r="BV46">
        <v>0</v>
      </c>
      <c r="BW46">
        <v>0</v>
      </c>
      <c r="BX46">
        <v>0</v>
      </c>
      <c r="BY46">
        <v>0</v>
      </c>
      <c r="BZ46">
        <v>0</v>
      </c>
      <c r="CA46">
        <v>0</v>
      </c>
    </row>
    <row r="47" spans="1:79" x14ac:dyDescent="0.3">
      <c r="A47" s="155">
        <v>91</v>
      </c>
      <c r="B47" t="s">
        <v>215</v>
      </c>
      <c r="D47">
        <v>0</v>
      </c>
      <c r="E47">
        <v>0</v>
      </c>
      <c r="F47">
        <v>0</v>
      </c>
      <c r="G47">
        <v>0</v>
      </c>
      <c r="H47">
        <v>0</v>
      </c>
      <c r="I47">
        <v>0</v>
      </c>
      <c r="J47">
        <v>0</v>
      </c>
      <c r="K47">
        <v>0</v>
      </c>
      <c r="L47">
        <v>0</v>
      </c>
      <c r="M47">
        <v>0</v>
      </c>
      <c r="N47">
        <v>0</v>
      </c>
      <c r="O47">
        <v>0</v>
      </c>
      <c r="P47">
        <v>0</v>
      </c>
      <c r="Q47">
        <v>0</v>
      </c>
      <c r="R47">
        <v>0</v>
      </c>
      <c r="S47">
        <v>1211376</v>
      </c>
      <c r="U47">
        <v>5622471</v>
      </c>
      <c r="V47">
        <v>0</v>
      </c>
      <c r="W47">
        <v>0</v>
      </c>
      <c r="X47">
        <v>0</v>
      </c>
      <c r="Y47">
        <v>0</v>
      </c>
      <c r="Z47">
        <v>119328</v>
      </c>
      <c r="AA47">
        <v>0</v>
      </c>
      <c r="AB47">
        <v>0</v>
      </c>
      <c r="AC47">
        <v>0</v>
      </c>
      <c r="AD47">
        <v>0</v>
      </c>
      <c r="AE47">
        <v>1008033</v>
      </c>
      <c r="AF47">
        <v>0</v>
      </c>
      <c r="AG47">
        <v>0</v>
      </c>
      <c r="AH47">
        <v>0</v>
      </c>
      <c r="AI47">
        <v>0</v>
      </c>
      <c r="AJ47">
        <v>1291178</v>
      </c>
      <c r="AK47">
        <v>0</v>
      </c>
      <c r="AL47">
        <v>0</v>
      </c>
      <c r="AM47">
        <v>0</v>
      </c>
      <c r="AN47">
        <v>0</v>
      </c>
      <c r="AP47">
        <v>0</v>
      </c>
      <c r="AQ47">
        <v>6223422</v>
      </c>
      <c r="AR47">
        <v>0</v>
      </c>
      <c r="AS47">
        <v>0</v>
      </c>
      <c r="AT47">
        <v>0</v>
      </c>
      <c r="AU47">
        <v>688748</v>
      </c>
      <c r="AV47">
        <v>0</v>
      </c>
      <c r="AX47">
        <v>0</v>
      </c>
      <c r="AY47">
        <v>0</v>
      </c>
      <c r="AZ47">
        <v>821132</v>
      </c>
      <c r="BA47">
        <v>0</v>
      </c>
      <c r="BB47">
        <v>0</v>
      </c>
      <c r="BD47">
        <v>0</v>
      </c>
      <c r="BE47">
        <v>5733365</v>
      </c>
      <c r="BF47">
        <v>59156</v>
      </c>
      <c r="BG47">
        <v>0</v>
      </c>
      <c r="BH47">
        <v>0</v>
      </c>
      <c r="BI47">
        <v>0</v>
      </c>
      <c r="BJ47">
        <v>0</v>
      </c>
      <c r="BK47">
        <v>545055</v>
      </c>
      <c r="BL47">
        <v>0</v>
      </c>
      <c r="BM47">
        <v>0</v>
      </c>
      <c r="BN47">
        <v>0</v>
      </c>
      <c r="BO47">
        <v>0</v>
      </c>
      <c r="BP47">
        <v>0</v>
      </c>
      <c r="BQ47">
        <v>0</v>
      </c>
      <c r="BR47">
        <v>0</v>
      </c>
      <c r="BS47">
        <v>0</v>
      </c>
      <c r="BT47">
        <v>0</v>
      </c>
      <c r="BU47">
        <v>0</v>
      </c>
      <c r="BV47">
        <v>0</v>
      </c>
      <c r="BW47">
        <v>0</v>
      </c>
      <c r="BX47">
        <v>0</v>
      </c>
      <c r="BY47">
        <v>0</v>
      </c>
      <c r="BZ47">
        <v>0</v>
      </c>
      <c r="CA47">
        <v>0</v>
      </c>
    </row>
    <row r="48" spans="1:79" x14ac:dyDescent="0.3">
      <c r="A48" s="155">
        <v>93</v>
      </c>
      <c r="B48" t="s">
        <v>228</v>
      </c>
      <c r="D48">
        <v>0</v>
      </c>
      <c r="E48">
        <v>0</v>
      </c>
      <c r="F48">
        <v>0</v>
      </c>
      <c r="G48">
        <v>0</v>
      </c>
      <c r="H48">
        <v>0</v>
      </c>
      <c r="I48">
        <v>0</v>
      </c>
      <c r="J48">
        <v>0</v>
      </c>
      <c r="K48">
        <v>0</v>
      </c>
      <c r="L48">
        <v>0</v>
      </c>
      <c r="M48">
        <v>0</v>
      </c>
      <c r="N48">
        <v>0</v>
      </c>
      <c r="O48">
        <v>0</v>
      </c>
      <c r="P48">
        <v>0</v>
      </c>
      <c r="Q48">
        <v>0</v>
      </c>
      <c r="R48">
        <v>0</v>
      </c>
      <c r="S48">
        <v>13766835</v>
      </c>
      <c r="U48">
        <v>46364469</v>
      </c>
      <c r="V48">
        <v>0</v>
      </c>
      <c r="W48">
        <v>0</v>
      </c>
      <c r="X48">
        <v>0</v>
      </c>
      <c r="Y48">
        <v>0</v>
      </c>
      <c r="Z48">
        <v>3472224</v>
      </c>
      <c r="AA48">
        <v>727802</v>
      </c>
      <c r="AB48">
        <v>0</v>
      </c>
      <c r="AC48">
        <v>0</v>
      </c>
      <c r="AD48">
        <v>0</v>
      </c>
      <c r="AE48">
        <v>5934440</v>
      </c>
      <c r="AF48">
        <v>0</v>
      </c>
      <c r="AG48">
        <v>0</v>
      </c>
      <c r="AH48">
        <v>0</v>
      </c>
      <c r="AI48">
        <v>0</v>
      </c>
      <c r="AJ48">
        <v>14626727</v>
      </c>
      <c r="AK48">
        <v>0</v>
      </c>
      <c r="AL48">
        <v>0</v>
      </c>
      <c r="AM48">
        <v>0</v>
      </c>
      <c r="AN48">
        <v>0</v>
      </c>
      <c r="AP48">
        <v>0</v>
      </c>
      <c r="AQ48">
        <v>47134294</v>
      </c>
      <c r="AR48">
        <v>0</v>
      </c>
      <c r="AS48">
        <v>0</v>
      </c>
      <c r="AT48">
        <v>0</v>
      </c>
      <c r="AU48">
        <v>8897302</v>
      </c>
      <c r="AV48">
        <v>0</v>
      </c>
      <c r="AX48">
        <v>0</v>
      </c>
      <c r="AY48">
        <v>0</v>
      </c>
      <c r="AZ48">
        <v>7050054</v>
      </c>
      <c r="BA48">
        <v>0</v>
      </c>
      <c r="BB48">
        <v>0</v>
      </c>
      <c r="BD48">
        <v>0</v>
      </c>
      <c r="BE48">
        <v>30548282</v>
      </c>
      <c r="BF48">
        <v>440415</v>
      </c>
      <c r="BG48">
        <v>0</v>
      </c>
      <c r="BH48">
        <v>0</v>
      </c>
      <c r="BI48">
        <v>0</v>
      </c>
      <c r="BJ48">
        <v>0</v>
      </c>
      <c r="BK48">
        <v>8416446</v>
      </c>
      <c r="BL48">
        <v>0</v>
      </c>
      <c r="BM48">
        <v>0</v>
      </c>
      <c r="BN48">
        <v>0</v>
      </c>
      <c r="BO48">
        <v>0</v>
      </c>
      <c r="BP48">
        <v>0</v>
      </c>
      <c r="BQ48">
        <v>0</v>
      </c>
      <c r="BR48">
        <v>0</v>
      </c>
      <c r="BS48">
        <v>0</v>
      </c>
      <c r="BT48">
        <v>0</v>
      </c>
      <c r="BU48">
        <v>0</v>
      </c>
      <c r="BV48">
        <v>0</v>
      </c>
      <c r="BW48">
        <v>0</v>
      </c>
      <c r="BX48">
        <v>0</v>
      </c>
      <c r="BY48">
        <v>0</v>
      </c>
      <c r="BZ48">
        <v>0</v>
      </c>
      <c r="CA48">
        <v>0</v>
      </c>
    </row>
    <row r="49" spans="1:79" x14ac:dyDescent="0.3">
      <c r="A49" s="155">
        <v>94</v>
      </c>
      <c r="B49" t="s">
        <v>231</v>
      </c>
      <c r="D49">
        <v>0</v>
      </c>
      <c r="E49">
        <v>0</v>
      </c>
      <c r="F49">
        <v>0</v>
      </c>
      <c r="G49">
        <v>0</v>
      </c>
      <c r="H49">
        <v>0</v>
      </c>
      <c r="I49">
        <v>0</v>
      </c>
      <c r="J49">
        <v>0</v>
      </c>
      <c r="K49">
        <v>0</v>
      </c>
      <c r="L49">
        <v>0</v>
      </c>
      <c r="M49">
        <v>0</v>
      </c>
      <c r="N49">
        <v>0</v>
      </c>
      <c r="O49">
        <v>0</v>
      </c>
      <c r="P49">
        <v>0</v>
      </c>
      <c r="Q49">
        <v>0</v>
      </c>
      <c r="R49">
        <v>0</v>
      </c>
      <c r="S49">
        <v>10175203</v>
      </c>
      <c r="U49">
        <v>37264847</v>
      </c>
      <c r="V49">
        <v>0</v>
      </c>
      <c r="W49">
        <v>0</v>
      </c>
      <c r="X49">
        <v>0</v>
      </c>
      <c r="Y49">
        <v>0</v>
      </c>
      <c r="Z49">
        <v>3429314</v>
      </c>
      <c r="AA49">
        <v>490699</v>
      </c>
      <c r="AB49">
        <v>0</v>
      </c>
      <c r="AC49">
        <v>0</v>
      </c>
      <c r="AD49">
        <v>0</v>
      </c>
      <c r="AE49">
        <v>5550207</v>
      </c>
      <c r="AF49">
        <v>0</v>
      </c>
      <c r="AG49">
        <v>0</v>
      </c>
      <c r="AH49">
        <v>0</v>
      </c>
      <c r="AI49">
        <v>0</v>
      </c>
      <c r="AJ49">
        <v>13301047</v>
      </c>
      <c r="AK49">
        <v>0</v>
      </c>
      <c r="AL49">
        <v>0</v>
      </c>
      <c r="AM49">
        <v>0</v>
      </c>
      <c r="AN49">
        <v>0</v>
      </c>
      <c r="AP49">
        <v>0</v>
      </c>
      <c r="AQ49">
        <v>43279451</v>
      </c>
      <c r="AR49">
        <v>0</v>
      </c>
      <c r="AS49">
        <v>0</v>
      </c>
      <c r="AT49">
        <v>0</v>
      </c>
      <c r="AU49">
        <v>7336762</v>
      </c>
      <c r="AV49">
        <v>0</v>
      </c>
      <c r="AX49">
        <v>0</v>
      </c>
      <c r="AY49">
        <v>0</v>
      </c>
      <c r="AZ49">
        <v>6608228</v>
      </c>
      <c r="BA49">
        <v>0</v>
      </c>
      <c r="BB49">
        <v>0</v>
      </c>
      <c r="BD49">
        <v>0</v>
      </c>
      <c r="BE49">
        <v>29254252</v>
      </c>
      <c r="BF49">
        <v>468542</v>
      </c>
      <c r="BG49">
        <v>0</v>
      </c>
      <c r="BH49">
        <v>0</v>
      </c>
      <c r="BI49">
        <v>0</v>
      </c>
      <c r="BJ49">
        <v>0</v>
      </c>
      <c r="BK49">
        <v>7482331</v>
      </c>
      <c r="BL49">
        <v>0</v>
      </c>
      <c r="BM49">
        <v>0</v>
      </c>
      <c r="BN49">
        <v>0</v>
      </c>
      <c r="BO49">
        <v>0</v>
      </c>
      <c r="BP49">
        <v>0</v>
      </c>
      <c r="BQ49">
        <v>0</v>
      </c>
      <c r="BR49">
        <v>0</v>
      </c>
      <c r="BS49">
        <v>0</v>
      </c>
      <c r="BT49">
        <v>0</v>
      </c>
      <c r="BU49">
        <v>0</v>
      </c>
      <c r="BV49">
        <v>0</v>
      </c>
      <c r="BW49">
        <v>0</v>
      </c>
      <c r="BX49">
        <v>0</v>
      </c>
      <c r="BY49">
        <v>0</v>
      </c>
      <c r="BZ49">
        <v>0</v>
      </c>
      <c r="CA49">
        <v>0</v>
      </c>
    </row>
    <row r="50" spans="1:79" x14ac:dyDescent="0.3">
      <c r="A50" s="155">
        <v>97</v>
      </c>
      <c r="B50" t="s">
        <v>227</v>
      </c>
      <c r="D50">
        <v>0</v>
      </c>
      <c r="E50">
        <v>0</v>
      </c>
      <c r="F50">
        <v>0</v>
      </c>
      <c r="G50">
        <v>0</v>
      </c>
      <c r="H50">
        <v>0</v>
      </c>
      <c r="I50">
        <v>0</v>
      </c>
      <c r="J50">
        <v>0</v>
      </c>
      <c r="K50">
        <v>0</v>
      </c>
      <c r="L50">
        <v>0</v>
      </c>
      <c r="M50">
        <v>0</v>
      </c>
      <c r="N50">
        <v>0</v>
      </c>
      <c r="O50">
        <v>0</v>
      </c>
      <c r="P50">
        <v>0</v>
      </c>
      <c r="Q50">
        <v>0</v>
      </c>
      <c r="R50">
        <v>0</v>
      </c>
      <c r="S50">
        <v>12781443</v>
      </c>
      <c r="U50">
        <v>46338409</v>
      </c>
      <c r="V50">
        <v>0</v>
      </c>
      <c r="W50">
        <v>0</v>
      </c>
      <c r="X50">
        <v>0</v>
      </c>
      <c r="Y50">
        <v>0</v>
      </c>
      <c r="Z50">
        <v>3471824</v>
      </c>
      <c r="AA50">
        <v>727802</v>
      </c>
      <c r="AB50">
        <v>0</v>
      </c>
      <c r="AC50">
        <v>0</v>
      </c>
      <c r="AD50">
        <v>0</v>
      </c>
      <c r="AE50">
        <v>5733045</v>
      </c>
      <c r="AF50">
        <v>0</v>
      </c>
      <c r="AG50">
        <v>0</v>
      </c>
      <c r="AH50">
        <v>0</v>
      </c>
      <c r="AI50">
        <v>0</v>
      </c>
      <c r="AJ50">
        <v>14418499</v>
      </c>
      <c r="AK50">
        <v>0</v>
      </c>
      <c r="AL50">
        <v>0</v>
      </c>
      <c r="AM50">
        <v>0</v>
      </c>
      <c r="AN50">
        <v>0</v>
      </c>
      <c r="AP50">
        <v>0</v>
      </c>
      <c r="AQ50">
        <v>46725659</v>
      </c>
      <c r="AR50">
        <v>0</v>
      </c>
      <c r="AS50">
        <v>0</v>
      </c>
      <c r="AT50">
        <v>0</v>
      </c>
      <c r="AU50">
        <v>6650567</v>
      </c>
      <c r="AV50">
        <v>0</v>
      </c>
      <c r="AX50">
        <v>0</v>
      </c>
      <c r="AY50">
        <v>0</v>
      </c>
      <c r="AZ50">
        <v>6939341</v>
      </c>
      <c r="BA50">
        <v>0</v>
      </c>
      <c r="BB50">
        <v>0</v>
      </c>
      <c r="BD50">
        <v>0</v>
      </c>
      <c r="BE50">
        <v>27625834</v>
      </c>
      <c r="BF50">
        <v>440415</v>
      </c>
      <c r="BG50">
        <v>0</v>
      </c>
      <c r="BH50">
        <v>0</v>
      </c>
      <c r="BI50">
        <v>0</v>
      </c>
      <c r="BJ50">
        <v>0</v>
      </c>
      <c r="BK50">
        <v>8416446</v>
      </c>
      <c r="BL50">
        <v>0</v>
      </c>
      <c r="BM50">
        <v>0</v>
      </c>
      <c r="BN50">
        <v>0</v>
      </c>
      <c r="BO50">
        <v>0</v>
      </c>
      <c r="BP50">
        <v>0</v>
      </c>
      <c r="BQ50">
        <v>0</v>
      </c>
      <c r="BR50">
        <v>0</v>
      </c>
      <c r="BS50">
        <v>0</v>
      </c>
      <c r="BT50">
        <v>0</v>
      </c>
      <c r="BU50">
        <v>0</v>
      </c>
      <c r="BV50">
        <v>0</v>
      </c>
      <c r="BW50">
        <v>0</v>
      </c>
      <c r="BX50">
        <v>0</v>
      </c>
      <c r="BY50">
        <v>0</v>
      </c>
      <c r="BZ50">
        <v>0</v>
      </c>
      <c r="CA50">
        <v>0</v>
      </c>
    </row>
    <row r="51" spans="1:79" x14ac:dyDescent="0.3">
      <c r="A51" s="155">
        <v>98</v>
      </c>
      <c r="B51" t="s">
        <v>232</v>
      </c>
      <c r="D51">
        <v>0</v>
      </c>
      <c r="E51">
        <v>0</v>
      </c>
      <c r="F51">
        <v>0</v>
      </c>
      <c r="G51">
        <v>0</v>
      </c>
      <c r="H51">
        <v>0</v>
      </c>
      <c r="I51">
        <v>0</v>
      </c>
      <c r="J51">
        <v>0</v>
      </c>
      <c r="K51">
        <v>0</v>
      </c>
      <c r="L51">
        <v>0</v>
      </c>
      <c r="M51">
        <v>0</v>
      </c>
      <c r="N51">
        <v>0</v>
      </c>
      <c r="O51">
        <v>0</v>
      </c>
      <c r="P51">
        <v>0</v>
      </c>
      <c r="Q51">
        <v>0</v>
      </c>
      <c r="R51">
        <v>0</v>
      </c>
      <c r="S51">
        <v>7068</v>
      </c>
      <c r="U51">
        <v>15230</v>
      </c>
      <c r="V51">
        <v>0</v>
      </c>
      <c r="W51">
        <v>0</v>
      </c>
      <c r="X51">
        <v>0</v>
      </c>
      <c r="Y51">
        <v>0</v>
      </c>
      <c r="Z51">
        <v>1659</v>
      </c>
      <c r="AA51">
        <v>0</v>
      </c>
      <c r="AB51">
        <v>0</v>
      </c>
      <c r="AC51">
        <v>0</v>
      </c>
      <c r="AD51">
        <v>0</v>
      </c>
      <c r="AE51">
        <v>0</v>
      </c>
      <c r="AF51">
        <v>0</v>
      </c>
      <c r="AG51">
        <v>0</v>
      </c>
      <c r="AH51">
        <v>0</v>
      </c>
      <c r="AI51">
        <v>0</v>
      </c>
      <c r="AJ51">
        <v>37652</v>
      </c>
      <c r="AK51">
        <v>0</v>
      </c>
      <c r="AL51">
        <v>0</v>
      </c>
      <c r="AM51">
        <v>0</v>
      </c>
      <c r="AN51">
        <v>0</v>
      </c>
      <c r="AP51">
        <v>0</v>
      </c>
      <c r="AQ51">
        <v>100755</v>
      </c>
      <c r="AR51">
        <v>0</v>
      </c>
      <c r="AS51">
        <v>0</v>
      </c>
      <c r="AT51">
        <v>0</v>
      </c>
      <c r="AU51">
        <v>0</v>
      </c>
      <c r="AV51">
        <v>0</v>
      </c>
      <c r="AX51">
        <v>0</v>
      </c>
      <c r="AY51">
        <v>0</v>
      </c>
      <c r="AZ51">
        <v>8954</v>
      </c>
      <c r="BA51">
        <v>0</v>
      </c>
      <c r="BB51">
        <v>0</v>
      </c>
      <c r="BD51">
        <v>0</v>
      </c>
      <c r="BE51">
        <v>3994</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row>
    <row r="52" spans="1:79" x14ac:dyDescent="0.3">
      <c r="A52" s="155">
        <v>99</v>
      </c>
      <c r="B52" t="s">
        <v>229</v>
      </c>
      <c r="D52">
        <v>0</v>
      </c>
      <c r="E52">
        <v>0</v>
      </c>
      <c r="F52">
        <v>0</v>
      </c>
      <c r="G52">
        <v>0</v>
      </c>
      <c r="H52">
        <v>0</v>
      </c>
      <c r="I52">
        <v>0</v>
      </c>
      <c r="J52">
        <v>0</v>
      </c>
      <c r="K52">
        <v>0</v>
      </c>
      <c r="L52">
        <v>0</v>
      </c>
      <c r="M52">
        <v>0</v>
      </c>
      <c r="N52">
        <v>0</v>
      </c>
      <c r="O52">
        <v>0</v>
      </c>
      <c r="P52">
        <v>0</v>
      </c>
      <c r="Q52">
        <v>0</v>
      </c>
      <c r="R52">
        <v>0</v>
      </c>
      <c r="S52">
        <v>6253785</v>
      </c>
      <c r="U52">
        <v>36054437</v>
      </c>
      <c r="V52">
        <v>0</v>
      </c>
      <c r="W52">
        <v>0</v>
      </c>
      <c r="X52">
        <v>0</v>
      </c>
      <c r="Y52">
        <v>0</v>
      </c>
      <c r="Z52">
        <v>2303379</v>
      </c>
      <c r="AA52">
        <v>0</v>
      </c>
      <c r="AB52">
        <v>0</v>
      </c>
      <c r="AC52">
        <v>0</v>
      </c>
      <c r="AD52">
        <v>0</v>
      </c>
      <c r="AE52">
        <v>3798330</v>
      </c>
      <c r="AF52">
        <v>0</v>
      </c>
      <c r="AG52">
        <v>0</v>
      </c>
      <c r="AH52">
        <v>0</v>
      </c>
      <c r="AI52">
        <v>0</v>
      </c>
      <c r="AJ52">
        <v>10141875</v>
      </c>
      <c r="AK52">
        <v>0</v>
      </c>
      <c r="AL52">
        <v>0</v>
      </c>
      <c r="AM52">
        <v>0</v>
      </c>
      <c r="AN52">
        <v>0</v>
      </c>
      <c r="AP52">
        <v>0</v>
      </c>
      <c r="AQ52">
        <v>32058077</v>
      </c>
      <c r="AR52">
        <v>0</v>
      </c>
      <c r="AS52">
        <v>0</v>
      </c>
      <c r="AT52">
        <v>0</v>
      </c>
      <c r="AU52">
        <v>4978896</v>
      </c>
      <c r="AV52">
        <v>0</v>
      </c>
      <c r="AX52">
        <v>0</v>
      </c>
      <c r="AY52">
        <v>0</v>
      </c>
      <c r="AZ52">
        <v>4068149</v>
      </c>
      <c r="BA52">
        <v>0</v>
      </c>
      <c r="BB52">
        <v>0</v>
      </c>
      <c r="BD52">
        <v>0</v>
      </c>
      <c r="BE52">
        <v>22891077</v>
      </c>
      <c r="BF52">
        <v>265655</v>
      </c>
      <c r="BG52">
        <v>0</v>
      </c>
      <c r="BH52">
        <v>0</v>
      </c>
      <c r="BI52">
        <v>0</v>
      </c>
      <c r="BJ52">
        <v>0</v>
      </c>
      <c r="BK52">
        <v>7348895</v>
      </c>
      <c r="BL52">
        <v>0</v>
      </c>
      <c r="BM52">
        <v>0</v>
      </c>
      <c r="BN52">
        <v>0</v>
      </c>
      <c r="BO52">
        <v>0</v>
      </c>
      <c r="BP52">
        <v>0</v>
      </c>
      <c r="BQ52">
        <v>0</v>
      </c>
      <c r="BR52">
        <v>0</v>
      </c>
      <c r="BS52">
        <v>0</v>
      </c>
      <c r="BT52">
        <v>0</v>
      </c>
      <c r="BU52">
        <v>0</v>
      </c>
      <c r="BV52">
        <v>0</v>
      </c>
      <c r="BW52">
        <v>0</v>
      </c>
      <c r="BX52">
        <v>0</v>
      </c>
      <c r="BY52">
        <v>0</v>
      </c>
      <c r="BZ52">
        <v>0</v>
      </c>
      <c r="CA52">
        <v>0</v>
      </c>
    </row>
    <row r="53" spans="1:79" x14ac:dyDescent="0.3">
      <c r="A53" s="155">
        <v>100</v>
      </c>
      <c r="B53" t="s">
        <v>242</v>
      </c>
      <c r="D53">
        <v>0</v>
      </c>
      <c r="E53">
        <v>0</v>
      </c>
      <c r="F53">
        <v>0</v>
      </c>
      <c r="G53">
        <v>0</v>
      </c>
      <c r="H53">
        <v>0</v>
      </c>
      <c r="I53">
        <v>0</v>
      </c>
      <c r="J53">
        <v>0</v>
      </c>
      <c r="K53">
        <v>0</v>
      </c>
      <c r="L53">
        <v>0</v>
      </c>
      <c r="M53">
        <v>0</v>
      </c>
      <c r="N53">
        <v>0</v>
      </c>
      <c r="O53">
        <v>0</v>
      </c>
      <c r="P53">
        <v>0</v>
      </c>
      <c r="Q53">
        <v>0</v>
      </c>
      <c r="R53">
        <v>0</v>
      </c>
      <c r="S53">
        <v>141136</v>
      </c>
      <c r="U53">
        <v>672040</v>
      </c>
      <c r="V53">
        <v>0</v>
      </c>
      <c r="W53">
        <v>0</v>
      </c>
      <c r="X53">
        <v>0</v>
      </c>
      <c r="Y53">
        <v>0</v>
      </c>
      <c r="Z53">
        <v>46797</v>
      </c>
      <c r="AA53">
        <v>0</v>
      </c>
      <c r="AB53">
        <v>0</v>
      </c>
      <c r="AC53">
        <v>0</v>
      </c>
      <c r="AD53">
        <v>0</v>
      </c>
      <c r="AE53">
        <v>0</v>
      </c>
      <c r="AF53">
        <v>0</v>
      </c>
      <c r="AG53">
        <v>0</v>
      </c>
      <c r="AH53">
        <v>0</v>
      </c>
      <c r="AI53">
        <v>0</v>
      </c>
      <c r="AJ53">
        <v>159945</v>
      </c>
      <c r="AK53">
        <v>0</v>
      </c>
      <c r="AL53">
        <v>0</v>
      </c>
      <c r="AM53">
        <v>0</v>
      </c>
      <c r="AN53">
        <v>0</v>
      </c>
      <c r="AP53">
        <v>0</v>
      </c>
      <c r="AQ53">
        <v>640975</v>
      </c>
      <c r="AR53">
        <v>0</v>
      </c>
      <c r="AS53">
        <v>0</v>
      </c>
      <c r="AT53">
        <v>0</v>
      </c>
      <c r="AU53">
        <v>0</v>
      </c>
      <c r="AV53">
        <v>0</v>
      </c>
      <c r="AX53">
        <v>0</v>
      </c>
      <c r="AY53">
        <v>0</v>
      </c>
      <c r="AZ53">
        <v>57594</v>
      </c>
      <c r="BA53">
        <v>0</v>
      </c>
      <c r="BB53">
        <v>0</v>
      </c>
      <c r="BD53">
        <v>0</v>
      </c>
      <c r="BE53">
        <v>77362</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row>
    <row r="54" spans="1:79" x14ac:dyDescent="0.3">
      <c r="A54" s="155">
        <v>101</v>
      </c>
      <c r="B54" t="s">
        <v>241</v>
      </c>
      <c r="D54">
        <v>0</v>
      </c>
      <c r="E54">
        <v>0</v>
      </c>
      <c r="F54">
        <v>0</v>
      </c>
      <c r="G54">
        <v>0</v>
      </c>
      <c r="H54">
        <v>0</v>
      </c>
      <c r="I54">
        <v>0</v>
      </c>
      <c r="J54">
        <v>0</v>
      </c>
      <c r="K54">
        <v>0</v>
      </c>
      <c r="L54">
        <v>0</v>
      </c>
      <c r="M54">
        <v>0</v>
      </c>
      <c r="N54">
        <v>0</v>
      </c>
      <c r="O54">
        <v>0</v>
      </c>
      <c r="P54">
        <v>0</v>
      </c>
      <c r="Q54">
        <v>0</v>
      </c>
      <c r="R54">
        <v>0</v>
      </c>
      <c r="S54">
        <v>662334</v>
      </c>
      <c r="U54">
        <v>3340434</v>
      </c>
      <c r="V54">
        <v>0</v>
      </c>
      <c r="W54">
        <v>0</v>
      </c>
      <c r="X54">
        <v>0</v>
      </c>
      <c r="Y54">
        <v>0</v>
      </c>
      <c r="Z54">
        <v>39250</v>
      </c>
      <c r="AA54">
        <v>218910</v>
      </c>
      <c r="AB54">
        <v>0</v>
      </c>
      <c r="AC54">
        <v>0</v>
      </c>
      <c r="AD54">
        <v>0</v>
      </c>
      <c r="AE54">
        <v>36953</v>
      </c>
      <c r="AF54">
        <v>0</v>
      </c>
      <c r="AG54">
        <v>0</v>
      </c>
      <c r="AH54">
        <v>0</v>
      </c>
      <c r="AI54">
        <v>0</v>
      </c>
      <c r="AJ54">
        <v>1699940</v>
      </c>
      <c r="AK54">
        <v>0</v>
      </c>
      <c r="AL54">
        <v>0</v>
      </c>
      <c r="AM54">
        <v>0</v>
      </c>
      <c r="AN54">
        <v>0</v>
      </c>
      <c r="AP54">
        <v>0</v>
      </c>
      <c r="AQ54">
        <v>1374296</v>
      </c>
      <c r="AR54">
        <v>0</v>
      </c>
      <c r="AS54">
        <v>0</v>
      </c>
      <c r="AT54">
        <v>0</v>
      </c>
      <c r="AU54">
        <v>616565</v>
      </c>
      <c r="AV54">
        <v>0</v>
      </c>
      <c r="AX54">
        <v>0</v>
      </c>
      <c r="AY54">
        <v>0</v>
      </c>
      <c r="AZ54">
        <v>110175</v>
      </c>
      <c r="BA54">
        <v>0</v>
      </c>
      <c r="BB54">
        <v>0</v>
      </c>
      <c r="BD54">
        <v>0</v>
      </c>
      <c r="BE54">
        <v>1343600</v>
      </c>
      <c r="BF54">
        <v>0</v>
      </c>
      <c r="BG54">
        <v>0</v>
      </c>
      <c r="BH54">
        <v>0</v>
      </c>
      <c r="BI54">
        <v>0</v>
      </c>
      <c r="BJ54">
        <v>0</v>
      </c>
      <c r="BK54">
        <v>76631</v>
      </c>
      <c r="BL54">
        <v>0</v>
      </c>
      <c r="BM54">
        <v>0</v>
      </c>
      <c r="BN54">
        <v>0</v>
      </c>
      <c r="BO54">
        <v>0</v>
      </c>
      <c r="BP54">
        <v>0</v>
      </c>
      <c r="BQ54">
        <v>0</v>
      </c>
      <c r="BR54">
        <v>0</v>
      </c>
      <c r="BS54">
        <v>0</v>
      </c>
      <c r="BT54">
        <v>0</v>
      </c>
      <c r="BU54">
        <v>0</v>
      </c>
      <c r="BV54">
        <v>0</v>
      </c>
      <c r="BW54">
        <v>0</v>
      </c>
      <c r="BX54">
        <v>0</v>
      </c>
      <c r="BY54">
        <v>0</v>
      </c>
      <c r="BZ54">
        <v>0</v>
      </c>
      <c r="CA54">
        <v>0</v>
      </c>
    </row>
    <row r="55" spans="1:79" x14ac:dyDescent="0.3">
      <c r="A55" s="155">
        <v>102</v>
      </c>
      <c r="B55" t="s">
        <v>255</v>
      </c>
      <c r="D55">
        <v>99.97</v>
      </c>
      <c r="E55">
        <v>99.76</v>
      </c>
      <c r="F55">
        <v>91.79</v>
      </c>
      <c r="G55">
        <v>98.5</v>
      </c>
      <c r="H55">
        <v>99.82</v>
      </c>
      <c r="I55">
        <v>88.03</v>
      </c>
      <c r="J55">
        <v>92.76</v>
      </c>
      <c r="K55">
        <v>93.43</v>
      </c>
      <c r="L55">
        <v>98.4</v>
      </c>
      <c r="M55">
        <v>94.04</v>
      </c>
      <c r="N55">
        <v>86.93</v>
      </c>
      <c r="O55">
        <v>99.43</v>
      </c>
      <c r="P55">
        <v>99.25</v>
      </c>
      <c r="Q55">
        <v>99.72</v>
      </c>
      <c r="R55">
        <v>98.97</v>
      </c>
      <c r="S55">
        <v>99.43</v>
      </c>
      <c r="U55">
        <v>97.66</v>
      </c>
      <c r="V55">
        <v>94.67</v>
      </c>
      <c r="W55">
        <v>99.68</v>
      </c>
      <c r="X55">
        <v>99.68</v>
      </c>
      <c r="Y55">
        <v>99.72</v>
      </c>
      <c r="Z55">
        <v>95.14</v>
      </c>
      <c r="AA55">
        <v>99.11</v>
      </c>
      <c r="AB55">
        <v>99.97</v>
      </c>
      <c r="AC55">
        <v>98.92</v>
      </c>
      <c r="AD55">
        <v>98.94</v>
      </c>
      <c r="AE55">
        <v>97.06</v>
      </c>
      <c r="AF55">
        <v>83.61</v>
      </c>
      <c r="AG55">
        <v>96.15</v>
      </c>
      <c r="AH55">
        <v>98.66</v>
      </c>
      <c r="AI55">
        <v>99.84</v>
      </c>
      <c r="AJ55">
        <v>94.79</v>
      </c>
      <c r="AK55">
        <v>96.18</v>
      </c>
      <c r="AL55">
        <v>99.54</v>
      </c>
      <c r="AM55">
        <v>99.49</v>
      </c>
      <c r="AN55">
        <v>96.73</v>
      </c>
      <c r="AP55">
        <v>99.75</v>
      </c>
      <c r="AQ55">
        <v>97.4</v>
      </c>
      <c r="AR55">
        <v>99.22</v>
      </c>
      <c r="AS55">
        <v>91.38</v>
      </c>
      <c r="AT55">
        <v>99.46</v>
      </c>
      <c r="AU55">
        <v>99.01</v>
      </c>
      <c r="AV55">
        <v>97.17</v>
      </c>
      <c r="AX55">
        <v>98.87</v>
      </c>
      <c r="AY55">
        <v>97.22</v>
      </c>
      <c r="AZ55">
        <v>98.55</v>
      </c>
      <c r="BA55">
        <v>91.44</v>
      </c>
      <c r="BB55">
        <v>99.12</v>
      </c>
      <c r="BD55">
        <v>96.52</v>
      </c>
      <c r="BE55">
        <v>92.9</v>
      </c>
      <c r="BF55">
        <v>91</v>
      </c>
      <c r="BG55">
        <v>93.97</v>
      </c>
      <c r="BH55">
        <v>98.62</v>
      </c>
      <c r="BI55">
        <v>98</v>
      </c>
      <c r="BJ55">
        <v>89.83</v>
      </c>
      <c r="BK55">
        <v>99.83</v>
      </c>
      <c r="BL55">
        <v>99.64</v>
      </c>
      <c r="BM55">
        <v>0</v>
      </c>
      <c r="BN55">
        <v>99.34</v>
      </c>
      <c r="BO55">
        <v>95.41</v>
      </c>
      <c r="BP55">
        <v>98.09</v>
      </c>
      <c r="BQ55">
        <v>99.34</v>
      </c>
      <c r="BR55">
        <v>99.55</v>
      </c>
      <c r="BS55">
        <v>99.32</v>
      </c>
      <c r="BT55">
        <v>86.6</v>
      </c>
      <c r="BU55">
        <v>99.24</v>
      </c>
      <c r="BV55">
        <v>94.26</v>
      </c>
      <c r="BW55">
        <v>99.72</v>
      </c>
      <c r="BX55">
        <v>96.38</v>
      </c>
      <c r="BY55">
        <v>86.42</v>
      </c>
      <c r="BZ55">
        <v>99.68</v>
      </c>
      <c r="CA55">
        <v>91.06</v>
      </c>
    </row>
    <row r="56" spans="1:79" x14ac:dyDescent="0.3">
      <c r="A56" s="155">
        <v>103</v>
      </c>
      <c r="B56" t="s">
        <v>256</v>
      </c>
      <c r="D56">
        <v>100</v>
      </c>
      <c r="E56">
        <v>100</v>
      </c>
      <c r="F56">
        <v>100</v>
      </c>
      <c r="G56">
        <v>100</v>
      </c>
      <c r="H56">
        <v>100</v>
      </c>
      <c r="I56">
        <v>98.11</v>
      </c>
      <c r="J56">
        <v>100</v>
      </c>
      <c r="K56">
        <v>100</v>
      </c>
      <c r="L56">
        <v>100</v>
      </c>
      <c r="M56">
        <v>100</v>
      </c>
      <c r="N56">
        <v>100</v>
      </c>
      <c r="O56">
        <v>100</v>
      </c>
      <c r="P56">
        <v>100</v>
      </c>
      <c r="Q56">
        <v>100</v>
      </c>
      <c r="R56">
        <v>100</v>
      </c>
      <c r="S56">
        <v>100</v>
      </c>
      <c r="U56">
        <v>100</v>
      </c>
      <c r="V56">
        <v>100</v>
      </c>
      <c r="W56">
        <v>100</v>
      </c>
      <c r="X56">
        <v>99.17</v>
      </c>
      <c r="Y56">
        <v>100</v>
      </c>
      <c r="Z56">
        <v>100</v>
      </c>
      <c r="AA56">
        <v>100</v>
      </c>
      <c r="AB56">
        <v>100</v>
      </c>
      <c r="AC56">
        <v>100</v>
      </c>
      <c r="AD56">
        <v>100</v>
      </c>
      <c r="AE56">
        <v>100</v>
      </c>
      <c r="AF56">
        <v>100</v>
      </c>
      <c r="AG56">
        <v>100</v>
      </c>
      <c r="AH56">
        <v>100</v>
      </c>
      <c r="AI56">
        <v>100</v>
      </c>
      <c r="AJ56">
        <v>100</v>
      </c>
      <c r="AK56">
        <v>0.35</v>
      </c>
      <c r="AL56">
        <v>100</v>
      </c>
      <c r="AM56">
        <v>100</v>
      </c>
      <c r="AN56">
        <v>100</v>
      </c>
      <c r="AP56">
        <v>100</v>
      </c>
      <c r="AQ56">
        <v>100</v>
      </c>
      <c r="AR56">
        <v>100</v>
      </c>
      <c r="AS56">
        <v>100</v>
      </c>
      <c r="AT56">
        <v>100</v>
      </c>
      <c r="AU56">
        <v>100</v>
      </c>
      <c r="AV56">
        <v>99.88</v>
      </c>
      <c r="AX56">
        <v>100</v>
      </c>
      <c r="AY56">
        <v>100</v>
      </c>
      <c r="AZ56">
        <v>100</v>
      </c>
      <c r="BA56">
        <v>100</v>
      </c>
      <c r="BB56">
        <v>100</v>
      </c>
      <c r="BD56">
        <v>100</v>
      </c>
      <c r="BE56">
        <v>100</v>
      </c>
      <c r="BF56">
        <v>100</v>
      </c>
      <c r="BG56">
        <v>100</v>
      </c>
      <c r="BH56">
        <v>100</v>
      </c>
      <c r="BI56">
        <v>98.86</v>
      </c>
      <c r="BJ56">
        <v>100</v>
      </c>
      <c r="BK56">
        <v>100</v>
      </c>
      <c r="BL56">
        <v>100</v>
      </c>
      <c r="BM56">
        <v>0</v>
      </c>
      <c r="BN56">
        <v>100</v>
      </c>
      <c r="BO56">
        <v>100</v>
      </c>
      <c r="BP56">
        <v>100</v>
      </c>
      <c r="BQ56">
        <v>100</v>
      </c>
      <c r="BR56">
        <v>100</v>
      </c>
      <c r="BS56">
        <v>100</v>
      </c>
      <c r="BT56">
        <v>96.77</v>
      </c>
      <c r="BU56">
        <v>100</v>
      </c>
      <c r="BV56">
        <v>100</v>
      </c>
      <c r="BW56">
        <v>100</v>
      </c>
      <c r="BX56">
        <v>100</v>
      </c>
      <c r="BY56">
        <v>100</v>
      </c>
      <c r="BZ56">
        <v>99.12</v>
      </c>
      <c r="CA56">
        <v>100</v>
      </c>
    </row>
    <row r="57" spans="1:79" x14ac:dyDescent="0.3">
      <c r="A57" s="155">
        <v>104</v>
      </c>
      <c r="B57" t="s">
        <v>912</v>
      </c>
      <c r="D57">
        <v>0</v>
      </c>
      <c r="E57">
        <v>0</v>
      </c>
      <c r="F57">
        <v>0</v>
      </c>
      <c r="G57">
        <v>0</v>
      </c>
      <c r="H57">
        <v>0</v>
      </c>
      <c r="I57">
        <v>0</v>
      </c>
      <c r="J57">
        <v>0</v>
      </c>
      <c r="K57">
        <v>0</v>
      </c>
      <c r="L57">
        <v>0</v>
      </c>
      <c r="M57">
        <v>0</v>
      </c>
      <c r="N57">
        <v>0</v>
      </c>
      <c r="O57">
        <v>0</v>
      </c>
      <c r="P57">
        <v>0</v>
      </c>
      <c r="Q57">
        <v>0</v>
      </c>
      <c r="R57">
        <v>0</v>
      </c>
      <c r="S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P57">
        <v>0</v>
      </c>
      <c r="AQ57">
        <v>0</v>
      </c>
      <c r="AR57">
        <v>0</v>
      </c>
      <c r="AS57">
        <v>0</v>
      </c>
      <c r="AT57">
        <v>0</v>
      </c>
      <c r="AU57">
        <v>0</v>
      </c>
      <c r="AV57">
        <v>0</v>
      </c>
      <c r="AX57">
        <v>0</v>
      </c>
      <c r="AY57">
        <v>0</v>
      </c>
      <c r="AZ57">
        <v>0</v>
      </c>
      <c r="BA57">
        <v>0</v>
      </c>
      <c r="BB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row>
    <row r="58" spans="1:79" x14ac:dyDescent="0.3">
      <c r="A58" s="155">
        <v>107</v>
      </c>
      <c r="B58" t="s">
        <v>913</v>
      </c>
      <c r="D58">
        <v>0</v>
      </c>
      <c r="E58">
        <v>0</v>
      </c>
      <c r="F58">
        <v>0</v>
      </c>
      <c r="G58">
        <v>0</v>
      </c>
      <c r="H58">
        <v>0</v>
      </c>
      <c r="I58">
        <v>0</v>
      </c>
      <c r="J58">
        <v>0</v>
      </c>
      <c r="K58">
        <v>0</v>
      </c>
      <c r="L58">
        <v>0</v>
      </c>
      <c r="M58">
        <v>0</v>
      </c>
      <c r="N58">
        <v>0</v>
      </c>
      <c r="O58">
        <v>0</v>
      </c>
      <c r="P58">
        <v>0</v>
      </c>
      <c r="Q58">
        <v>0</v>
      </c>
      <c r="R58">
        <v>0</v>
      </c>
      <c r="S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P58">
        <v>0</v>
      </c>
      <c r="AQ58">
        <v>0</v>
      </c>
      <c r="AR58">
        <v>0</v>
      </c>
      <c r="AS58">
        <v>0</v>
      </c>
      <c r="AT58">
        <v>0</v>
      </c>
      <c r="AU58">
        <v>0</v>
      </c>
      <c r="AV58">
        <v>0</v>
      </c>
      <c r="AX58">
        <v>0</v>
      </c>
      <c r="AY58">
        <v>0</v>
      </c>
      <c r="AZ58">
        <v>0</v>
      </c>
      <c r="BA58">
        <v>0</v>
      </c>
      <c r="BB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row>
    <row r="59" spans="1:79" x14ac:dyDescent="0.3">
      <c r="A59" s="155">
        <v>108</v>
      </c>
      <c r="B59" t="s">
        <v>914</v>
      </c>
      <c r="D59">
        <v>0</v>
      </c>
      <c r="E59">
        <v>0</v>
      </c>
      <c r="F59">
        <v>0</v>
      </c>
      <c r="G59">
        <v>0</v>
      </c>
      <c r="H59">
        <v>0</v>
      </c>
      <c r="I59">
        <v>0</v>
      </c>
      <c r="J59">
        <v>0</v>
      </c>
      <c r="K59">
        <v>0</v>
      </c>
      <c r="L59">
        <v>0</v>
      </c>
      <c r="M59">
        <v>0</v>
      </c>
      <c r="N59">
        <v>0</v>
      </c>
      <c r="O59">
        <v>0</v>
      </c>
      <c r="P59">
        <v>0</v>
      </c>
      <c r="Q59">
        <v>0</v>
      </c>
      <c r="R59">
        <v>0</v>
      </c>
      <c r="S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P59">
        <v>0</v>
      </c>
      <c r="AQ59">
        <v>0</v>
      </c>
      <c r="AR59">
        <v>0</v>
      </c>
      <c r="AS59">
        <v>0</v>
      </c>
      <c r="AT59">
        <v>0</v>
      </c>
      <c r="AU59">
        <v>0</v>
      </c>
      <c r="AV59">
        <v>0</v>
      </c>
      <c r="AX59">
        <v>0</v>
      </c>
      <c r="AY59">
        <v>0</v>
      </c>
      <c r="AZ59">
        <v>0</v>
      </c>
      <c r="BA59">
        <v>0</v>
      </c>
      <c r="BB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row>
    <row r="60" spans="1:79" x14ac:dyDescent="0.3">
      <c r="A60" s="155">
        <v>147</v>
      </c>
      <c r="B60" t="s">
        <v>915</v>
      </c>
      <c r="D60">
        <v>0</v>
      </c>
      <c r="E60">
        <v>0</v>
      </c>
      <c r="F60">
        <v>0</v>
      </c>
      <c r="G60">
        <v>0</v>
      </c>
      <c r="H60">
        <v>0</v>
      </c>
      <c r="I60">
        <v>0</v>
      </c>
      <c r="J60">
        <v>0</v>
      </c>
      <c r="K60">
        <v>0</v>
      </c>
      <c r="L60">
        <v>0</v>
      </c>
      <c r="M60">
        <v>0</v>
      </c>
      <c r="N60">
        <v>0</v>
      </c>
      <c r="O60">
        <v>0</v>
      </c>
      <c r="P60">
        <v>0</v>
      </c>
      <c r="Q60">
        <v>0</v>
      </c>
      <c r="R60">
        <v>0</v>
      </c>
      <c r="S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P60">
        <v>0</v>
      </c>
      <c r="AQ60">
        <v>0</v>
      </c>
      <c r="AR60">
        <v>0</v>
      </c>
      <c r="AS60">
        <v>0</v>
      </c>
      <c r="AT60">
        <v>0</v>
      </c>
      <c r="AU60">
        <v>0</v>
      </c>
      <c r="AV60">
        <v>0</v>
      </c>
      <c r="AX60">
        <v>0</v>
      </c>
      <c r="AY60">
        <v>0</v>
      </c>
      <c r="AZ60">
        <v>0</v>
      </c>
      <c r="BA60">
        <v>0</v>
      </c>
      <c r="BB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row>
    <row r="61" spans="1:79" x14ac:dyDescent="0.3">
      <c r="A61" s="155">
        <v>148</v>
      </c>
      <c r="B61" t="s">
        <v>916</v>
      </c>
      <c r="D61">
        <v>0</v>
      </c>
      <c r="E61">
        <v>0</v>
      </c>
      <c r="F61">
        <v>0</v>
      </c>
      <c r="G61">
        <v>0</v>
      </c>
      <c r="H61">
        <v>0</v>
      </c>
      <c r="I61">
        <v>0</v>
      </c>
      <c r="J61">
        <v>0</v>
      </c>
      <c r="K61">
        <v>0</v>
      </c>
      <c r="L61">
        <v>0</v>
      </c>
      <c r="M61">
        <v>0</v>
      </c>
      <c r="N61">
        <v>0</v>
      </c>
      <c r="O61">
        <v>0</v>
      </c>
      <c r="P61">
        <v>0</v>
      </c>
      <c r="Q61">
        <v>0</v>
      </c>
      <c r="R61">
        <v>0</v>
      </c>
      <c r="S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P61">
        <v>0</v>
      </c>
      <c r="AQ61">
        <v>0</v>
      </c>
      <c r="AR61">
        <v>0</v>
      </c>
      <c r="AS61">
        <v>0</v>
      </c>
      <c r="AT61">
        <v>0</v>
      </c>
      <c r="AU61">
        <v>0</v>
      </c>
      <c r="AV61">
        <v>0</v>
      </c>
      <c r="AX61">
        <v>0</v>
      </c>
      <c r="AY61">
        <v>0</v>
      </c>
      <c r="AZ61">
        <v>0</v>
      </c>
      <c r="BA61">
        <v>0</v>
      </c>
      <c r="BB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row>
    <row r="62" spans="1:79" x14ac:dyDescent="0.3">
      <c r="A62" s="155">
        <v>149</v>
      </c>
      <c r="B62" t="s">
        <v>917</v>
      </c>
      <c r="D62">
        <v>0</v>
      </c>
      <c r="E62">
        <v>0</v>
      </c>
      <c r="F62">
        <v>0</v>
      </c>
      <c r="G62">
        <v>0</v>
      </c>
      <c r="H62">
        <v>0</v>
      </c>
      <c r="I62">
        <v>0</v>
      </c>
      <c r="J62">
        <v>0</v>
      </c>
      <c r="K62">
        <v>0</v>
      </c>
      <c r="L62">
        <v>0</v>
      </c>
      <c r="M62">
        <v>0</v>
      </c>
      <c r="N62">
        <v>0</v>
      </c>
      <c r="O62">
        <v>0</v>
      </c>
      <c r="P62">
        <v>0</v>
      </c>
      <c r="Q62">
        <v>0</v>
      </c>
      <c r="R62">
        <v>0</v>
      </c>
      <c r="S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P62">
        <v>0</v>
      </c>
      <c r="AQ62">
        <v>0</v>
      </c>
      <c r="AR62">
        <v>0</v>
      </c>
      <c r="AS62">
        <v>0</v>
      </c>
      <c r="AT62">
        <v>0</v>
      </c>
      <c r="AU62">
        <v>0</v>
      </c>
      <c r="AV62">
        <v>0</v>
      </c>
      <c r="AX62">
        <v>0</v>
      </c>
      <c r="AY62">
        <v>0</v>
      </c>
      <c r="AZ62">
        <v>0</v>
      </c>
      <c r="BA62">
        <v>0</v>
      </c>
      <c r="BB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row>
    <row r="63" spans="1:79" x14ac:dyDescent="0.3">
      <c r="A63" s="155">
        <v>150</v>
      </c>
      <c r="B63" t="s">
        <v>918</v>
      </c>
      <c r="D63">
        <v>0</v>
      </c>
      <c r="E63">
        <v>0</v>
      </c>
      <c r="F63">
        <v>0</v>
      </c>
      <c r="G63">
        <v>0</v>
      </c>
      <c r="H63">
        <v>0</v>
      </c>
      <c r="I63">
        <v>0</v>
      </c>
      <c r="J63">
        <v>0</v>
      </c>
      <c r="K63">
        <v>0</v>
      </c>
      <c r="L63">
        <v>0</v>
      </c>
      <c r="M63">
        <v>0</v>
      </c>
      <c r="N63">
        <v>0</v>
      </c>
      <c r="O63">
        <v>0</v>
      </c>
      <c r="P63">
        <v>0</v>
      </c>
      <c r="Q63">
        <v>0</v>
      </c>
      <c r="R63">
        <v>0</v>
      </c>
      <c r="S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P63">
        <v>0</v>
      </c>
      <c r="AQ63">
        <v>0</v>
      </c>
      <c r="AR63">
        <v>0</v>
      </c>
      <c r="AS63">
        <v>0</v>
      </c>
      <c r="AT63">
        <v>0</v>
      </c>
      <c r="AU63">
        <v>0</v>
      </c>
      <c r="AV63">
        <v>0</v>
      </c>
      <c r="AX63">
        <v>0</v>
      </c>
      <c r="AY63">
        <v>0</v>
      </c>
      <c r="AZ63">
        <v>0</v>
      </c>
      <c r="BA63">
        <v>0</v>
      </c>
      <c r="BB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row>
    <row r="64" spans="1:79" x14ac:dyDescent="0.3">
      <c r="A64" s="155">
        <v>171</v>
      </c>
      <c r="B64" t="s">
        <v>208</v>
      </c>
      <c r="D64">
        <v>66153</v>
      </c>
      <c r="E64">
        <v>1423478</v>
      </c>
      <c r="F64">
        <v>5963</v>
      </c>
      <c r="G64">
        <v>3645560</v>
      </c>
      <c r="H64">
        <v>172553</v>
      </c>
      <c r="I64">
        <v>0</v>
      </c>
      <c r="J64">
        <v>0</v>
      </c>
      <c r="K64">
        <v>0</v>
      </c>
      <c r="L64">
        <v>7106365</v>
      </c>
      <c r="M64">
        <v>0</v>
      </c>
      <c r="N64">
        <v>34121</v>
      </c>
      <c r="O64">
        <v>104445</v>
      </c>
      <c r="P64">
        <v>4225255</v>
      </c>
      <c r="Q64">
        <v>2943150</v>
      </c>
      <c r="R64">
        <v>528970</v>
      </c>
      <c r="S64">
        <v>686740</v>
      </c>
      <c r="U64">
        <v>1527633</v>
      </c>
      <c r="V64">
        <v>0</v>
      </c>
      <c r="W64">
        <v>2056794</v>
      </c>
      <c r="X64">
        <v>0</v>
      </c>
      <c r="Y64">
        <v>757078</v>
      </c>
      <c r="Z64">
        <v>0</v>
      </c>
      <c r="AA64">
        <v>260477</v>
      </c>
      <c r="AB64">
        <v>0</v>
      </c>
      <c r="AC64">
        <v>0</v>
      </c>
      <c r="AD64">
        <v>0</v>
      </c>
      <c r="AE64">
        <v>894567</v>
      </c>
      <c r="AF64">
        <v>0</v>
      </c>
      <c r="AG64">
        <v>0</v>
      </c>
      <c r="AH64">
        <v>0</v>
      </c>
      <c r="AI64">
        <v>17074</v>
      </c>
      <c r="AJ64">
        <v>582908</v>
      </c>
      <c r="AK64">
        <v>0</v>
      </c>
      <c r="AL64">
        <v>0</v>
      </c>
      <c r="AM64">
        <v>1932030</v>
      </c>
      <c r="AN64">
        <v>217146</v>
      </c>
      <c r="AP64">
        <v>470650</v>
      </c>
      <c r="AQ64">
        <v>1097798</v>
      </c>
      <c r="AR64">
        <v>56138</v>
      </c>
      <c r="AS64">
        <v>158515</v>
      </c>
      <c r="AT64">
        <v>311304</v>
      </c>
      <c r="AU64">
        <v>406609</v>
      </c>
      <c r="AV64">
        <v>0</v>
      </c>
      <c r="AX64">
        <v>248692</v>
      </c>
      <c r="AY64">
        <v>121295</v>
      </c>
      <c r="AZ64">
        <v>253686</v>
      </c>
      <c r="BA64">
        <v>0</v>
      </c>
      <c r="BB64">
        <v>82172</v>
      </c>
      <c r="BD64">
        <v>0</v>
      </c>
      <c r="BE64">
        <v>1714274</v>
      </c>
      <c r="BF64">
        <v>0</v>
      </c>
      <c r="BG64">
        <v>0</v>
      </c>
      <c r="BH64">
        <v>18099</v>
      </c>
      <c r="BI64">
        <v>0</v>
      </c>
      <c r="BJ64">
        <v>25264</v>
      </c>
      <c r="BK64">
        <v>285232</v>
      </c>
      <c r="BL64">
        <v>0</v>
      </c>
      <c r="BM64">
        <v>0</v>
      </c>
      <c r="BN64">
        <v>859325</v>
      </c>
      <c r="BO64">
        <v>0</v>
      </c>
      <c r="BP64">
        <v>0</v>
      </c>
      <c r="BQ64">
        <v>0</v>
      </c>
      <c r="BR64">
        <v>0</v>
      </c>
      <c r="BS64">
        <v>1332417</v>
      </c>
      <c r="BT64">
        <v>63307</v>
      </c>
      <c r="BU64">
        <v>0</v>
      </c>
      <c r="BV64">
        <v>78587</v>
      </c>
      <c r="BW64">
        <v>0</v>
      </c>
      <c r="BX64">
        <v>0</v>
      </c>
      <c r="BY64">
        <v>0</v>
      </c>
      <c r="BZ64">
        <v>1450732</v>
      </c>
      <c r="CA64">
        <v>0</v>
      </c>
    </row>
    <row r="65" spans="1:79" x14ac:dyDescent="0.3">
      <c r="A65" s="155">
        <v>191</v>
      </c>
      <c r="B65" t="s">
        <v>224</v>
      </c>
      <c r="D65">
        <v>0</v>
      </c>
      <c r="E65">
        <v>0</v>
      </c>
      <c r="F65">
        <v>0</v>
      </c>
      <c r="G65">
        <v>0</v>
      </c>
      <c r="H65">
        <v>38375</v>
      </c>
      <c r="I65">
        <v>0</v>
      </c>
      <c r="J65">
        <v>0</v>
      </c>
      <c r="K65">
        <v>176401</v>
      </c>
      <c r="L65">
        <v>2940970</v>
      </c>
      <c r="M65">
        <v>0</v>
      </c>
      <c r="N65">
        <v>0</v>
      </c>
      <c r="O65">
        <v>315300</v>
      </c>
      <c r="P65">
        <v>0</v>
      </c>
      <c r="Q65">
        <v>0</v>
      </c>
      <c r="R65">
        <v>71537</v>
      </c>
      <c r="S65">
        <v>8300</v>
      </c>
      <c r="U65">
        <v>0</v>
      </c>
      <c r="V65">
        <v>0</v>
      </c>
      <c r="W65">
        <v>0</v>
      </c>
      <c r="X65">
        <v>0</v>
      </c>
      <c r="Y65">
        <v>0</v>
      </c>
      <c r="Z65">
        <v>0</v>
      </c>
      <c r="AA65">
        <v>0</v>
      </c>
      <c r="AB65">
        <v>0</v>
      </c>
      <c r="AC65">
        <v>0</v>
      </c>
      <c r="AD65">
        <v>0</v>
      </c>
      <c r="AE65">
        <v>0</v>
      </c>
      <c r="AF65">
        <v>0</v>
      </c>
      <c r="AG65">
        <v>0</v>
      </c>
      <c r="AH65">
        <v>0</v>
      </c>
      <c r="AI65">
        <v>0</v>
      </c>
      <c r="AJ65">
        <v>2440822</v>
      </c>
      <c r="AK65">
        <v>0</v>
      </c>
      <c r="AL65">
        <v>0</v>
      </c>
      <c r="AM65">
        <v>314154</v>
      </c>
      <c r="AN65">
        <v>113880</v>
      </c>
      <c r="AP65">
        <v>0</v>
      </c>
      <c r="AQ65">
        <v>0</v>
      </c>
      <c r="AR65">
        <v>454158</v>
      </c>
      <c r="AS65">
        <v>0</v>
      </c>
      <c r="AT65">
        <v>335555</v>
      </c>
      <c r="AU65">
        <v>0</v>
      </c>
      <c r="AV65">
        <v>0</v>
      </c>
      <c r="AX65">
        <v>0</v>
      </c>
      <c r="AY65">
        <v>0</v>
      </c>
      <c r="AZ65">
        <v>103769</v>
      </c>
      <c r="BA65">
        <v>0</v>
      </c>
      <c r="BB65">
        <v>297865</v>
      </c>
      <c r="BD65">
        <v>0</v>
      </c>
      <c r="BE65">
        <v>0</v>
      </c>
      <c r="BF65">
        <v>0</v>
      </c>
      <c r="BG65">
        <v>0</v>
      </c>
      <c r="BH65">
        <v>57400</v>
      </c>
      <c r="BI65">
        <v>0</v>
      </c>
      <c r="BJ65">
        <v>182164</v>
      </c>
      <c r="BK65">
        <v>1472820</v>
      </c>
      <c r="BL65">
        <v>0</v>
      </c>
      <c r="BM65">
        <v>0</v>
      </c>
      <c r="BN65">
        <v>0</v>
      </c>
      <c r="BO65">
        <v>87619</v>
      </c>
      <c r="BP65">
        <v>0</v>
      </c>
      <c r="BQ65">
        <v>0</v>
      </c>
      <c r="BR65">
        <v>0</v>
      </c>
      <c r="BS65">
        <v>0</v>
      </c>
      <c r="BT65">
        <v>52339</v>
      </c>
      <c r="BU65">
        <v>0</v>
      </c>
      <c r="BV65">
        <v>180227</v>
      </c>
      <c r="BW65">
        <v>0</v>
      </c>
      <c r="BX65">
        <v>0</v>
      </c>
      <c r="BY65">
        <v>0</v>
      </c>
      <c r="BZ65">
        <v>2890267</v>
      </c>
      <c r="CA65">
        <v>0</v>
      </c>
    </row>
    <row r="66" spans="1:79" x14ac:dyDescent="0.3">
      <c r="A66" s="155">
        <v>192</v>
      </c>
      <c r="B66" t="s">
        <v>235</v>
      </c>
      <c r="D66">
        <v>0</v>
      </c>
      <c r="E66">
        <v>0</v>
      </c>
      <c r="F66">
        <v>0</v>
      </c>
      <c r="G66">
        <v>0</v>
      </c>
      <c r="H66">
        <v>0</v>
      </c>
      <c r="I66">
        <v>0</v>
      </c>
      <c r="J66">
        <v>0</v>
      </c>
      <c r="K66">
        <v>0</v>
      </c>
      <c r="L66">
        <v>0</v>
      </c>
      <c r="M66">
        <v>0</v>
      </c>
      <c r="N66">
        <v>0</v>
      </c>
      <c r="O66">
        <v>0</v>
      </c>
      <c r="P66">
        <v>0</v>
      </c>
      <c r="Q66">
        <v>0</v>
      </c>
      <c r="R66">
        <v>0</v>
      </c>
      <c r="S66">
        <v>0</v>
      </c>
      <c r="U66">
        <v>81190</v>
      </c>
      <c r="V66">
        <v>0</v>
      </c>
      <c r="W66">
        <v>0</v>
      </c>
      <c r="X66">
        <v>0</v>
      </c>
      <c r="Y66">
        <v>0</v>
      </c>
      <c r="Z66">
        <v>0</v>
      </c>
      <c r="AA66">
        <v>0</v>
      </c>
      <c r="AB66">
        <v>0</v>
      </c>
      <c r="AC66">
        <v>0</v>
      </c>
      <c r="AD66">
        <v>0</v>
      </c>
      <c r="AE66">
        <v>0</v>
      </c>
      <c r="AF66">
        <v>0</v>
      </c>
      <c r="AG66">
        <v>0</v>
      </c>
      <c r="AH66">
        <v>0</v>
      </c>
      <c r="AI66">
        <v>0</v>
      </c>
      <c r="AJ66">
        <v>1248898</v>
      </c>
      <c r="AK66">
        <v>0</v>
      </c>
      <c r="AL66">
        <v>0</v>
      </c>
      <c r="AM66">
        <v>0</v>
      </c>
      <c r="AN66">
        <v>0</v>
      </c>
      <c r="AP66">
        <v>0</v>
      </c>
      <c r="AQ66">
        <v>0</v>
      </c>
      <c r="AR66">
        <v>0</v>
      </c>
      <c r="AS66">
        <v>0</v>
      </c>
      <c r="AT66">
        <v>0</v>
      </c>
      <c r="AU66">
        <v>0</v>
      </c>
      <c r="AV66">
        <v>0</v>
      </c>
      <c r="AX66">
        <v>0</v>
      </c>
      <c r="AY66">
        <v>0</v>
      </c>
      <c r="AZ66">
        <v>0</v>
      </c>
      <c r="BA66">
        <v>0</v>
      </c>
      <c r="BB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row>
    <row r="67" spans="1:79" x14ac:dyDescent="0.3">
      <c r="A67" s="155">
        <v>193</v>
      </c>
      <c r="B67" t="s">
        <v>283</v>
      </c>
      <c r="D67">
        <v>0</v>
      </c>
      <c r="E67">
        <v>0</v>
      </c>
      <c r="F67">
        <v>0</v>
      </c>
      <c r="G67">
        <v>0</v>
      </c>
      <c r="H67">
        <v>0</v>
      </c>
      <c r="I67">
        <v>0</v>
      </c>
      <c r="J67">
        <v>0</v>
      </c>
      <c r="K67">
        <v>0</v>
      </c>
      <c r="L67">
        <v>0</v>
      </c>
      <c r="M67">
        <v>0</v>
      </c>
      <c r="N67">
        <v>0</v>
      </c>
      <c r="O67">
        <v>0</v>
      </c>
      <c r="P67">
        <v>0</v>
      </c>
      <c r="Q67">
        <v>0</v>
      </c>
      <c r="R67">
        <v>0</v>
      </c>
      <c r="S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P67">
        <v>0</v>
      </c>
      <c r="AQ67">
        <v>0</v>
      </c>
      <c r="AR67">
        <v>0</v>
      </c>
      <c r="AS67">
        <v>0</v>
      </c>
      <c r="AT67">
        <v>0</v>
      </c>
      <c r="AU67">
        <v>0</v>
      </c>
      <c r="AV67">
        <v>0</v>
      </c>
      <c r="AX67">
        <v>0</v>
      </c>
      <c r="AY67">
        <v>0</v>
      </c>
      <c r="AZ67">
        <v>0</v>
      </c>
      <c r="BA67">
        <v>0</v>
      </c>
      <c r="BB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row>
    <row r="68" spans="1:79" x14ac:dyDescent="0.3">
      <c r="A68" s="155">
        <v>194</v>
      </c>
      <c r="B68" t="s">
        <v>919</v>
      </c>
      <c r="D68">
        <v>0</v>
      </c>
      <c r="E68">
        <v>0</v>
      </c>
      <c r="F68">
        <v>0</v>
      </c>
      <c r="G68">
        <v>0</v>
      </c>
      <c r="H68">
        <v>0</v>
      </c>
      <c r="I68">
        <v>0</v>
      </c>
      <c r="J68">
        <v>0</v>
      </c>
      <c r="K68">
        <v>0</v>
      </c>
      <c r="L68">
        <v>0</v>
      </c>
      <c r="M68">
        <v>0</v>
      </c>
      <c r="N68">
        <v>0</v>
      </c>
      <c r="O68">
        <v>0</v>
      </c>
      <c r="P68">
        <v>0</v>
      </c>
      <c r="Q68">
        <v>0</v>
      </c>
      <c r="R68">
        <v>0</v>
      </c>
      <c r="S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P68">
        <v>0</v>
      </c>
      <c r="AQ68">
        <v>0</v>
      </c>
      <c r="AR68">
        <v>0</v>
      </c>
      <c r="AS68">
        <v>0</v>
      </c>
      <c r="AT68">
        <v>0</v>
      </c>
      <c r="AU68">
        <v>0</v>
      </c>
      <c r="AV68">
        <v>0</v>
      </c>
      <c r="AX68">
        <v>0</v>
      </c>
      <c r="AY68">
        <v>0</v>
      </c>
      <c r="AZ68">
        <v>0</v>
      </c>
      <c r="BA68">
        <v>0</v>
      </c>
      <c r="BB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row>
    <row r="69" spans="1:79" x14ac:dyDescent="0.3">
      <c r="A69" s="155">
        <v>252</v>
      </c>
      <c r="B69" t="s">
        <v>95</v>
      </c>
      <c r="D69">
        <v>2206947</v>
      </c>
      <c r="E69">
        <v>43394463</v>
      </c>
      <c r="F69">
        <v>70110</v>
      </c>
      <c r="G69">
        <v>75728107</v>
      </c>
      <c r="H69">
        <v>9628403</v>
      </c>
      <c r="I69">
        <v>45574</v>
      </c>
      <c r="J69">
        <v>680155</v>
      </c>
      <c r="K69">
        <v>3044684</v>
      </c>
      <c r="L69">
        <v>142568689</v>
      </c>
      <c r="M69">
        <v>71824</v>
      </c>
      <c r="N69">
        <v>1208107</v>
      </c>
      <c r="O69">
        <v>1332103</v>
      </c>
      <c r="P69">
        <v>135303304</v>
      </c>
      <c r="Q69">
        <v>26206869</v>
      </c>
      <c r="R69">
        <v>8940692</v>
      </c>
      <c r="S69">
        <v>7841471</v>
      </c>
      <c r="U69">
        <v>13852747</v>
      </c>
      <c r="V69">
        <v>938</v>
      </c>
      <c r="W69">
        <v>12406357</v>
      </c>
      <c r="X69">
        <v>102431612</v>
      </c>
      <c r="Y69">
        <v>7412240</v>
      </c>
      <c r="Z69">
        <v>1919074</v>
      </c>
      <c r="AA69">
        <v>7425621</v>
      </c>
      <c r="AB69">
        <v>285047</v>
      </c>
      <c r="AC69">
        <v>334585</v>
      </c>
      <c r="AD69">
        <v>2047977</v>
      </c>
      <c r="AE69">
        <v>6434208</v>
      </c>
      <c r="AF69">
        <v>1214464</v>
      </c>
      <c r="AG69">
        <v>90408</v>
      </c>
      <c r="AH69">
        <v>1040878</v>
      </c>
      <c r="AI69">
        <v>1584217</v>
      </c>
      <c r="AJ69">
        <v>7499298</v>
      </c>
      <c r="AK69">
        <v>639850</v>
      </c>
      <c r="AL69">
        <v>20229</v>
      </c>
      <c r="AM69">
        <v>93876292</v>
      </c>
      <c r="AN69">
        <v>22545315</v>
      </c>
      <c r="AP69">
        <v>9118422</v>
      </c>
      <c r="AQ69">
        <v>33673104</v>
      </c>
      <c r="AR69">
        <v>1037024</v>
      </c>
      <c r="AS69">
        <v>1243095</v>
      </c>
      <c r="AT69">
        <v>4238753</v>
      </c>
      <c r="AU69">
        <v>20703171</v>
      </c>
      <c r="AV69">
        <v>872291</v>
      </c>
      <c r="AX69">
        <v>12244418</v>
      </c>
      <c r="AY69">
        <v>1973414</v>
      </c>
      <c r="AZ69">
        <v>6182055</v>
      </c>
      <c r="BA69">
        <v>21461</v>
      </c>
      <c r="BB69">
        <v>1154140</v>
      </c>
      <c r="BD69">
        <v>24400</v>
      </c>
      <c r="BE69">
        <v>28831786</v>
      </c>
      <c r="BF69">
        <v>239207</v>
      </c>
      <c r="BG69">
        <v>47839</v>
      </c>
      <c r="BH69">
        <v>3564739</v>
      </c>
      <c r="BI69">
        <v>7714897</v>
      </c>
      <c r="BJ69">
        <v>193238</v>
      </c>
      <c r="BK69">
        <v>9225025</v>
      </c>
      <c r="BL69">
        <v>7523810</v>
      </c>
      <c r="BM69">
        <v>43404</v>
      </c>
      <c r="BN69">
        <v>8644149</v>
      </c>
      <c r="BO69">
        <v>3880318</v>
      </c>
      <c r="BP69">
        <v>547928</v>
      </c>
      <c r="BQ69">
        <v>2131978</v>
      </c>
      <c r="BR69">
        <v>8887529</v>
      </c>
      <c r="BS69">
        <v>254168779</v>
      </c>
      <c r="BT69">
        <v>1521823</v>
      </c>
      <c r="BU69">
        <v>2465815</v>
      </c>
      <c r="BV69">
        <v>944343</v>
      </c>
      <c r="BW69">
        <v>3328208</v>
      </c>
      <c r="BX69">
        <v>6928</v>
      </c>
      <c r="BY69">
        <v>20665</v>
      </c>
      <c r="BZ69">
        <v>53020166</v>
      </c>
      <c r="CA69">
        <v>213693</v>
      </c>
    </row>
    <row r="70" spans="1:79" x14ac:dyDescent="0.3">
      <c r="A70" s="155">
        <v>253</v>
      </c>
      <c r="B70" t="s">
        <v>96</v>
      </c>
      <c r="D70">
        <v>254220</v>
      </c>
      <c r="E70">
        <v>10094371</v>
      </c>
      <c r="F70">
        <v>52556</v>
      </c>
      <c r="G70">
        <v>20992656</v>
      </c>
      <c r="H70">
        <v>1924988</v>
      </c>
      <c r="I70">
        <v>166152</v>
      </c>
      <c r="J70">
        <v>239485</v>
      </c>
      <c r="K70">
        <v>455042</v>
      </c>
      <c r="L70">
        <v>8280109</v>
      </c>
      <c r="M70">
        <v>52829</v>
      </c>
      <c r="N70">
        <v>307024</v>
      </c>
      <c r="O70">
        <v>257093</v>
      </c>
      <c r="P70">
        <v>5734079</v>
      </c>
      <c r="Q70">
        <v>6462727</v>
      </c>
      <c r="R70">
        <v>540523</v>
      </c>
      <c r="S70">
        <v>4037053</v>
      </c>
      <c r="U70">
        <v>13126478</v>
      </c>
      <c r="V70">
        <v>104392</v>
      </c>
      <c r="W70">
        <v>6466422</v>
      </c>
      <c r="X70">
        <v>5586838</v>
      </c>
      <c r="Y70">
        <v>910903</v>
      </c>
      <c r="Z70">
        <v>1062598</v>
      </c>
      <c r="AA70">
        <v>1077996</v>
      </c>
      <c r="AB70">
        <v>313645</v>
      </c>
      <c r="AC70">
        <v>40742</v>
      </c>
      <c r="AD70">
        <v>478959</v>
      </c>
      <c r="AE70">
        <v>770907</v>
      </c>
      <c r="AF70">
        <v>35063</v>
      </c>
      <c r="AG70">
        <v>14029</v>
      </c>
      <c r="AH70">
        <v>114763</v>
      </c>
      <c r="AI70">
        <v>335348</v>
      </c>
      <c r="AJ70">
        <v>487982</v>
      </c>
      <c r="AK70">
        <v>74226</v>
      </c>
      <c r="AL70">
        <v>3343</v>
      </c>
      <c r="AM70">
        <v>3477401</v>
      </c>
      <c r="AN70">
        <v>2225508</v>
      </c>
      <c r="AP70">
        <v>953673</v>
      </c>
      <c r="AQ70">
        <v>5675140</v>
      </c>
      <c r="AR70">
        <v>880604</v>
      </c>
      <c r="AS70">
        <v>91849</v>
      </c>
      <c r="AT70">
        <v>1102264</v>
      </c>
      <c r="AU70">
        <v>1435400</v>
      </c>
      <c r="AV70">
        <v>14780</v>
      </c>
      <c r="AX70">
        <v>296069</v>
      </c>
      <c r="AY70">
        <v>854857</v>
      </c>
      <c r="AZ70">
        <v>1768333</v>
      </c>
      <c r="BA70">
        <v>66934</v>
      </c>
      <c r="BB70">
        <v>787808</v>
      </c>
      <c r="BD70">
        <v>10967</v>
      </c>
      <c r="BE70">
        <v>4177929</v>
      </c>
      <c r="BF70">
        <v>58234</v>
      </c>
      <c r="BG70">
        <v>35812</v>
      </c>
      <c r="BH70">
        <v>739690</v>
      </c>
      <c r="BI70">
        <v>349155</v>
      </c>
      <c r="BJ70">
        <v>422338</v>
      </c>
      <c r="BK70">
        <v>821264</v>
      </c>
      <c r="BL70">
        <v>930671</v>
      </c>
      <c r="BM70">
        <v>5800</v>
      </c>
      <c r="BN70">
        <v>1780836</v>
      </c>
      <c r="BO70">
        <v>420563</v>
      </c>
      <c r="BP70">
        <v>404054</v>
      </c>
      <c r="BQ70">
        <v>364637</v>
      </c>
      <c r="BR70">
        <v>54372</v>
      </c>
      <c r="BS70">
        <v>4933227</v>
      </c>
      <c r="BT70">
        <v>247678</v>
      </c>
      <c r="BU70">
        <v>734631</v>
      </c>
      <c r="BV70">
        <v>110281</v>
      </c>
      <c r="BW70">
        <v>593253</v>
      </c>
      <c r="BX70">
        <v>20982</v>
      </c>
      <c r="BY70">
        <v>26380</v>
      </c>
      <c r="BZ70">
        <v>3533331</v>
      </c>
      <c r="CA70">
        <v>47556</v>
      </c>
    </row>
    <row r="71" spans="1:79" x14ac:dyDescent="0.3">
      <c r="A71" s="155">
        <v>254</v>
      </c>
      <c r="B71" t="s">
        <v>97</v>
      </c>
      <c r="D71">
        <v>1875193</v>
      </c>
      <c r="E71">
        <v>18107311</v>
      </c>
      <c r="F71">
        <v>531321</v>
      </c>
      <c r="G71">
        <v>29720207</v>
      </c>
      <c r="H71">
        <v>3032829</v>
      </c>
      <c r="I71">
        <v>108095</v>
      </c>
      <c r="J71">
        <v>2471356</v>
      </c>
      <c r="K71">
        <v>-607181</v>
      </c>
      <c r="L71">
        <v>-44365104</v>
      </c>
      <c r="M71">
        <v>234314</v>
      </c>
      <c r="N71">
        <v>-151403</v>
      </c>
      <c r="O71">
        <v>492063</v>
      </c>
      <c r="P71">
        <v>-8463987</v>
      </c>
      <c r="Q71">
        <v>3980136</v>
      </c>
      <c r="R71">
        <v>829511</v>
      </c>
      <c r="S71">
        <v>3257118</v>
      </c>
      <c r="U71">
        <v>-1788463</v>
      </c>
      <c r="V71">
        <v>166358</v>
      </c>
      <c r="W71">
        <v>4719136</v>
      </c>
      <c r="X71">
        <v>-3098354</v>
      </c>
      <c r="Y71">
        <v>2428958</v>
      </c>
      <c r="Z71">
        <v>2111263</v>
      </c>
      <c r="AA71">
        <v>564928</v>
      </c>
      <c r="AB71">
        <v>1182455</v>
      </c>
      <c r="AC71">
        <v>137896</v>
      </c>
      <c r="AD71">
        <v>1108902</v>
      </c>
      <c r="AE71">
        <v>1600089</v>
      </c>
      <c r="AF71">
        <v>78685</v>
      </c>
      <c r="AG71">
        <v>75365</v>
      </c>
      <c r="AH71">
        <v>149141</v>
      </c>
      <c r="AI71">
        <v>2243065</v>
      </c>
      <c r="AJ71">
        <v>133722</v>
      </c>
      <c r="AK71">
        <v>298431</v>
      </c>
      <c r="AL71">
        <v>122784</v>
      </c>
      <c r="AM71">
        <v>13349346</v>
      </c>
      <c r="AN71">
        <v>7081145</v>
      </c>
      <c r="AP71">
        <v>9859844</v>
      </c>
      <c r="AQ71">
        <v>1410009</v>
      </c>
      <c r="AR71">
        <v>2025531</v>
      </c>
      <c r="AS71">
        <v>247973</v>
      </c>
      <c r="AT71">
        <v>-620100</v>
      </c>
      <c r="AU71">
        <v>-7092864</v>
      </c>
      <c r="AV71">
        <v>191070</v>
      </c>
      <c r="AX71">
        <v>1481769</v>
      </c>
      <c r="AY71">
        <v>1580824</v>
      </c>
      <c r="AZ71">
        <v>-483318</v>
      </c>
      <c r="BA71">
        <v>94430</v>
      </c>
      <c r="BB71">
        <v>1009187</v>
      </c>
      <c r="BD71">
        <v>394366</v>
      </c>
      <c r="BE71">
        <v>-36269208</v>
      </c>
      <c r="BF71">
        <v>662468</v>
      </c>
      <c r="BG71">
        <v>181523</v>
      </c>
      <c r="BH71">
        <v>-1152464</v>
      </c>
      <c r="BI71">
        <v>2930591</v>
      </c>
      <c r="BJ71">
        <v>304867</v>
      </c>
      <c r="BK71">
        <v>2652519</v>
      </c>
      <c r="BL71">
        <v>4096274</v>
      </c>
      <c r="BM71">
        <v>160550</v>
      </c>
      <c r="BN71">
        <v>2397155</v>
      </c>
      <c r="BO71">
        <v>3820031</v>
      </c>
      <c r="BP71">
        <v>1199204</v>
      </c>
      <c r="BQ71">
        <v>84070</v>
      </c>
      <c r="BR71">
        <v>4038361</v>
      </c>
      <c r="BS71">
        <v>4038583</v>
      </c>
      <c r="BT71">
        <v>2505802</v>
      </c>
      <c r="BU71">
        <v>-2140137</v>
      </c>
      <c r="BV71">
        <v>849467</v>
      </c>
      <c r="BW71">
        <v>933553</v>
      </c>
      <c r="BX71">
        <v>177792</v>
      </c>
      <c r="BY71">
        <v>188552</v>
      </c>
      <c r="BZ71">
        <v>4331887</v>
      </c>
      <c r="CA71">
        <v>61474</v>
      </c>
    </row>
    <row r="72" spans="1:79" x14ac:dyDescent="0.3">
      <c r="A72" s="155">
        <v>255</v>
      </c>
      <c r="B72" t="s">
        <v>188</v>
      </c>
      <c r="D72">
        <v>814886</v>
      </c>
      <c r="E72">
        <v>3197605</v>
      </c>
      <c r="F72">
        <v>11298</v>
      </c>
      <c r="G72">
        <v>11512100</v>
      </c>
      <c r="H72">
        <v>1013513</v>
      </c>
      <c r="I72">
        <v>-18740</v>
      </c>
      <c r="J72">
        <v>98176</v>
      </c>
      <c r="K72">
        <v>91777</v>
      </c>
      <c r="L72">
        <v>10555934</v>
      </c>
      <c r="M72">
        <v>36241</v>
      </c>
      <c r="N72">
        <v>53077</v>
      </c>
      <c r="O72">
        <v>196904</v>
      </c>
      <c r="P72">
        <v>1448971</v>
      </c>
      <c r="Q72">
        <v>2959887</v>
      </c>
      <c r="R72">
        <v>-494235</v>
      </c>
      <c r="S72">
        <v>2657672</v>
      </c>
      <c r="U72">
        <v>1657226</v>
      </c>
      <c r="V72">
        <v>-488</v>
      </c>
      <c r="W72">
        <v>525608</v>
      </c>
      <c r="X72">
        <v>11710894</v>
      </c>
      <c r="Y72">
        <v>1008781</v>
      </c>
      <c r="Z72">
        <v>243228</v>
      </c>
      <c r="AA72">
        <v>1282141</v>
      </c>
      <c r="AB72">
        <v>840</v>
      </c>
      <c r="AC72">
        <v>14907</v>
      </c>
      <c r="AD72">
        <v>153281</v>
      </c>
      <c r="AE72">
        <v>1007161</v>
      </c>
      <c r="AF72">
        <v>-3989</v>
      </c>
      <c r="AG72">
        <v>5544</v>
      </c>
      <c r="AH72">
        <v>-86899</v>
      </c>
      <c r="AI72">
        <v>570570</v>
      </c>
      <c r="AJ72">
        <v>152625</v>
      </c>
      <c r="AK72">
        <v>67143</v>
      </c>
      <c r="AL72">
        <v>6408</v>
      </c>
      <c r="AM72">
        <v>44193118</v>
      </c>
      <c r="AN72">
        <v>1469335</v>
      </c>
      <c r="AP72">
        <v>663942</v>
      </c>
      <c r="AQ72">
        <v>-279194</v>
      </c>
      <c r="AR72">
        <v>-100934</v>
      </c>
      <c r="AS72">
        <v>111718</v>
      </c>
      <c r="AT72">
        <v>-340936</v>
      </c>
      <c r="AU72">
        <v>864713</v>
      </c>
      <c r="AV72">
        <v>71823</v>
      </c>
      <c r="AX72">
        <v>356139</v>
      </c>
      <c r="AY72">
        <v>152073</v>
      </c>
      <c r="AZ72">
        <v>816946</v>
      </c>
      <c r="BA72">
        <v>34638</v>
      </c>
      <c r="BB72">
        <v>341151</v>
      </c>
      <c r="BD72">
        <v>10600</v>
      </c>
      <c r="BE72">
        <v>-2200686</v>
      </c>
      <c r="BF72">
        <v>90593</v>
      </c>
      <c r="BG72">
        <v>30686</v>
      </c>
      <c r="BH72">
        <v>1686994</v>
      </c>
      <c r="BI72">
        <v>454874</v>
      </c>
      <c r="BJ72">
        <v>107652</v>
      </c>
      <c r="BK72">
        <v>1188288</v>
      </c>
      <c r="BL72">
        <v>1135573</v>
      </c>
      <c r="BM72">
        <v>20325</v>
      </c>
      <c r="BN72">
        <v>1416167</v>
      </c>
      <c r="BO72">
        <v>518620</v>
      </c>
      <c r="BP72">
        <v>-1727</v>
      </c>
      <c r="BQ72">
        <v>-1499615</v>
      </c>
      <c r="BR72">
        <v>1247212</v>
      </c>
      <c r="BS72">
        <v>1497577</v>
      </c>
      <c r="BT72">
        <v>-82617</v>
      </c>
      <c r="BU72">
        <v>64884</v>
      </c>
      <c r="BV72">
        <v>327294</v>
      </c>
      <c r="BW72">
        <v>129683</v>
      </c>
      <c r="BX72">
        <v>10861</v>
      </c>
      <c r="BY72">
        <v>12435</v>
      </c>
      <c r="BZ72">
        <v>3628434</v>
      </c>
      <c r="CA72">
        <v>8922</v>
      </c>
    </row>
    <row r="73" spans="1:79" x14ac:dyDescent="0.3">
      <c r="A73" s="155">
        <v>294</v>
      </c>
      <c r="B73" t="s">
        <v>920</v>
      </c>
      <c r="D73">
        <v>0</v>
      </c>
      <c r="E73">
        <v>0</v>
      </c>
      <c r="F73">
        <v>0</v>
      </c>
      <c r="G73">
        <v>0</v>
      </c>
      <c r="H73">
        <v>0</v>
      </c>
      <c r="I73">
        <v>0</v>
      </c>
      <c r="J73">
        <v>0</v>
      </c>
      <c r="K73">
        <v>0</v>
      </c>
      <c r="L73">
        <v>0</v>
      </c>
      <c r="M73">
        <v>0</v>
      </c>
      <c r="N73">
        <v>0</v>
      </c>
      <c r="O73">
        <v>0</v>
      </c>
      <c r="P73">
        <v>0</v>
      </c>
      <c r="Q73">
        <v>0</v>
      </c>
      <c r="R73">
        <v>0</v>
      </c>
      <c r="S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P73">
        <v>0</v>
      </c>
      <c r="AQ73">
        <v>0</v>
      </c>
      <c r="AR73">
        <v>0</v>
      </c>
      <c r="AS73">
        <v>0</v>
      </c>
      <c r="AT73">
        <v>0</v>
      </c>
      <c r="AU73">
        <v>0</v>
      </c>
      <c r="AV73">
        <v>0</v>
      </c>
      <c r="AX73">
        <v>0</v>
      </c>
      <c r="AY73">
        <v>0</v>
      </c>
      <c r="AZ73">
        <v>0</v>
      </c>
      <c r="BA73">
        <v>0</v>
      </c>
      <c r="BB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row>
    <row r="74" spans="1:79" x14ac:dyDescent="0.3">
      <c r="A74" s="155">
        <v>327</v>
      </c>
      <c r="B74" t="s">
        <v>921</v>
      </c>
      <c r="D74">
        <v>0</v>
      </c>
      <c r="E74">
        <v>0</v>
      </c>
      <c r="F74">
        <v>8865</v>
      </c>
      <c r="G74">
        <v>5287537</v>
      </c>
      <c r="H74">
        <v>0</v>
      </c>
      <c r="I74">
        <v>16104</v>
      </c>
      <c r="J74">
        <v>215245</v>
      </c>
      <c r="K74">
        <v>72530</v>
      </c>
      <c r="L74">
        <v>839066</v>
      </c>
      <c r="M74">
        <v>0</v>
      </c>
      <c r="N74">
        <v>6500</v>
      </c>
      <c r="O74">
        <v>28000</v>
      </c>
      <c r="P74">
        <v>0</v>
      </c>
      <c r="Q74">
        <v>224814</v>
      </c>
      <c r="R74">
        <v>628152</v>
      </c>
      <c r="S74">
        <v>7174055</v>
      </c>
      <c r="U74">
        <v>1020263</v>
      </c>
      <c r="V74">
        <v>0</v>
      </c>
      <c r="W74">
        <v>0</v>
      </c>
      <c r="X74">
        <v>0</v>
      </c>
      <c r="Y74">
        <v>20697</v>
      </c>
      <c r="Z74">
        <v>441230</v>
      </c>
      <c r="AA74">
        <v>32300</v>
      </c>
      <c r="AB74">
        <v>0</v>
      </c>
      <c r="AC74">
        <v>0</v>
      </c>
      <c r="AD74">
        <v>152755</v>
      </c>
      <c r="AE74">
        <v>1712356</v>
      </c>
      <c r="AF74">
        <v>10300</v>
      </c>
      <c r="AG74">
        <v>0</v>
      </c>
      <c r="AH74">
        <v>0</v>
      </c>
      <c r="AI74">
        <v>46201</v>
      </c>
      <c r="AJ74">
        <v>474294</v>
      </c>
      <c r="AK74">
        <v>63549</v>
      </c>
      <c r="AL74">
        <v>0</v>
      </c>
      <c r="AM74">
        <v>0</v>
      </c>
      <c r="AN74">
        <v>1226471</v>
      </c>
      <c r="AP74">
        <v>0</v>
      </c>
      <c r="AQ74">
        <v>866590</v>
      </c>
      <c r="AR74">
        <v>39677</v>
      </c>
      <c r="AS74">
        <v>14900</v>
      </c>
      <c r="AT74">
        <v>149857</v>
      </c>
      <c r="AU74">
        <v>131107</v>
      </c>
      <c r="AV74">
        <v>0</v>
      </c>
      <c r="AX74">
        <v>0</v>
      </c>
      <c r="AY74">
        <v>0</v>
      </c>
      <c r="AZ74">
        <v>15485</v>
      </c>
      <c r="BA74">
        <v>0</v>
      </c>
      <c r="BB74">
        <v>15000</v>
      </c>
      <c r="BD74">
        <v>0</v>
      </c>
      <c r="BE74">
        <v>742664</v>
      </c>
      <c r="BF74">
        <v>140000</v>
      </c>
      <c r="BG74">
        <v>0</v>
      </c>
      <c r="BH74">
        <v>43326</v>
      </c>
      <c r="BI74">
        <v>125250</v>
      </c>
      <c r="BJ74">
        <v>13600</v>
      </c>
      <c r="BK74">
        <v>186016</v>
      </c>
      <c r="BL74">
        <v>229735</v>
      </c>
      <c r="BM74">
        <v>0</v>
      </c>
      <c r="BN74">
        <v>101245</v>
      </c>
      <c r="BO74">
        <v>82273</v>
      </c>
      <c r="BP74">
        <v>6247</v>
      </c>
      <c r="BQ74">
        <v>25109</v>
      </c>
      <c r="BR74">
        <v>0</v>
      </c>
      <c r="BS74">
        <v>0</v>
      </c>
      <c r="BT74">
        <v>131166</v>
      </c>
      <c r="BU74">
        <v>111061</v>
      </c>
      <c r="BV74">
        <v>21500</v>
      </c>
      <c r="BW74">
        <v>0</v>
      </c>
      <c r="BX74">
        <v>0</v>
      </c>
      <c r="BY74">
        <v>0</v>
      </c>
      <c r="BZ74">
        <v>566834</v>
      </c>
      <c r="CA74">
        <v>0</v>
      </c>
    </row>
    <row r="75" spans="1:79" x14ac:dyDescent="0.3">
      <c r="A75" s="155">
        <v>328</v>
      </c>
      <c r="B75" t="s">
        <v>306</v>
      </c>
      <c r="D75">
        <v>0</v>
      </c>
      <c r="E75">
        <v>0</v>
      </c>
      <c r="F75">
        <v>0</v>
      </c>
      <c r="G75">
        <v>5258101</v>
      </c>
      <c r="H75">
        <v>42975</v>
      </c>
      <c r="I75">
        <v>0</v>
      </c>
      <c r="J75">
        <v>0</v>
      </c>
      <c r="K75">
        <v>454365</v>
      </c>
      <c r="L75">
        <v>7250156</v>
      </c>
      <c r="M75">
        <v>0</v>
      </c>
      <c r="N75">
        <v>78480</v>
      </c>
      <c r="O75">
        <v>1409589</v>
      </c>
      <c r="P75">
        <v>0</v>
      </c>
      <c r="Q75">
        <v>108112</v>
      </c>
      <c r="R75">
        <v>2185596</v>
      </c>
      <c r="S75">
        <v>8300</v>
      </c>
      <c r="U75">
        <v>18155421</v>
      </c>
      <c r="V75">
        <v>0</v>
      </c>
      <c r="W75">
        <v>0</v>
      </c>
      <c r="X75">
        <v>0</v>
      </c>
      <c r="Y75">
        <v>0</v>
      </c>
      <c r="Z75">
        <v>712548</v>
      </c>
      <c r="AA75">
        <v>142774</v>
      </c>
      <c r="AB75">
        <v>0</v>
      </c>
      <c r="AC75">
        <v>0</v>
      </c>
      <c r="AD75">
        <v>393207</v>
      </c>
      <c r="AE75">
        <v>0</v>
      </c>
      <c r="AF75">
        <v>0</v>
      </c>
      <c r="AG75">
        <v>0</v>
      </c>
      <c r="AH75">
        <v>0</v>
      </c>
      <c r="AI75">
        <v>0</v>
      </c>
      <c r="AJ75">
        <v>3345778</v>
      </c>
      <c r="AK75">
        <v>148375</v>
      </c>
      <c r="AL75">
        <v>0</v>
      </c>
      <c r="AM75">
        <v>0</v>
      </c>
      <c r="AN75">
        <v>19998130</v>
      </c>
      <c r="AP75">
        <v>0</v>
      </c>
      <c r="AQ75">
        <v>69913</v>
      </c>
      <c r="AR75">
        <v>655500</v>
      </c>
      <c r="AS75">
        <v>0</v>
      </c>
      <c r="AT75">
        <v>32569</v>
      </c>
      <c r="AU75">
        <v>3952</v>
      </c>
      <c r="AV75">
        <v>0</v>
      </c>
      <c r="AX75">
        <v>210757</v>
      </c>
      <c r="AY75">
        <v>541472</v>
      </c>
      <c r="AZ75">
        <v>804518</v>
      </c>
      <c r="BA75">
        <v>0</v>
      </c>
      <c r="BB75">
        <v>311175</v>
      </c>
      <c r="BD75">
        <v>0</v>
      </c>
      <c r="BE75">
        <v>2250</v>
      </c>
      <c r="BF75">
        <v>0</v>
      </c>
      <c r="BG75">
        <v>0</v>
      </c>
      <c r="BH75">
        <v>0</v>
      </c>
      <c r="BI75">
        <v>0</v>
      </c>
      <c r="BJ75">
        <v>18620</v>
      </c>
      <c r="BK75">
        <v>800169</v>
      </c>
      <c r="BL75">
        <v>0</v>
      </c>
      <c r="BM75">
        <v>0</v>
      </c>
      <c r="BN75">
        <v>0</v>
      </c>
      <c r="BO75">
        <v>0</v>
      </c>
      <c r="BP75">
        <v>0</v>
      </c>
      <c r="BQ75">
        <v>695820</v>
      </c>
      <c r="BR75">
        <v>0</v>
      </c>
      <c r="BS75">
        <v>0</v>
      </c>
      <c r="BT75">
        <v>229172</v>
      </c>
      <c r="BU75">
        <v>31500</v>
      </c>
      <c r="BV75">
        <v>1512813</v>
      </c>
      <c r="BW75">
        <v>0</v>
      </c>
      <c r="BX75">
        <v>0</v>
      </c>
      <c r="BY75">
        <v>0</v>
      </c>
      <c r="BZ75">
        <v>555286</v>
      </c>
      <c r="CA75">
        <v>0</v>
      </c>
    </row>
    <row r="76" spans="1:79" x14ac:dyDescent="0.3">
      <c r="A76" s="155">
        <v>331</v>
      </c>
      <c r="B76" t="s">
        <v>238</v>
      </c>
      <c r="D76">
        <v>0</v>
      </c>
      <c r="E76">
        <v>0</v>
      </c>
      <c r="F76">
        <v>0</v>
      </c>
      <c r="G76">
        <v>5801141</v>
      </c>
      <c r="H76">
        <v>168613</v>
      </c>
      <c r="I76">
        <v>0</v>
      </c>
      <c r="J76">
        <v>0</v>
      </c>
      <c r="K76">
        <v>51500</v>
      </c>
      <c r="L76">
        <v>3073310</v>
      </c>
      <c r="M76">
        <v>0</v>
      </c>
      <c r="N76">
        <v>7765</v>
      </c>
      <c r="O76">
        <v>5136</v>
      </c>
      <c r="P76">
        <v>0</v>
      </c>
      <c r="Q76">
        <v>2813</v>
      </c>
      <c r="R76">
        <v>843191</v>
      </c>
      <c r="S76">
        <v>1582627</v>
      </c>
      <c r="U76">
        <v>1784970</v>
      </c>
      <c r="V76">
        <v>0</v>
      </c>
      <c r="W76">
        <v>0</v>
      </c>
      <c r="X76">
        <v>146631</v>
      </c>
      <c r="Y76">
        <v>426566</v>
      </c>
      <c r="Z76">
        <v>11909</v>
      </c>
      <c r="AA76">
        <v>119944</v>
      </c>
      <c r="AB76">
        <v>0</v>
      </c>
      <c r="AC76">
        <v>23265</v>
      </c>
      <c r="AD76">
        <v>90212</v>
      </c>
      <c r="AE76">
        <v>141191</v>
      </c>
      <c r="AF76">
        <v>0</v>
      </c>
      <c r="AG76">
        <v>0</v>
      </c>
      <c r="AH76">
        <v>0</v>
      </c>
      <c r="AI76">
        <v>0</v>
      </c>
      <c r="AJ76">
        <v>873271</v>
      </c>
      <c r="AK76">
        <v>0</v>
      </c>
      <c r="AL76">
        <v>0</v>
      </c>
      <c r="AM76">
        <v>9343363</v>
      </c>
      <c r="AN76">
        <v>1428240</v>
      </c>
      <c r="AP76">
        <v>0</v>
      </c>
      <c r="AQ76">
        <v>128985</v>
      </c>
      <c r="AR76">
        <v>6064</v>
      </c>
      <c r="AS76">
        <v>4000</v>
      </c>
      <c r="AT76">
        <v>0</v>
      </c>
      <c r="AU76">
        <v>2718331</v>
      </c>
      <c r="AV76">
        <v>18881</v>
      </c>
      <c r="AX76">
        <v>0</v>
      </c>
      <c r="AY76">
        <v>39849</v>
      </c>
      <c r="AZ76">
        <v>165982</v>
      </c>
      <c r="BA76">
        <v>0</v>
      </c>
      <c r="BB76">
        <v>12172</v>
      </c>
      <c r="BD76">
        <v>0</v>
      </c>
      <c r="BE76">
        <v>588534</v>
      </c>
      <c r="BF76">
        <v>0</v>
      </c>
      <c r="BG76">
        <v>0</v>
      </c>
      <c r="BH76">
        <v>271321</v>
      </c>
      <c r="BI76">
        <v>162960</v>
      </c>
      <c r="BJ76">
        <v>0</v>
      </c>
      <c r="BK76">
        <v>79014</v>
      </c>
      <c r="BL76">
        <v>36664</v>
      </c>
      <c r="BM76">
        <v>0</v>
      </c>
      <c r="BN76">
        <v>297710</v>
      </c>
      <c r="BO76">
        <v>91115</v>
      </c>
      <c r="BP76">
        <v>12020</v>
      </c>
      <c r="BQ76">
        <v>97188</v>
      </c>
      <c r="BR76">
        <v>0</v>
      </c>
      <c r="BS76">
        <v>0</v>
      </c>
      <c r="BT76">
        <v>15996</v>
      </c>
      <c r="BU76">
        <v>322994</v>
      </c>
      <c r="BV76">
        <v>8875</v>
      </c>
      <c r="BW76">
        <v>0</v>
      </c>
      <c r="BX76">
        <v>0</v>
      </c>
      <c r="BY76">
        <v>0</v>
      </c>
      <c r="BZ76">
        <v>758542</v>
      </c>
      <c r="CA76">
        <v>0</v>
      </c>
    </row>
    <row r="77" spans="1:79" x14ac:dyDescent="0.3">
      <c r="A77" s="155">
        <v>332</v>
      </c>
      <c r="B77" t="s">
        <v>239</v>
      </c>
      <c r="D77">
        <v>0</v>
      </c>
      <c r="E77">
        <v>0</v>
      </c>
      <c r="F77">
        <v>0</v>
      </c>
      <c r="G77">
        <v>1903313</v>
      </c>
      <c r="H77">
        <v>1924789</v>
      </c>
      <c r="I77">
        <v>0</v>
      </c>
      <c r="J77">
        <v>0</v>
      </c>
      <c r="K77">
        <v>94357</v>
      </c>
      <c r="L77">
        <v>5478536</v>
      </c>
      <c r="M77">
        <v>0</v>
      </c>
      <c r="N77">
        <v>0</v>
      </c>
      <c r="O77">
        <v>1409589</v>
      </c>
      <c r="P77">
        <v>0</v>
      </c>
      <c r="Q77">
        <v>1667360</v>
      </c>
      <c r="R77">
        <v>610795</v>
      </c>
      <c r="S77">
        <v>1111146</v>
      </c>
      <c r="U77">
        <v>1403021</v>
      </c>
      <c r="V77">
        <v>0</v>
      </c>
      <c r="W77">
        <v>0</v>
      </c>
      <c r="X77">
        <v>0</v>
      </c>
      <c r="Y77">
        <v>246943</v>
      </c>
      <c r="Z77">
        <v>361694</v>
      </c>
      <c r="AA77">
        <v>0</v>
      </c>
      <c r="AB77">
        <v>0</v>
      </c>
      <c r="AC77">
        <v>156439</v>
      </c>
      <c r="AD77">
        <v>311955</v>
      </c>
      <c r="AE77">
        <v>38751</v>
      </c>
      <c r="AF77">
        <v>6001</v>
      </c>
      <c r="AG77">
        <v>0</v>
      </c>
      <c r="AH77">
        <v>0</v>
      </c>
      <c r="AI77">
        <v>0</v>
      </c>
      <c r="AJ77">
        <v>4261556</v>
      </c>
      <c r="AK77">
        <v>115494</v>
      </c>
      <c r="AL77">
        <v>0</v>
      </c>
      <c r="AM77">
        <v>7232440</v>
      </c>
      <c r="AN77">
        <v>4533488</v>
      </c>
      <c r="AP77">
        <v>0</v>
      </c>
      <c r="AQ77">
        <v>729408</v>
      </c>
      <c r="AR77">
        <v>460675</v>
      </c>
      <c r="AS77">
        <v>1951</v>
      </c>
      <c r="AT77">
        <v>0</v>
      </c>
      <c r="AU77">
        <v>761031</v>
      </c>
      <c r="AV77">
        <v>0</v>
      </c>
      <c r="AX77">
        <v>691225</v>
      </c>
      <c r="AY77">
        <v>0</v>
      </c>
      <c r="AZ77">
        <v>363954</v>
      </c>
      <c r="BA77">
        <v>0</v>
      </c>
      <c r="BB77">
        <v>440403</v>
      </c>
      <c r="BD77">
        <v>0</v>
      </c>
      <c r="BE77">
        <v>1030004</v>
      </c>
      <c r="BF77">
        <v>0</v>
      </c>
      <c r="BG77">
        <v>0</v>
      </c>
      <c r="BH77">
        <v>0</v>
      </c>
      <c r="BI77">
        <v>4207</v>
      </c>
      <c r="BJ77">
        <v>182164</v>
      </c>
      <c r="BK77">
        <v>184641</v>
      </c>
      <c r="BL77">
        <v>132367</v>
      </c>
      <c r="BM77">
        <v>0</v>
      </c>
      <c r="BN77">
        <v>168041</v>
      </c>
      <c r="BO77">
        <v>417466</v>
      </c>
      <c r="BP77">
        <v>56075</v>
      </c>
      <c r="BQ77">
        <v>163906</v>
      </c>
      <c r="BR77">
        <v>0</v>
      </c>
      <c r="BS77">
        <v>0</v>
      </c>
      <c r="BT77">
        <v>52339</v>
      </c>
      <c r="BU77">
        <v>181075</v>
      </c>
      <c r="BV77">
        <v>5000</v>
      </c>
      <c r="BW77">
        <v>58274</v>
      </c>
      <c r="BX77">
        <v>0</v>
      </c>
      <c r="BY77">
        <v>0</v>
      </c>
      <c r="BZ77">
        <v>837089</v>
      </c>
      <c r="CA77">
        <v>0</v>
      </c>
    </row>
    <row r="78" spans="1:79" x14ac:dyDescent="0.3">
      <c r="A78" s="155">
        <v>333</v>
      </c>
      <c r="B78" t="s">
        <v>176</v>
      </c>
      <c r="D78">
        <v>720679</v>
      </c>
      <c r="E78">
        <v>24330889</v>
      </c>
      <c r="F78">
        <v>596711</v>
      </c>
      <c r="G78">
        <v>42186851</v>
      </c>
      <c r="H78">
        <v>3963169</v>
      </c>
      <c r="I78">
        <v>433267</v>
      </c>
      <c r="J78">
        <v>2758714</v>
      </c>
      <c r="K78">
        <v>1196791</v>
      </c>
      <c r="L78">
        <v>22760021</v>
      </c>
      <c r="M78">
        <v>244064</v>
      </c>
      <c r="N78">
        <v>620385</v>
      </c>
      <c r="O78">
        <v>794704</v>
      </c>
      <c r="P78">
        <v>16946107</v>
      </c>
      <c r="Q78">
        <v>16987756</v>
      </c>
      <c r="R78">
        <v>2525215</v>
      </c>
      <c r="S78">
        <v>19264464</v>
      </c>
      <c r="U78">
        <v>21808166</v>
      </c>
      <c r="V78">
        <v>165378</v>
      </c>
      <c r="W78">
        <v>8683420</v>
      </c>
      <c r="X78">
        <v>9414457</v>
      </c>
      <c r="Y78">
        <v>5499137</v>
      </c>
      <c r="Z78">
        <v>2259518</v>
      </c>
      <c r="AA78">
        <v>5088064</v>
      </c>
      <c r="AB78">
        <v>1270700</v>
      </c>
      <c r="AC78">
        <v>147220</v>
      </c>
      <c r="AD78">
        <v>1274557</v>
      </c>
      <c r="AE78">
        <v>2028801</v>
      </c>
      <c r="AF78">
        <v>86003</v>
      </c>
      <c r="AG78">
        <v>73838</v>
      </c>
      <c r="AH78">
        <v>148871</v>
      </c>
      <c r="AI78">
        <v>2750626</v>
      </c>
      <c r="AJ78">
        <v>3687446</v>
      </c>
      <c r="AK78">
        <v>302536</v>
      </c>
      <c r="AL78">
        <v>122436</v>
      </c>
      <c r="AM78">
        <v>17244043</v>
      </c>
      <c r="AN78">
        <v>15480149</v>
      </c>
      <c r="AP78">
        <v>10349097</v>
      </c>
      <c r="AQ78">
        <v>27291703</v>
      </c>
      <c r="AR78">
        <v>2617235</v>
      </c>
      <c r="AS78">
        <v>535500</v>
      </c>
      <c r="AT78">
        <v>2228754</v>
      </c>
      <c r="AU78">
        <v>6895509</v>
      </c>
      <c r="AV78">
        <v>246686</v>
      </c>
      <c r="AX78">
        <v>3540874</v>
      </c>
      <c r="AY78">
        <v>2664723</v>
      </c>
      <c r="AZ78">
        <v>1909688</v>
      </c>
      <c r="BA78">
        <v>86204</v>
      </c>
      <c r="BB78">
        <v>1841513</v>
      </c>
      <c r="BD78">
        <v>393211</v>
      </c>
      <c r="BE78">
        <v>5139616</v>
      </c>
      <c r="BF78">
        <v>635310</v>
      </c>
      <c r="BG78">
        <v>181536</v>
      </c>
      <c r="BH78">
        <v>3313740</v>
      </c>
      <c r="BI78">
        <v>3847044</v>
      </c>
      <c r="BJ78">
        <v>258604</v>
      </c>
      <c r="BK78">
        <v>4169435</v>
      </c>
      <c r="BL78">
        <v>6471332</v>
      </c>
      <c r="BM78">
        <v>160550</v>
      </c>
      <c r="BN78">
        <v>4451447</v>
      </c>
      <c r="BO78">
        <v>4281354</v>
      </c>
      <c r="BP78">
        <v>1324138</v>
      </c>
      <c r="BQ78">
        <v>605121</v>
      </c>
      <c r="BR78">
        <v>3237074</v>
      </c>
      <c r="BS78">
        <v>14897987</v>
      </c>
      <c r="BT78">
        <v>2479540</v>
      </c>
      <c r="BU78">
        <v>1766588</v>
      </c>
      <c r="BV78">
        <v>899739</v>
      </c>
      <c r="BW78">
        <v>1292380</v>
      </c>
      <c r="BX78">
        <v>177412</v>
      </c>
      <c r="BY78">
        <v>186933</v>
      </c>
      <c r="BZ78">
        <v>14377371</v>
      </c>
      <c r="CA78">
        <v>51893</v>
      </c>
    </row>
    <row r="79" spans="1:79" x14ac:dyDescent="0.3">
      <c r="A79" s="155">
        <v>334</v>
      </c>
      <c r="B79" t="s">
        <v>261</v>
      </c>
      <c r="D79">
        <v>4060766</v>
      </c>
      <c r="E79">
        <v>65604063</v>
      </c>
      <c r="F79">
        <v>323646</v>
      </c>
      <c r="G79">
        <v>177647514</v>
      </c>
      <c r="H79">
        <v>11111027</v>
      </c>
      <c r="I79">
        <v>148592</v>
      </c>
      <c r="J79">
        <v>1533338</v>
      </c>
      <c r="K79">
        <v>3459743</v>
      </c>
      <c r="L79">
        <v>299189459</v>
      </c>
      <c r="M79">
        <v>137080</v>
      </c>
      <c r="N79">
        <v>2294273</v>
      </c>
      <c r="O79">
        <v>4436565</v>
      </c>
      <c r="P79">
        <v>152493077</v>
      </c>
      <c r="Q79">
        <v>53357134</v>
      </c>
      <c r="R79">
        <v>11936347</v>
      </c>
      <c r="S79">
        <v>30098175</v>
      </c>
      <c r="U79">
        <v>42707565</v>
      </c>
      <c r="V79">
        <v>10238</v>
      </c>
      <c r="W79">
        <v>32740889</v>
      </c>
      <c r="X79">
        <v>119123506</v>
      </c>
      <c r="Y79">
        <v>13524906</v>
      </c>
      <c r="Z79">
        <v>17827979</v>
      </c>
      <c r="AA79">
        <v>10250825</v>
      </c>
      <c r="AB79">
        <v>784706</v>
      </c>
      <c r="AC79">
        <v>892076</v>
      </c>
      <c r="AD79">
        <v>3278692</v>
      </c>
      <c r="AE79">
        <v>6410461</v>
      </c>
      <c r="AF79">
        <v>759972</v>
      </c>
      <c r="AG79">
        <v>168058</v>
      </c>
      <c r="AH79">
        <v>1890054</v>
      </c>
      <c r="AI79">
        <v>2505108</v>
      </c>
      <c r="AJ79">
        <v>20098698</v>
      </c>
      <c r="AK79">
        <v>1606992</v>
      </c>
      <c r="AL79">
        <v>37458</v>
      </c>
      <c r="AM79">
        <v>146318799</v>
      </c>
      <c r="AN79">
        <v>78565590</v>
      </c>
      <c r="AP79">
        <v>8670938</v>
      </c>
      <c r="AQ79">
        <v>99321161</v>
      </c>
      <c r="AR79">
        <v>4074657</v>
      </c>
      <c r="AS79">
        <v>3940089</v>
      </c>
      <c r="AT79">
        <v>10356981</v>
      </c>
      <c r="AU79">
        <v>37962882</v>
      </c>
      <c r="AV79">
        <v>822072</v>
      </c>
      <c r="AX79">
        <v>14934084</v>
      </c>
      <c r="AY79">
        <v>8173984</v>
      </c>
      <c r="AZ79">
        <v>9338382</v>
      </c>
      <c r="BA79">
        <v>5342</v>
      </c>
      <c r="BB79">
        <v>5372616</v>
      </c>
      <c r="BD79">
        <v>110316</v>
      </c>
      <c r="BE79">
        <v>52381734</v>
      </c>
      <c r="BF79">
        <v>472776</v>
      </c>
      <c r="BG79">
        <v>125755</v>
      </c>
      <c r="BH79">
        <v>5942920</v>
      </c>
      <c r="BI79">
        <v>9384241</v>
      </c>
      <c r="BJ79">
        <v>1071289</v>
      </c>
      <c r="BK79">
        <v>19830244</v>
      </c>
      <c r="BL79">
        <v>11589524</v>
      </c>
      <c r="BM79">
        <v>0</v>
      </c>
      <c r="BN79">
        <v>18627252</v>
      </c>
      <c r="BO79">
        <v>9255540</v>
      </c>
      <c r="BP79">
        <v>1282906</v>
      </c>
      <c r="BQ79">
        <v>3159656</v>
      </c>
      <c r="BR79">
        <v>7307153</v>
      </c>
      <c r="BS79">
        <v>149328360</v>
      </c>
      <c r="BT79">
        <v>4955974</v>
      </c>
      <c r="BU79">
        <v>6112713</v>
      </c>
      <c r="BV79">
        <v>1867391</v>
      </c>
      <c r="BW79">
        <v>3802100</v>
      </c>
      <c r="BX79">
        <v>43270</v>
      </c>
      <c r="BY79">
        <v>67343</v>
      </c>
      <c r="BZ79">
        <v>71035068</v>
      </c>
      <c r="CA79">
        <v>312234</v>
      </c>
    </row>
    <row r="80" spans="1:79" x14ac:dyDescent="0.3">
      <c r="A80" s="155">
        <v>335</v>
      </c>
      <c r="B80" t="s">
        <v>109</v>
      </c>
      <c r="D80">
        <v>0</v>
      </c>
      <c r="E80">
        <v>0</v>
      </c>
      <c r="F80">
        <v>0</v>
      </c>
      <c r="G80">
        <v>0</v>
      </c>
      <c r="H80">
        <v>0</v>
      </c>
      <c r="I80">
        <v>0</v>
      </c>
      <c r="J80">
        <v>0</v>
      </c>
      <c r="K80">
        <v>0</v>
      </c>
      <c r="L80">
        <v>4676447</v>
      </c>
      <c r="M80">
        <v>0</v>
      </c>
      <c r="N80">
        <v>0</v>
      </c>
      <c r="O80">
        <v>0</v>
      </c>
      <c r="P80">
        <v>47424</v>
      </c>
      <c r="Q80">
        <v>8790</v>
      </c>
      <c r="R80">
        <v>0</v>
      </c>
      <c r="S80">
        <v>0</v>
      </c>
      <c r="U80">
        <v>34385</v>
      </c>
      <c r="V80">
        <v>0</v>
      </c>
      <c r="W80">
        <v>0</v>
      </c>
      <c r="X80">
        <v>0</v>
      </c>
      <c r="Y80">
        <v>0</v>
      </c>
      <c r="Z80">
        <v>0</v>
      </c>
      <c r="AA80">
        <v>0</v>
      </c>
      <c r="AB80">
        <v>0</v>
      </c>
      <c r="AC80">
        <v>0</v>
      </c>
      <c r="AD80">
        <v>0</v>
      </c>
      <c r="AE80">
        <v>14274</v>
      </c>
      <c r="AF80">
        <v>0</v>
      </c>
      <c r="AG80">
        <v>0</v>
      </c>
      <c r="AH80">
        <v>0</v>
      </c>
      <c r="AI80">
        <v>0</v>
      </c>
      <c r="AJ80">
        <v>0</v>
      </c>
      <c r="AK80">
        <v>0</v>
      </c>
      <c r="AL80">
        <v>0</v>
      </c>
      <c r="AM80">
        <v>0</v>
      </c>
      <c r="AN80">
        <v>0</v>
      </c>
      <c r="AP80">
        <v>0</v>
      </c>
      <c r="AQ80">
        <v>0</v>
      </c>
      <c r="AR80">
        <v>6030</v>
      </c>
      <c r="AS80">
        <v>0</v>
      </c>
      <c r="AT80">
        <v>0</v>
      </c>
      <c r="AU80">
        <v>0</v>
      </c>
      <c r="AV80">
        <v>0</v>
      </c>
      <c r="AX80">
        <v>0</v>
      </c>
      <c r="AY80">
        <v>0</v>
      </c>
      <c r="AZ80">
        <v>0</v>
      </c>
      <c r="BA80">
        <v>0</v>
      </c>
      <c r="BB80">
        <v>0</v>
      </c>
      <c r="BD80">
        <v>0</v>
      </c>
      <c r="BE80">
        <v>690885</v>
      </c>
      <c r="BF80">
        <v>0</v>
      </c>
      <c r="BG80">
        <v>0</v>
      </c>
      <c r="BH80">
        <v>0</v>
      </c>
      <c r="BI80">
        <v>0</v>
      </c>
      <c r="BJ80">
        <v>0</v>
      </c>
      <c r="BK80">
        <v>158</v>
      </c>
      <c r="BL80">
        <v>0</v>
      </c>
      <c r="BM80">
        <v>0</v>
      </c>
      <c r="BN80">
        <v>0</v>
      </c>
      <c r="BO80">
        <v>0</v>
      </c>
      <c r="BP80">
        <v>0</v>
      </c>
      <c r="BQ80">
        <v>0</v>
      </c>
      <c r="BR80">
        <v>0</v>
      </c>
      <c r="BS80">
        <v>0</v>
      </c>
      <c r="BT80">
        <v>0</v>
      </c>
      <c r="BU80">
        <v>0</v>
      </c>
      <c r="BV80">
        <v>0</v>
      </c>
      <c r="BW80">
        <v>0</v>
      </c>
      <c r="BX80">
        <v>0</v>
      </c>
      <c r="BY80">
        <v>0</v>
      </c>
      <c r="BZ80">
        <v>0</v>
      </c>
      <c r="CA80">
        <v>0</v>
      </c>
    </row>
    <row r="81" spans="1:79" x14ac:dyDescent="0.3">
      <c r="A81" s="155">
        <v>336</v>
      </c>
      <c r="B81" t="s">
        <v>922</v>
      </c>
      <c r="D81">
        <v>110743</v>
      </c>
      <c r="E81">
        <v>2219326</v>
      </c>
      <c r="F81">
        <v>107766</v>
      </c>
      <c r="G81">
        <v>7787735</v>
      </c>
      <c r="H81">
        <v>670526</v>
      </c>
      <c r="I81">
        <v>14534</v>
      </c>
      <c r="J81">
        <v>24985</v>
      </c>
      <c r="K81">
        <v>50197</v>
      </c>
      <c r="L81">
        <v>15241734</v>
      </c>
      <c r="M81">
        <v>14081</v>
      </c>
      <c r="N81">
        <v>46534</v>
      </c>
      <c r="O81">
        <v>100074</v>
      </c>
      <c r="P81">
        <v>5752681</v>
      </c>
      <c r="Q81">
        <v>3641686</v>
      </c>
      <c r="R81">
        <v>505858</v>
      </c>
      <c r="S81">
        <v>2132760</v>
      </c>
      <c r="U81">
        <v>3853401</v>
      </c>
      <c r="V81">
        <v>704</v>
      </c>
      <c r="W81">
        <v>2522786</v>
      </c>
      <c r="X81">
        <v>1378327</v>
      </c>
      <c r="Y81">
        <v>834060</v>
      </c>
      <c r="Z81">
        <v>273285</v>
      </c>
      <c r="AA81">
        <v>508147</v>
      </c>
      <c r="AB81">
        <v>20945</v>
      </c>
      <c r="AC81">
        <v>9324</v>
      </c>
      <c r="AD81">
        <v>66897</v>
      </c>
      <c r="AE81">
        <v>117488</v>
      </c>
      <c r="AF81">
        <v>9021</v>
      </c>
      <c r="AG81">
        <v>1346</v>
      </c>
      <c r="AH81">
        <v>436</v>
      </c>
      <c r="AI81">
        <v>75331</v>
      </c>
      <c r="AJ81">
        <v>573519</v>
      </c>
      <c r="AK81">
        <v>7733</v>
      </c>
      <c r="AL81">
        <v>769</v>
      </c>
      <c r="AM81">
        <v>3695311</v>
      </c>
      <c r="AN81">
        <v>2764020</v>
      </c>
      <c r="AP81">
        <v>584164</v>
      </c>
      <c r="AQ81">
        <v>6515094</v>
      </c>
      <c r="AR81">
        <v>234827</v>
      </c>
      <c r="AS81">
        <v>142705</v>
      </c>
      <c r="AT81">
        <v>365880</v>
      </c>
      <c r="AU81">
        <v>3000311</v>
      </c>
      <c r="AV81">
        <v>55612</v>
      </c>
      <c r="AX81">
        <v>567644</v>
      </c>
      <c r="AY81">
        <v>190083</v>
      </c>
      <c r="AZ81">
        <v>423886</v>
      </c>
      <c r="BA81">
        <v>0</v>
      </c>
      <c r="BB81">
        <v>184958</v>
      </c>
      <c r="BD81">
        <v>3352</v>
      </c>
      <c r="BE81">
        <v>6150363</v>
      </c>
      <c r="BF81">
        <v>20376</v>
      </c>
      <c r="BG81">
        <v>1857</v>
      </c>
      <c r="BH81">
        <v>43619</v>
      </c>
      <c r="BI81">
        <v>102876</v>
      </c>
      <c r="BJ81">
        <v>40916</v>
      </c>
      <c r="BK81">
        <v>384008</v>
      </c>
      <c r="BL81">
        <v>0</v>
      </c>
      <c r="BM81">
        <v>0</v>
      </c>
      <c r="BN81">
        <v>743611</v>
      </c>
      <c r="BO81">
        <v>176186</v>
      </c>
      <c r="BP81">
        <v>18090</v>
      </c>
      <c r="BQ81">
        <v>33637</v>
      </c>
      <c r="BR81">
        <v>225135</v>
      </c>
      <c r="BS81">
        <v>2791303</v>
      </c>
      <c r="BT81">
        <v>167015</v>
      </c>
      <c r="BU81">
        <v>129303</v>
      </c>
      <c r="BV81">
        <v>51833</v>
      </c>
      <c r="BW81">
        <v>13281</v>
      </c>
      <c r="BX81">
        <v>0</v>
      </c>
      <c r="BY81">
        <v>0</v>
      </c>
      <c r="BZ81">
        <v>2459578</v>
      </c>
      <c r="CA81">
        <v>3201</v>
      </c>
    </row>
    <row r="82" spans="1:79" x14ac:dyDescent="0.3">
      <c r="A82" s="155">
        <v>337</v>
      </c>
      <c r="B82" t="s">
        <v>245</v>
      </c>
      <c r="D82">
        <v>1329906</v>
      </c>
      <c r="E82">
        <v>13018852</v>
      </c>
      <c r="F82">
        <v>5249</v>
      </c>
      <c r="G82">
        <v>18940271</v>
      </c>
      <c r="H82">
        <v>704604</v>
      </c>
      <c r="I82">
        <v>0</v>
      </c>
      <c r="J82">
        <v>0</v>
      </c>
      <c r="K82">
        <v>1140771</v>
      </c>
      <c r="L82">
        <v>132403568</v>
      </c>
      <c r="M82">
        <v>0</v>
      </c>
      <c r="N82">
        <v>54229</v>
      </c>
      <c r="O82">
        <v>410029</v>
      </c>
      <c r="P82">
        <v>20805821</v>
      </c>
      <c r="Q82">
        <v>8285569</v>
      </c>
      <c r="R82">
        <v>2308236</v>
      </c>
      <c r="S82">
        <v>2566685</v>
      </c>
      <c r="U82">
        <v>11131644</v>
      </c>
      <c r="V82">
        <v>0</v>
      </c>
      <c r="W82">
        <v>0</v>
      </c>
      <c r="X82">
        <v>11664008</v>
      </c>
      <c r="Y82">
        <v>4536073</v>
      </c>
      <c r="Z82">
        <v>276860</v>
      </c>
      <c r="AA82">
        <v>1381785</v>
      </c>
      <c r="AB82">
        <v>0</v>
      </c>
      <c r="AC82">
        <v>0</v>
      </c>
      <c r="AD82">
        <v>23170</v>
      </c>
      <c r="AE82">
        <v>782998</v>
      </c>
      <c r="AF82">
        <v>0</v>
      </c>
      <c r="AG82">
        <v>0</v>
      </c>
      <c r="AH82">
        <v>0</v>
      </c>
      <c r="AI82">
        <v>34286</v>
      </c>
      <c r="AJ82">
        <v>4930270</v>
      </c>
      <c r="AK82">
        <v>0</v>
      </c>
      <c r="AL82">
        <v>0</v>
      </c>
      <c r="AM82">
        <v>0</v>
      </c>
      <c r="AN82">
        <v>972632</v>
      </c>
      <c r="AP82">
        <v>2000000</v>
      </c>
      <c r="AQ82">
        <v>6604542</v>
      </c>
      <c r="AR82">
        <v>287924</v>
      </c>
      <c r="AS82">
        <v>897672</v>
      </c>
      <c r="AT82">
        <v>2549253</v>
      </c>
      <c r="AU82">
        <v>1329019</v>
      </c>
      <c r="AV82">
        <v>0</v>
      </c>
      <c r="AX82">
        <v>0</v>
      </c>
      <c r="AY82">
        <v>668149</v>
      </c>
      <c r="AZ82">
        <v>892029</v>
      </c>
      <c r="BA82">
        <v>0</v>
      </c>
      <c r="BB82">
        <v>442091</v>
      </c>
      <c r="BD82">
        <v>0</v>
      </c>
      <c r="BE82">
        <v>13983301</v>
      </c>
      <c r="BF82">
        <v>0</v>
      </c>
      <c r="BG82">
        <v>0</v>
      </c>
      <c r="BH82">
        <v>88524</v>
      </c>
      <c r="BI82">
        <v>0</v>
      </c>
      <c r="BJ82">
        <v>120000</v>
      </c>
      <c r="BK82">
        <v>1647399</v>
      </c>
      <c r="BL82">
        <v>0</v>
      </c>
      <c r="BM82">
        <v>0</v>
      </c>
      <c r="BN82">
        <v>1875421</v>
      </c>
      <c r="BO82">
        <v>0</v>
      </c>
      <c r="BP82">
        <v>0</v>
      </c>
      <c r="BQ82">
        <v>0</v>
      </c>
      <c r="BR82">
        <v>1180000</v>
      </c>
      <c r="BS82">
        <v>6302980</v>
      </c>
      <c r="BT82">
        <v>467467</v>
      </c>
      <c r="BU82">
        <v>227273</v>
      </c>
      <c r="BV82">
        <v>156621</v>
      </c>
      <c r="BW82">
        <v>0</v>
      </c>
      <c r="BX82">
        <v>0</v>
      </c>
      <c r="BY82">
        <v>0</v>
      </c>
      <c r="BZ82">
        <v>7562836</v>
      </c>
      <c r="CA82">
        <v>29481</v>
      </c>
    </row>
    <row r="83" spans="1:79" x14ac:dyDescent="0.3">
      <c r="A83" s="155">
        <v>338</v>
      </c>
      <c r="B83" t="s">
        <v>108</v>
      </c>
      <c r="D83">
        <v>2238469</v>
      </c>
      <c r="E83">
        <v>16160606</v>
      </c>
      <c r="F83">
        <v>183129</v>
      </c>
      <c r="G83">
        <v>44447928</v>
      </c>
      <c r="H83">
        <v>0</v>
      </c>
      <c r="I83">
        <v>486912</v>
      </c>
      <c r="J83">
        <v>524333</v>
      </c>
      <c r="K83">
        <v>2288682</v>
      </c>
      <c r="L83">
        <v>230038665</v>
      </c>
      <c r="M83">
        <v>14081</v>
      </c>
      <c r="N83">
        <v>1100857</v>
      </c>
      <c r="O83">
        <v>963192</v>
      </c>
      <c r="P83">
        <v>50859018</v>
      </c>
      <c r="Q83">
        <v>24087414</v>
      </c>
      <c r="R83">
        <v>5446425</v>
      </c>
      <c r="S83">
        <v>21082398</v>
      </c>
      <c r="U83">
        <v>29264769</v>
      </c>
      <c r="V83">
        <v>704</v>
      </c>
      <c r="W83">
        <v>7450684</v>
      </c>
      <c r="X83">
        <v>29041933</v>
      </c>
      <c r="Y83">
        <v>8869543</v>
      </c>
      <c r="Z83">
        <v>655796</v>
      </c>
      <c r="AA83">
        <v>7292099</v>
      </c>
      <c r="AB83">
        <v>21061</v>
      </c>
      <c r="AC83">
        <v>9324</v>
      </c>
      <c r="AD83">
        <v>322449</v>
      </c>
      <c r="AE83">
        <v>1725106</v>
      </c>
      <c r="AF83">
        <v>9021</v>
      </c>
      <c r="AG83">
        <v>1346</v>
      </c>
      <c r="AH83">
        <v>436</v>
      </c>
      <c r="AI83">
        <v>952530</v>
      </c>
      <c r="AJ83">
        <v>11177551</v>
      </c>
      <c r="AK83">
        <v>7733</v>
      </c>
      <c r="AL83">
        <v>769</v>
      </c>
      <c r="AM83">
        <v>20634226</v>
      </c>
      <c r="AN83">
        <v>13239503</v>
      </c>
      <c r="AP83">
        <v>2870133</v>
      </c>
      <c r="AQ83">
        <v>40739823</v>
      </c>
      <c r="AR83">
        <v>1496672</v>
      </c>
      <c r="AS83">
        <v>1304470</v>
      </c>
      <c r="AT83">
        <v>6285943</v>
      </c>
      <c r="AU83">
        <v>18718302</v>
      </c>
      <c r="AV83">
        <v>57569</v>
      </c>
      <c r="AX83">
        <v>3258267</v>
      </c>
      <c r="AY83">
        <v>2633371</v>
      </c>
      <c r="AZ83">
        <v>3944305</v>
      </c>
      <c r="BA83">
        <v>0</v>
      </c>
      <c r="BB83">
        <v>1730659</v>
      </c>
      <c r="BD83">
        <v>3352</v>
      </c>
      <c r="BE83">
        <v>70962645</v>
      </c>
      <c r="BF83">
        <v>36702</v>
      </c>
      <c r="BG83">
        <v>1857</v>
      </c>
      <c r="BH83">
        <v>6982861</v>
      </c>
      <c r="BI83">
        <v>1294784</v>
      </c>
      <c r="BJ83">
        <v>245456</v>
      </c>
      <c r="BK83">
        <v>4091608</v>
      </c>
      <c r="BL83">
        <v>3864944</v>
      </c>
      <c r="BM83">
        <v>0</v>
      </c>
      <c r="BN83">
        <v>5377467</v>
      </c>
      <c r="BO83">
        <v>777412</v>
      </c>
      <c r="BP83">
        <v>272388</v>
      </c>
      <c r="BQ83">
        <v>878039</v>
      </c>
      <c r="BR83">
        <v>1590670</v>
      </c>
      <c r="BS83">
        <v>17388355</v>
      </c>
      <c r="BT83">
        <v>1288723</v>
      </c>
      <c r="BU83">
        <v>5248533</v>
      </c>
      <c r="BV83">
        <v>465518</v>
      </c>
      <c r="BW83">
        <v>61417</v>
      </c>
      <c r="BX83">
        <v>0</v>
      </c>
      <c r="BY83">
        <v>0</v>
      </c>
      <c r="BZ83">
        <v>25868243</v>
      </c>
      <c r="CA83">
        <v>31005</v>
      </c>
    </row>
    <row r="84" spans="1:79" x14ac:dyDescent="0.3">
      <c r="A84" s="155">
        <v>339</v>
      </c>
      <c r="B84" t="s">
        <v>181</v>
      </c>
      <c r="D84">
        <v>102543</v>
      </c>
      <c r="E84">
        <v>453677</v>
      </c>
      <c r="F84">
        <v>7292</v>
      </c>
      <c r="G84">
        <v>1609752</v>
      </c>
      <c r="H84">
        <v>1348834</v>
      </c>
      <c r="I84">
        <v>12630</v>
      </c>
      <c r="J84">
        <v>1280</v>
      </c>
      <c r="K84">
        <v>180687</v>
      </c>
      <c r="L84">
        <v>775878</v>
      </c>
      <c r="M84">
        <v>0</v>
      </c>
      <c r="N84">
        <v>153965</v>
      </c>
      <c r="O84">
        <v>184030</v>
      </c>
      <c r="P84">
        <v>3126005</v>
      </c>
      <c r="Q84">
        <v>556719</v>
      </c>
      <c r="R84">
        <v>432634</v>
      </c>
      <c r="S84">
        <v>2503870</v>
      </c>
      <c r="U84">
        <v>3818444</v>
      </c>
      <c r="V84">
        <v>0</v>
      </c>
      <c r="W84">
        <v>146070</v>
      </c>
      <c r="X84">
        <v>3124808</v>
      </c>
      <c r="Y84">
        <v>1812547</v>
      </c>
      <c r="Z84">
        <v>584320</v>
      </c>
      <c r="AA84">
        <v>1346503</v>
      </c>
      <c r="AB84">
        <v>75555</v>
      </c>
      <c r="AC84">
        <v>0</v>
      </c>
      <c r="AD84">
        <v>78744</v>
      </c>
      <c r="AE84">
        <v>439451</v>
      </c>
      <c r="AF84">
        <v>0</v>
      </c>
      <c r="AG84">
        <v>0</v>
      </c>
      <c r="AH84">
        <v>0</v>
      </c>
      <c r="AI84">
        <v>3238</v>
      </c>
      <c r="AJ84">
        <v>327287</v>
      </c>
      <c r="AK84">
        <v>0</v>
      </c>
      <c r="AL84">
        <v>0</v>
      </c>
      <c r="AM84">
        <v>5517518</v>
      </c>
      <c r="AN84">
        <v>1651680</v>
      </c>
      <c r="AP84">
        <v>11755</v>
      </c>
      <c r="AQ84">
        <v>2267165</v>
      </c>
      <c r="AR84">
        <v>311229</v>
      </c>
      <c r="AS84">
        <v>28487</v>
      </c>
      <c r="AT84">
        <v>713470</v>
      </c>
      <c r="AU84">
        <v>104696</v>
      </c>
      <c r="AV84">
        <v>14240</v>
      </c>
      <c r="AX84">
        <v>46865</v>
      </c>
      <c r="AY84">
        <v>366851</v>
      </c>
      <c r="AZ84">
        <v>449594</v>
      </c>
      <c r="BA84">
        <v>11738</v>
      </c>
      <c r="BB84">
        <v>170080</v>
      </c>
      <c r="BD84">
        <v>0</v>
      </c>
      <c r="BE84">
        <v>1357256</v>
      </c>
      <c r="BF84">
        <v>82417</v>
      </c>
      <c r="BG84">
        <v>5401</v>
      </c>
      <c r="BH84">
        <v>198465</v>
      </c>
      <c r="BI84">
        <v>177930</v>
      </c>
      <c r="BJ84">
        <v>117814</v>
      </c>
      <c r="BK84">
        <v>306661</v>
      </c>
      <c r="BL84">
        <v>250866</v>
      </c>
      <c r="BM84">
        <v>0</v>
      </c>
      <c r="BN84">
        <v>1653151</v>
      </c>
      <c r="BO84">
        <v>35368</v>
      </c>
      <c r="BP84">
        <v>7468</v>
      </c>
      <c r="BQ84">
        <v>309065</v>
      </c>
      <c r="BR84">
        <v>96802</v>
      </c>
      <c r="BS84">
        <v>2101876</v>
      </c>
      <c r="BT84">
        <v>256225</v>
      </c>
      <c r="BU84">
        <v>283986</v>
      </c>
      <c r="BV84">
        <v>157776</v>
      </c>
      <c r="BW84">
        <v>1800</v>
      </c>
      <c r="BX84">
        <v>0</v>
      </c>
      <c r="BY84">
        <v>0</v>
      </c>
      <c r="BZ84">
        <v>2041900</v>
      </c>
      <c r="CA84">
        <v>8491</v>
      </c>
    </row>
    <row r="85" spans="1:79" x14ac:dyDescent="0.3">
      <c r="A85" s="155">
        <v>341</v>
      </c>
      <c r="B85" t="s">
        <v>923</v>
      </c>
      <c r="D85">
        <v>2907191</v>
      </c>
      <c r="E85">
        <v>13305549</v>
      </c>
      <c r="F85">
        <v>363770</v>
      </c>
      <c r="G85">
        <v>44638167</v>
      </c>
      <c r="H85">
        <v>3692677</v>
      </c>
      <c r="I85">
        <v>247181</v>
      </c>
      <c r="J85">
        <v>1459561</v>
      </c>
      <c r="K85">
        <v>1868695</v>
      </c>
      <c r="L85">
        <v>49038270</v>
      </c>
      <c r="M85">
        <v>110907</v>
      </c>
      <c r="N85">
        <v>770053</v>
      </c>
      <c r="O85">
        <v>1581809</v>
      </c>
      <c r="P85">
        <v>30696065</v>
      </c>
      <c r="Q85">
        <v>20899092</v>
      </c>
      <c r="R85">
        <v>5103827</v>
      </c>
      <c r="S85">
        <v>13255111</v>
      </c>
      <c r="U85">
        <v>23820421</v>
      </c>
      <c r="V85">
        <v>23403</v>
      </c>
      <c r="W85">
        <v>10327884</v>
      </c>
      <c r="X85">
        <v>16424876</v>
      </c>
      <c r="Y85">
        <v>4734712</v>
      </c>
      <c r="Z85">
        <v>1209589</v>
      </c>
      <c r="AA85">
        <v>5094974</v>
      </c>
      <c r="AB85">
        <v>1182854</v>
      </c>
      <c r="AC85">
        <v>310942</v>
      </c>
      <c r="AD85">
        <v>1115714</v>
      </c>
      <c r="AE85">
        <v>3217766</v>
      </c>
      <c r="AF85">
        <v>127181</v>
      </c>
      <c r="AG85">
        <v>50382</v>
      </c>
      <c r="AH85">
        <v>75879</v>
      </c>
      <c r="AI85">
        <v>3008261</v>
      </c>
      <c r="AJ85">
        <v>6770502</v>
      </c>
      <c r="AK85">
        <v>176845</v>
      </c>
      <c r="AL85">
        <v>31614</v>
      </c>
      <c r="AM85">
        <v>16514969</v>
      </c>
      <c r="AN85">
        <v>18198606</v>
      </c>
      <c r="AP85">
        <v>4469883</v>
      </c>
      <c r="AQ85">
        <v>19694684</v>
      </c>
      <c r="AR85">
        <v>2669350</v>
      </c>
      <c r="AS85">
        <v>630379</v>
      </c>
      <c r="AT85">
        <v>3869315</v>
      </c>
      <c r="AU85">
        <v>11131279</v>
      </c>
      <c r="AV85">
        <v>76344</v>
      </c>
      <c r="AX85">
        <v>3729017</v>
      </c>
      <c r="AY85">
        <v>3731437</v>
      </c>
      <c r="AZ85">
        <v>3131211</v>
      </c>
      <c r="BA85">
        <v>75300</v>
      </c>
      <c r="BB85">
        <v>2674191</v>
      </c>
      <c r="BD85">
        <v>73972</v>
      </c>
      <c r="BE85">
        <v>21528968</v>
      </c>
      <c r="BF85">
        <v>213641</v>
      </c>
      <c r="BG85">
        <v>76336</v>
      </c>
      <c r="BH85">
        <v>3172375</v>
      </c>
      <c r="BI85">
        <v>2776688</v>
      </c>
      <c r="BJ85">
        <v>591521</v>
      </c>
      <c r="BK85">
        <v>8733455</v>
      </c>
      <c r="BL85">
        <v>5165619</v>
      </c>
      <c r="BM85">
        <v>60803</v>
      </c>
      <c r="BN85">
        <v>5470282</v>
      </c>
      <c r="BO85">
        <v>2355063</v>
      </c>
      <c r="BP85">
        <v>1070502</v>
      </c>
      <c r="BQ85">
        <v>1751046</v>
      </c>
      <c r="BR85">
        <v>1314286</v>
      </c>
      <c r="BS85">
        <v>22052245</v>
      </c>
      <c r="BT85">
        <v>1849827</v>
      </c>
      <c r="BU85">
        <v>2548607</v>
      </c>
      <c r="BV85">
        <v>601727</v>
      </c>
      <c r="BW85">
        <v>972663</v>
      </c>
      <c r="BX85">
        <v>39474</v>
      </c>
      <c r="BY85">
        <v>45736</v>
      </c>
      <c r="BZ85">
        <v>17921761</v>
      </c>
      <c r="CA85">
        <v>63904</v>
      </c>
    </row>
    <row r="86" spans="1:79" x14ac:dyDescent="0.3">
      <c r="A86" s="155">
        <v>343</v>
      </c>
      <c r="B86" t="s">
        <v>246</v>
      </c>
      <c r="D86">
        <v>53105</v>
      </c>
      <c r="E86">
        <v>1115322</v>
      </c>
      <c r="F86">
        <v>5079</v>
      </c>
      <c r="G86">
        <v>3610734</v>
      </c>
      <c r="H86">
        <v>153242</v>
      </c>
      <c r="I86">
        <v>0</v>
      </c>
      <c r="J86">
        <v>0</v>
      </c>
      <c r="K86">
        <v>54398</v>
      </c>
      <c r="L86">
        <v>5428251</v>
      </c>
      <c r="M86">
        <v>0</v>
      </c>
      <c r="N86">
        <v>32354</v>
      </c>
      <c r="O86">
        <v>85958</v>
      </c>
      <c r="P86">
        <v>3739158</v>
      </c>
      <c r="Q86">
        <v>1467512</v>
      </c>
      <c r="R86">
        <v>476316</v>
      </c>
      <c r="S86">
        <v>633377</v>
      </c>
      <c r="U86">
        <v>1072332</v>
      </c>
      <c r="V86">
        <v>0</v>
      </c>
      <c r="W86">
        <v>0</v>
      </c>
      <c r="X86">
        <v>1453808</v>
      </c>
      <c r="Y86">
        <v>615269</v>
      </c>
      <c r="Z86">
        <v>23268</v>
      </c>
      <c r="AA86">
        <v>233597</v>
      </c>
      <c r="AB86">
        <v>0</v>
      </c>
      <c r="AC86">
        <v>23245</v>
      </c>
      <c r="AD86">
        <v>22593</v>
      </c>
      <c r="AE86">
        <v>832279</v>
      </c>
      <c r="AF86">
        <v>0</v>
      </c>
      <c r="AG86">
        <v>0</v>
      </c>
      <c r="AH86">
        <v>0</v>
      </c>
      <c r="AI86">
        <v>10061</v>
      </c>
      <c r="AJ86">
        <v>448703</v>
      </c>
      <c r="AK86">
        <v>0</v>
      </c>
      <c r="AL86">
        <v>0</v>
      </c>
      <c r="AM86">
        <v>0</v>
      </c>
      <c r="AN86">
        <v>215543</v>
      </c>
      <c r="AP86">
        <v>466672</v>
      </c>
      <c r="AQ86">
        <v>918074</v>
      </c>
      <c r="AR86">
        <v>46153</v>
      </c>
      <c r="AS86">
        <v>134806</v>
      </c>
      <c r="AT86">
        <v>216307</v>
      </c>
      <c r="AU86">
        <v>402400</v>
      </c>
      <c r="AV86">
        <v>0</v>
      </c>
      <c r="AX86">
        <v>0</v>
      </c>
      <c r="AY86">
        <v>94162</v>
      </c>
      <c r="AZ86">
        <v>229979</v>
      </c>
      <c r="BA86">
        <v>0</v>
      </c>
      <c r="BB86">
        <v>81121</v>
      </c>
      <c r="BD86">
        <v>0</v>
      </c>
      <c r="BE86">
        <v>1159063</v>
      </c>
      <c r="BF86">
        <v>0</v>
      </c>
      <c r="BG86">
        <v>0</v>
      </c>
      <c r="BH86">
        <v>15833</v>
      </c>
      <c r="BI86">
        <v>0</v>
      </c>
      <c r="BJ86">
        <v>20000</v>
      </c>
      <c r="BK86">
        <v>236115</v>
      </c>
      <c r="BL86">
        <v>0</v>
      </c>
      <c r="BM86">
        <v>0</v>
      </c>
      <c r="BN86">
        <v>242182</v>
      </c>
      <c r="BO86">
        <v>0</v>
      </c>
      <c r="BP86">
        <v>0</v>
      </c>
      <c r="BQ86">
        <v>0</v>
      </c>
      <c r="BR86">
        <v>0</v>
      </c>
      <c r="BS86">
        <v>1152491</v>
      </c>
      <c r="BT86">
        <v>42171</v>
      </c>
      <c r="BU86">
        <v>44583</v>
      </c>
      <c r="BV86">
        <v>76876</v>
      </c>
      <c r="BW86">
        <v>0</v>
      </c>
      <c r="BX86">
        <v>0</v>
      </c>
      <c r="BY86">
        <v>0</v>
      </c>
      <c r="BZ86">
        <v>1239573</v>
      </c>
      <c r="CA86">
        <v>22640</v>
      </c>
    </row>
    <row r="87" spans="1:79" x14ac:dyDescent="0.3">
      <c r="A87" s="155">
        <v>344</v>
      </c>
      <c r="B87" t="s">
        <v>179</v>
      </c>
      <c r="D87">
        <v>10400</v>
      </c>
      <c r="E87">
        <v>301337</v>
      </c>
      <c r="F87">
        <v>884</v>
      </c>
      <c r="G87">
        <v>400276</v>
      </c>
      <c r="H87">
        <v>18757</v>
      </c>
      <c r="I87">
        <v>0</v>
      </c>
      <c r="J87">
        <v>0</v>
      </c>
      <c r="K87">
        <v>51968</v>
      </c>
      <c r="L87">
        <v>1683114</v>
      </c>
      <c r="M87">
        <v>0</v>
      </c>
      <c r="N87">
        <v>3191</v>
      </c>
      <c r="O87">
        <v>18487</v>
      </c>
      <c r="P87">
        <v>484285</v>
      </c>
      <c r="Q87">
        <v>274957</v>
      </c>
      <c r="R87">
        <v>54802</v>
      </c>
      <c r="S87">
        <v>58363</v>
      </c>
      <c r="U87">
        <v>455300</v>
      </c>
      <c r="V87">
        <v>0</v>
      </c>
      <c r="W87">
        <v>56994</v>
      </c>
      <c r="X87">
        <v>288544</v>
      </c>
      <c r="Y87">
        <v>141809</v>
      </c>
      <c r="Z87">
        <v>2210</v>
      </c>
      <c r="AA87">
        <v>40819</v>
      </c>
      <c r="AB87">
        <v>0</v>
      </c>
      <c r="AC87">
        <v>0</v>
      </c>
      <c r="AD87">
        <v>1167</v>
      </c>
      <c r="AE87">
        <v>62288</v>
      </c>
      <c r="AF87">
        <v>0</v>
      </c>
      <c r="AG87">
        <v>0</v>
      </c>
      <c r="AH87">
        <v>0</v>
      </c>
      <c r="AI87">
        <v>1840</v>
      </c>
      <c r="AJ87">
        <v>134206</v>
      </c>
      <c r="AK87">
        <v>0</v>
      </c>
      <c r="AL87">
        <v>0</v>
      </c>
      <c r="AM87">
        <v>321318</v>
      </c>
      <c r="AN87">
        <v>1603</v>
      </c>
      <c r="AP87">
        <v>32342</v>
      </c>
      <c r="AQ87">
        <v>176099</v>
      </c>
      <c r="AR87">
        <v>11034</v>
      </c>
      <c r="AS87">
        <v>22912</v>
      </c>
      <c r="AT87">
        <v>93970</v>
      </c>
      <c r="AU87">
        <v>45071</v>
      </c>
      <c r="AV87">
        <v>0</v>
      </c>
      <c r="AX87">
        <v>51523</v>
      </c>
      <c r="AY87">
        <v>27133</v>
      </c>
      <c r="AZ87">
        <v>23708</v>
      </c>
      <c r="BA87">
        <v>0</v>
      </c>
      <c r="BB87">
        <v>4161</v>
      </c>
      <c r="BD87">
        <v>0</v>
      </c>
      <c r="BE87">
        <v>555211</v>
      </c>
      <c r="BF87">
        <v>0</v>
      </c>
      <c r="BG87">
        <v>0</v>
      </c>
      <c r="BH87">
        <v>2266</v>
      </c>
      <c r="BI87">
        <v>0</v>
      </c>
      <c r="BJ87">
        <v>5264</v>
      </c>
      <c r="BK87">
        <v>48017</v>
      </c>
      <c r="BL87">
        <v>6644</v>
      </c>
      <c r="BM87">
        <v>0</v>
      </c>
      <c r="BN87">
        <v>38354</v>
      </c>
      <c r="BO87">
        <v>0</v>
      </c>
      <c r="BP87">
        <v>0</v>
      </c>
      <c r="BQ87">
        <v>0</v>
      </c>
      <c r="BR87">
        <v>0</v>
      </c>
      <c r="BS87">
        <v>178194</v>
      </c>
      <c r="BT87">
        <v>21136</v>
      </c>
      <c r="BU87">
        <v>5954</v>
      </c>
      <c r="BV87">
        <v>1711</v>
      </c>
      <c r="BW87">
        <v>0</v>
      </c>
      <c r="BX87">
        <v>0</v>
      </c>
      <c r="BY87">
        <v>0</v>
      </c>
      <c r="BZ87">
        <v>200005</v>
      </c>
      <c r="CA87">
        <v>1608</v>
      </c>
    </row>
    <row r="88" spans="1:79" x14ac:dyDescent="0.3">
      <c r="A88" s="155">
        <v>349</v>
      </c>
      <c r="B88" t="s">
        <v>114</v>
      </c>
      <c r="D88">
        <v>0</v>
      </c>
      <c r="E88">
        <v>0</v>
      </c>
      <c r="F88">
        <v>73281</v>
      </c>
      <c r="G88">
        <v>63626453</v>
      </c>
      <c r="H88">
        <v>2016991</v>
      </c>
      <c r="I88">
        <v>409943</v>
      </c>
      <c r="J88">
        <v>243611</v>
      </c>
      <c r="K88">
        <v>3171774</v>
      </c>
      <c r="L88">
        <v>69736092</v>
      </c>
      <c r="M88">
        <v>0</v>
      </c>
      <c r="N88">
        <v>946021</v>
      </c>
      <c r="O88">
        <v>1386294</v>
      </c>
      <c r="P88">
        <v>0</v>
      </c>
      <c r="Q88">
        <v>2945544</v>
      </c>
      <c r="R88">
        <v>11919618</v>
      </c>
      <c r="S88">
        <v>26067184</v>
      </c>
      <c r="U88">
        <v>14627863</v>
      </c>
      <c r="V88">
        <v>0</v>
      </c>
      <c r="W88">
        <v>0</v>
      </c>
      <c r="X88">
        <v>146659</v>
      </c>
      <c r="Y88">
        <v>3260194</v>
      </c>
      <c r="Z88">
        <v>777129</v>
      </c>
      <c r="AA88">
        <v>1391457</v>
      </c>
      <c r="AB88">
        <v>0</v>
      </c>
      <c r="AC88">
        <v>192581</v>
      </c>
      <c r="AD88">
        <v>1636409</v>
      </c>
      <c r="AE88">
        <v>5058934</v>
      </c>
      <c r="AF88">
        <v>6593</v>
      </c>
      <c r="AG88">
        <v>0</v>
      </c>
      <c r="AH88">
        <v>0</v>
      </c>
      <c r="AI88">
        <v>60662</v>
      </c>
      <c r="AJ88">
        <v>5617913</v>
      </c>
      <c r="AK88">
        <v>55614</v>
      </c>
      <c r="AL88">
        <v>0</v>
      </c>
      <c r="AM88">
        <v>0</v>
      </c>
      <c r="AN88">
        <v>25408893</v>
      </c>
      <c r="AP88">
        <v>0</v>
      </c>
      <c r="AQ88">
        <v>4601616</v>
      </c>
      <c r="AR88">
        <v>328127</v>
      </c>
      <c r="AS88">
        <v>449274</v>
      </c>
      <c r="AT88">
        <v>591026</v>
      </c>
      <c r="AU88">
        <v>7018978</v>
      </c>
      <c r="AV88">
        <v>228089</v>
      </c>
      <c r="AX88">
        <v>216695</v>
      </c>
      <c r="AY88">
        <v>609918</v>
      </c>
      <c r="AZ88">
        <v>4487549</v>
      </c>
      <c r="BA88">
        <v>31298</v>
      </c>
      <c r="BB88">
        <v>892606</v>
      </c>
      <c r="BD88">
        <v>0</v>
      </c>
      <c r="BE88">
        <v>14806975</v>
      </c>
      <c r="BF88">
        <v>171098</v>
      </c>
      <c r="BG88">
        <v>0</v>
      </c>
      <c r="BH88">
        <v>2029370</v>
      </c>
      <c r="BI88">
        <v>1326612</v>
      </c>
      <c r="BJ88">
        <v>273990</v>
      </c>
      <c r="BK88">
        <v>1011574</v>
      </c>
      <c r="BL88">
        <v>1597001</v>
      </c>
      <c r="BM88">
        <v>0</v>
      </c>
      <c r="BN88">
        <v>1983122</v>
      </c>
      <c r="BO88">
        <v>878456</v>
      </c>
      <c r="BP88">
        <v>771178</v>
      </c>
      <c r="BQ88">
        <v>1331402</v>
      </c>
      <c r="BR88">
        <v>0</v>
      </c>
      <c r="BS88">
        <v>0</v>
      </c>
      <c r="BT88">
        <v>449087</v>
      </c>
      <c r="BU88">
        <v>4893911</v>
      </c>
      <c r="BV88">
        <v>1276814</v>
      </c>
      <c r="BW88">
        <v>521908</v>
      </c>
      <c r="BX88">
        <v>0</v>
      </c>
      <c r="BY88">
        <v>0</v>
      </c>
      <c r="BZ88">
        <v>10229357</v>
      </c>
      <c r="CA88">
        <v>0</v>
      </c>
    </row>
    <row r="89" spans="1:79" x14ac:dyDescent="0.3">
      <c r="A89" s="155">
        <v>350</v>
      </c>
      <c r="B89" t="s">
        <v>924</v>
      </c>
      <c r="D89">
        <v>0</v>
      </c>
      <c r="E89">
        <v>0</v>
      </c>
      <c r="F89">
        <v>215</v>
      </c>
      <c r="G89">
        <v>695600</v>
      </c>
      <c r="H89">
        <v>22507</v>
      </c>
      <c r="I89">
        <v>93</v>
      </c>
      <c r="J89">
        <v>20154</v>
      </c>
      <c r="K89">
        <v>347</v>
      </c>
      <c r="L89">
        <v>2698</v>
      </c>
      <c r="M89">
        <v>0</v>
      </c>
      <c r="N89">
        <v>15407</v>
      </c>
      <c r="O89">
        <v>116</v>
      </c>
      <c r="P89">
        <v>0</v>
      </c>
      <c r="Q89">
        <v>-63772</v>
      </c>
      <c r="R89">
        <v>8862</v>
      </c>
      <c r="S89">
        <v>338479</v>
      </c>
      <c r="U89">
        <v>0</v>
      </c>
      <c r="V89">
        <v>0</v>
      </c>
      <c r="W89">
        <v>0</v>
      </c>
      <c r="X89">
        <v>6660</v>
      </c>
      <c r="Y89">
        <v>43933</v>
      </c>
      <c r="Z89">
        <v>148989</v>
      </c>
      <c r="AA89">
        <v>749</v>
      </c>
      <c r="AB89">
        <v>0</v>
      </c>
      <c r="AC89">
        <v>59</v>
      </c>
      <c r="AD89">
        <v>34269</v>
      </c>
      <c r="AE89">
        <v>1699</v>
      </c>
      <c r="AF89">
        <v>0</v>
      </c>
      <c r="AG89">
        <v>0</v>
      </c>
      <c r="AH89">
        <v>0</v>
      </c>
      <c r="AI89">
        <v>14290</v>
      </c>
      <c r="AJ89">
        <v>0</v>
      </c>
      <c r="AK89">
        <v>2613</v>
      </c>
      <c r="AL89">
        <v>0</v>
      </c>
      <c r="AM89">
        <v>3360</v>
      </c>
      <c r="AN89">
        <v>1408</v>
      </c>
      <c r="AP89">
        <v>0</v>
      </c>
      <c r="AQ89">
        <v>59748</v>
      </c>
      <c r="AR89">
        <v>204763</v>
      </c>
      <c r="AS89">
        <v>0</v>
      </c>
      <c r="AT89">
        <v>13295</v>
      </c>
      <c r="AU89">
        <v>62574</v>
      </c>
      <c r="AV89">
        <v>1184</v>
      </c>
      <c r="AX89">
        <v>0</v>
      </c>
      <c r="AY89">
        <v>312</v>
      </c>
      <c r="AZ89">
        <v>44069</v>
      </c>
      <c r="BA89">
        <v>1244</v>
      </c>
      <c r="BB89">
        <v>5</v>
      </c>
      <c r="BD89">
        <v>0</v>
      </c>
      <c r="BE89">
        <v>500543</v>
      </c>
      <c r="BF89">
        <v>0</v>
      </c>
      <c r="BG89">
        <v>0</v>
      </c>
      <c r="BH89">
        <v>3126</v>
      </c>
      <c r="BI89">
        <v>20973</v>
      </c>
      <c r="BJ89">
        <v>5272</v>
      </c>
      <c r="BK89">
        <v>2102</v>
      </c>
      <c r="BL89">
        <v>113186</v>
      </c>
      <c r="BM89">
        <v>0</v>
      </c>
      <c r="BN89">
        <v>131480</v>
      </c>
      <c r="BO89">
        <v>629</v>
      </c>
      <c r="BP89">
        <v>0</v>
      </c>
      <c r="BQ89">
        <v>79728</v>
      </c>
      <c r="BR89">
        <v>0</v>
      </c>
      <c r="BS89">
        <v>0</v>
      </c>
      <c r="BT89">
        <v>2824</v>
      </c>
      <c r="BU89">
        <v>37225</v>
      </c>
      <c r="BV89">
        <v>136796</v>
      </c>
      <c r="BW89">
        <v>8370</v>
      </c>
      <c r="BX89">
        <v>0</v>
      </c>
      <c r="BY89">
        <v>0</v>
      </c>
      <c r="BZ89">
        <v>28073</v>
      </c>
      <c r="CA89">
        <v>0</v>
      </c>
    </row>
    <row r="90" spans="1:79" x14ac:dyDescent="0.3">
      <c r="A90" s="155">
        <v>351</v>
      </c>
      <c r="B90" t="s">
        <v>223</v>
      </c>
      <c r="D90">
        <v>0</v>
      </c>
      <c r="E90">
        <v>0</v>
      </c>
      <c r="F90">
        <v>458</v>
      </c>
      <c r="G90">
        <v>1837110</v>
      </c>
      <c r="H90">
        <v>76989</v>
      </c>
      <c r="I90">
        <v>0</v>
      </c>
      <c r="J90">
        <v>0</v>
      </c>
      <c r="K90">
        <v>68207</v>
      </c>
      <c r="L90">
        <v>1839075</v>
      </c>
      <c r="M90">
        <v>0</v>
      </c>
      <c r="N90">
        <v>78</v>
      </c>
      <c r="O90">
        <v>10937</v>
      </c>
      <c r="P90">
        <v>0</v>
      </c>
      <c r="Q90">
        <v>0</v>
      </c>
      <c r="R90">
        <v>41290</v>
      </c>
      <c r="S90">
        <v>5516</v>
      </c>
      <c r="U90">
        <v>127560</v>
      </c>
      <c r="V90">
        <v>0</v>
      </c>
      <c r="W90">
        <v>0</v>
      </c>
      <c r="X90">
        <v>6527</v>
      </c>
      <c r="Y90">
        <v>62329</v>
      </c>
      <c r="Z90">
        <v>13467</v>
      </c>
      <c r="AA90">
        <v>7738</v>
      </c>
      <c r="AB90">
        <v>0</v>
      </c>
      <c r="AC90">
        <v>2686</v>
      </c>
      <c r="AD90">
        <v>16874</v>
      </c>
      <c r="AE90">
        <v>193293</v>
      </c>
      <c r="AF90">
        <v>0</v>
      </c>
      <c r="AG90">
        <v>0</v>
      </c>
      <c r="AH90">
        <v>0</v>
      </c>
      <c r="AI90">
        <v>1518241</v>
      </c>
      <c r="AJ90">
        <v>121133</v>
      </c>
      <c r="AK90">
        <v>0</v>
      </c>
      <c r="AL90">
        <v>0</v>
      </c>
      <c r="AM90">
        <v>54386826</v>
      </c>
      <c r="AN90">
        <v>200025</v>
      </c>
      <c r="AP90">
        <v>0</v>
      </c>
      <c r="AQ90">
        <v>17827</v>
      </c>
      <c r="AR90">
        <v>0</v>
      </c>
      <c r="AS90">
        <v>6655</v>
      </c>
      <c r="AT90">
        <v>0</v>
      </c>
      <c r="AU90">
        <v>132043</v>
      </c>
      <c r="AV90">
        <v>2714</v>
      </c>
      <c r="AX90">
        <v>0</v>
      </c>
      <c r="AY90">
        <v>9393</v>
      </c>
      <c r="AZ90">
        <v>98188</v>
      </c>
      <c r="BA90">
        <v>0</v>
      </c>
      <c r="BB90">
        <v>10672</v>
      </c>
      <c r="BD90">
        <v>0</v>
      </c>
      <c r="BE90">
        <v>25637</v>
      </c>
      <c r="BF90">
        <v>0</v>
      </c>
      <c r="BG90">
        <v>0</v>
      </c>
      <c r="BH90">
        <v>41127</v>
      </c>
      <c r="BI90">
        <v>27377</v>
      </c>
      <c r="BJ90">
        <v>0</v>
      </c>
      <c r="BK90">
        <v>0</v>
      </c>
      <c r="BL90">
        <v>6644</v>
      </c>
      <c r="BM90">
        <v>0</v>
      </c>
      <c r="BN90">
        <v>13656</v>
      </c>
      <c r="BO90">
        <v>21225</v>
      </c>
      <c r="BP90">
        <v>38662</v>
      </c>
      <c r="BQ90">
        <v>113563</v>
      </c>
      <c r="BR90">
        <v>0</v>
      </c>
      <c r="BS90">
        <v>0</v>
      </c>
      <c r="BT90">
        <v>5039</v>
      </c>
      <c r="BU90">
        <v>41456</v>
      </c>
      <c r="BV90">
        <v>0</v>
      </c>
      <c r="BW90">
        <v>0</v>
      </c>
      <c r="BX90">
        <v>0</v>
      </c>
      <c r="BY90">
        <v>0</v>
      </c>
      <c r="BZ90">
        <v>184797</v>
      </c>
      <c r="CA90">
        <v>0</v>
      </c>
    </row>
    <row r="91" spans="1:79" x14ac:dyDescent="0.3">
      <c r="A91" s="155">
        <v>352</v>
      </c>
      <c r="B91" t="s">
        <v>225</v>
      </c>
      <c r="D91">
        <v>0</v>
      </c>
      <c r="E91">
        <v>0</v>
      </c>
      <c r="F91">
        <v>0</v>
      </c>
      <c r="G91">
        <v>276977</v>
      </c>
      <c r="H91">
        <v>0</v>
      </c>
      <c r="I91">
        <v>0</v>
      </c>
      <c r="J91">
        <v>200000</v>
      </c>
      <c r="K91">
        <v>0</v>
      </c>
      <c r="L91">
        <v>0</v>
      </c>
      <c r="M91">
        <v>0</v>
      </c>
      <c r="N91">
        <v>0</v>
      </c>
      <c r="O91">
        <v>0</v>
      </c>
      <c r="P91">
        <v>0</v>
      </c>
      <c r="Q91">
        <v>0</v>
      </c>
      <c r="R91">
        <v>0</v>
      </c>
      <c r="S91">
        <v>0</v>
      </c>
      <c r="U91">
        <v>1100491</v>
      </c>
      <c r="V91">
        <v>0</v>
      </c>
      <c r="W91">
        <v>0</v>
      </c>
      <c r="X91">
        <v>0</v>
      </c>
      <c r="Y91">
        <v>0</v>
      </c>
      <c r="Z91">
        <v>0</v>
      </c>
      <c r="AA91">
        <v>0</v>
      </c>
      <c r="AB91">
        <v>0</v>
      </c>
      <c r="AC91">
        <v>0</v>
      </c>
      <c r="AD91">
        <v>0</v>
      </c>
      <c r="AE91">
        <v>599743</v>
      </c>
      <c r="AF91">
        <v>0</v>
      </c>
      <c r="AG91">
        <v>0</v>
      </c>
      <c r="AH91">
        <v>0</v>
      </c>
      <c r="AI91">
        <v>0</v>
      </c>
      <c r="AJ91">
        <v>633542</v>
      </c>
      <c r="AK91">
        <v>0</v>
      </c>
      <c r="AL91">
        <v>0</v>
      </c>
      <c r="AM91">
        <v>21187205</v>
      </c>
      <c r="AN91">
        <v>0</v>
      </c>
      <c r="AP91">
        <v>0</v>
      </c>
      <c r="AQ91">
        <v>0</v>
      </c>
      <c r="AR91">
        <v>0</v>
      </c>
      <c r="AS91">
        <v>10655</v>
      </c>
      <c r="AT91">
        <v>0</v>
      </c>
      <c r="AU91">
        <v>0</v>
      </c>
      <c r="AV91">
        <v>0</v>
      </c>
      <c r="AX91">
        <v>0</v>
      </c>
      <c r="AY91">
        <v>0</v>
      </c>
      <c r="AZ91">
        <v>0</v>
      </c>
      <c r="BA91">
        <v>0</v>
      </c>
      <c r="BB91">
        <v>0</v>
      </c>
      <c r="BD91">
        <v>0</v>
      </c>
      <c r="BE91">
        <v>0</v>
      </c>
      <c r="BF91">
        <v>0</v>
      </c>
      <c r="BG91">
        <v>0</v>
      </c>
      <c r="BH91">
        <v>0</v>
      </c>
      <c r="BI91">
        <v>0</v>
      </c>
      <c r="BJ91">
        <v>0</v>
      </c>
      <c r="BK91">
        <v>0</v>
      </c>
      <c r="BL91">
        <v>0</v>
      </c>
      <c r="BM91">
        <v>0</v>
      </c>
      <c r="BN91">
        <v>0</v>
      </c>
      <c r="BO91">
        <v>0</v>
      </c>
      <c r="BP91">
        <v>0</v>
      </c>
      <c r="BQ91">
        <v>1510315</v>
      </c>
      <c r="BR91">
        <v>0</v>
      </c>
      <c r="BS91">
        <v>0</v>
      </c>
      <c r="BT91">
        <v>18446</v>
      </c>
      <c r="BU91">
        <v>7500</v>
      </c>
      <c r="BV91">
        <v>0</v>
      </c>
      <c r="BW91">
        <v>0</v>
      </c>
      <c r="BX91">
        <v>0</v>
      </c>
      <c r="BY91">
        <v>0</v>
      </c>
      <c r="BZ91">
        <v>0</v>
      </c>
      <c r="CA91">
        <v>0</v>
      </c>
    </row>
    <row r="92" spans="1:79" x14ac:dyDescent="0.3">
      <c r="A92" s="155">
        <v>353</v>
      </c>
      <c r="B92" t="s">
        <v>226</v>
      </c>
      <c r="D92">
        <v>0</v>
      </c>
      <c r="E92">
        <v>0</v>
      </c>
      <c r="F92">
        <v>0</v>
      </c>
      <c r="G92">
        <v>393801</v>
      </c>
      <c r="H92">
        <v>0</v>
      </c>
      <c r="I92">
        <v>0</v>
      </c>
      <c r="J92">
        <v>0</v>
      </c>
      <c r="K92">
        <v>10799</v>
      </c>
      <c r="L92">
        <v>495700</v>
      </c>
      <c r="M92">
        <v>0</v>
      </c>
      <c r="N92">
        <v>0</v>
      </c>
      <c r="O92">
        <v>0</v>
      </c>
      <c r="P92">
        <v>0</v>
      </c>
      <c r="Q92">
        <v>0</v>
      </c>
      <c r="R92">
        <v>0</v>
      </c>
      <c r="S92">
        <v>0</v>
      </c>
      <c r="U92">
        <v>1100491</v>
      </c>
      <c r="V92">
        <v>0</v>
      </c>
      <c r="W92">
        <v>0</v>
      </c>
      <c r="X92">
        <v>0</v>
      </c>
      <c r="Y92">
        <v>0</v>
      </c>
      <c r="Z92">
        <v>20000</v>
      </c>
      <c r="AA92">
        <v>0</v>
      </c>
      <c r="AB92">
        <v>0</v>
      </c>
      <c r="AC92">
        <v>0</v>
      </c>
      <c r="AD92">
        <v>0</v>
      </c>
      <c r="AE92">
        <v>120895</v>
      </c>
      <c r="AF92">
        <v>0</v>
      </c>
      <c r="AG92">
        <v>0</v>
      </c>
      <c r="AH92">
        <v>0</v>
      </c>
      <c r="AI92">
        <v>0</v>
      </c>
      <c r="AJ92">
        <v>1192486</v>
      </c>
      <c r="AK92">
        <v>0</v>
      </c>
      <c r="AL92">
        <v>0</v>
      </c>
      <c r="AM92">
        <v>22401212</v>
      </c>
      <c r="AN92">
        <v>0</v>
      </c>
      <c r="AP92">
        <v>0</v>
      </c>
      <c r="AQ92">
        <v>0</v>
      </c>
      <c r="AR92">
        <v>0</v>
      </c>
      <c r="AS92">
        <v>11742</v>
      </c>
      <c r="AT92">
        <v>0</v>
      </c>
      <c r="AU92">
        <v>389222</v>
      </c>
      <c r="AV92">
        <v>20000</v>
      </c>
      <c r="AX92">
        <v>0</v>
      </c>
      <c r="AY92">
        <v>60000</v>
      </c>
      <c r="AZ92">
        <v>415000</v>
      </c>
      <c r="BA92">
        <v>0</v>
      </c>
      <c r="BB92">
        <v>0</v>
      </c>
      <c r="BD92">
        <v>0</v>
      </c>
      <c r="BE92">
        <v>63565</v>
      </c>
      <c r="BF92">
        <v>0</v>
      </c>
      <c r="BG92">
        <v>0</v>
      </c>
      <c r="BH92">
        <v>0</v>
      </c>
      <c r="BI92">
        <v>0</v>
      </c>
      <c r="BJ92">
        <v>0</v>
      </c>
      <c r="BK92">
        <v>0</v>
      </c>
      <c r="BL92">
        <v>0</v>
      </c>
      <c r="BM92">
        <v>0</v>
      </c>
      <c r="BN92">
        <v>173000</v>
      </c>
      <c r="BO92">
        <v>0</v>
      </c>
      <c r="BP92">
        <v>0</v>
      </c>
      <c r="BQ92">
        <v>0</v>
      </c>
      <c r="BR92">
        <v>0</v>
      </c>
      <c r="BS92">
        <v>0</v>
      </c>
      <c r="BT92">
        <v>0</v>
      </c>
      <c r="BU92">
        <v>0</v>
      </c>
      <c r="BV92">
        <v>0</v>
      </c>
      <c r="BW92">
        <v>0</v>
      </c>
      <c r="BX92">
        <v>0</v>
      </c>
      <c r="BY92">
        <v>0</v>
      </c>
      <c r="BZ92">
        <v>0</v>
      </c>
      <c r="CA92">
        <v>0</v>
      </c>
    </row>
    <row r="93" spans="1:79" x14ac:dyDescent="0.3">
      <c r="A93" s="155">
        <v>356</v>
      </c>
      <c r="B93" t="s">
        <v>307</v>
      </c>
      <c r="D93">
        <v>0</v>
      </c>
      <c r="E93">
        <v>0</v>
      </c>
      <c r="F93">
        <v>0</v>
      </c>
      <c r="G93">
        <v>0</v>
      </c>
      <c r="H93">
        <v>0</v>
      </c>
      <c r="I93">
        <v>0</v>
      </c>
      <c r="J93">
        <v>0</v>
      </c>
      <c r="K93">
        <v>0</v>
      </c>
      <c r="L93">
        <v>0</v>
      </c>
      <c r="M93">
        <v>0</v>
      </c>
      <c r="N93">
        <v>0</v>
      </c>
      <c r="O93">
        <v>0</v>
      </c>
      <c r="P93">
        <v>0</v>
      </c>
      <c r="Q93">
        <v>0</v>
      </c>
      <c r="R93">
        <v>0</v>
      </c>
      <c r="S93">
        <v>14778411</v>
      </c>
      <c r="U93">
        <v>47461743</v>
      </c>
      <c r="V93">
        <v>0</v>
      </c>
      <c r="W93">
        <v>0</v>
      </c>
      <c r="X93">
        <v>0</v>
      </c>
      <c r="Y93">
        <v>0</v>
      </c>
      <c r="Z93">
        <v>2264523</v>
      </c>
      <c r="AA93">
        <v>2394693</v>
      </c>
      <c r="AB93">
        <v>0</v>
      </c>
      <c r="AC93">
        <v>0</v>
      </c>
      <c r="AD93">
        <v>0</v>
      </c>
      <c r="AE93">
        <v>6217332</v>
      </c>
      <c r="AF93">
        <v>0</v>
      </c>
      <c r="AG93">
        <v>0</v>
      </c>
      <c r="AH93">
        <v>0</v>
      </c>
      <c r="AI93">
        <v>0</v>
      </c>
      <c r="AJ93">
        <v>16654974</v>
      </c>
      <c r="AK93">
        <v>0</v>
      </c>
      <c r="AL93">
        <v>0</v>
      </c>
      <c r="AM93">
        <v>0</v>
      </c>
      <c r="AN93">
        <v>0</v>
      </c>
      <c r="AP93">
        <v>0</v>
      </c>
      <c r="AQ93">
        <v>70203021</v>
      </c>
      <c r="AR93">
        <v>0</v>
      </c>
      <c r="AS93">
        <v>0</v>
      </c>
      <c r="AT93">
        <v>0</v>
      </c>
      <c r="AU93">
        <v>6870279</v>
      </c>
      <c r="AV93">
        <v>0</v>
      </c>
      <c r="AX93">
        <v>0</v>
      </c>
      <c r="AY93">
        <v>0</v>
      </c>
      <c r="AZ93">
        <v>10874503</v>
      </c>
      <c r="BA93">
        <v>0</v>
      </c>
      <c r="BB93">
        <v>0</v>
      </c>
      <c r="BD93">
        <v>0</v>
      </c>
      <c r="BE93">
        <v>36689751</v>
      </c>
      <c r="BF93">
        <v>268960</v>
      </c>
      <c r="BG93">
        <v>0</v>
      </c>
      <c r="BH93">
        <v>0</v>
      </c>
      <c r="BI93">
        <v>0</v>
      </c>
      <c r="BJ93">
        <v>0</v>
      </c>
      <c r="BK93">
        <v>6842464</v>
      </c>
      <c r="BL93">
        <v>0</v>
      </c>
      <c r="BM93">
        <v>0</v>
      </c>
      <c r="BN93">
        <v>0</v>
      </c>
      <c r="BO93">
        <v>0</v>
      </c>
      <c r="BP93">
        <v>0</v>
      </c>
      <c r="BQ93">
        <v>0</v>
      </c>
      <c r="BR93">
        <v>0</v>
      </c>
      <c r="BS93">
        <v>0</v>
      </c>
      <c r="BT93">
        <v>0</v>
      </c>
      <c r="BU93">
        <v>0</v>
      </c>
      <c r="BV93">
        <v>0</v>
      </c>
      <c r="BW93">
        <v>0</v>
      </c>
      <c r="BX93">
        <v>0</v>
      </c>
      <c r="BY93">
        <v>0</v>
      </c>
      <c r="BZ93">
        <v>0</v>
      </c>
      <c r="CA93">
        <v>0</v>
      </c>
    </row>
    <row r="94" spans="1:79" x14ac:dyDescent="0.3">
      <c r="A94" s="155">
        <v>357</v>
      </c>
      <c r="B94" t="s">
        <v>308</v>
      </c>
      <c r="D94">
        <v>0</v>
      </c>
      <c r="E94">
        <v>0</v>
      </c>
      <c r="F94">
        <v>0</v>
      </c>
      <c r="G94">
        <v>0</v>
      </c>
      <c r="H94">
        <v>0</v>
      </c>
      <c r="I94">
        <v>0</v>
      </c>
      <c r="J94">
        <v>0</v>
      </c>
      <c r="K94">
        <v>0</v>
      </c>
      <c r="L94">
        <v>0</v>
      </c>
      <c r="M94">
        <v>0</v>
      </c>
      <c r="N94">
        <v>0</v>
      </c>
      <c r="O94">
        <v>0</v>
      </c>
      <c r="P94">
        <v>0</v>
      </c>
      <c r="Q94">
        <v>0</v>
      </c>
      <c r="R94">
        <v>0</v>
      </c>
      <c r="S94">
        <v>9507161</v>
      </c>
      <c r="U94">
        <v>31248870</v>
      </c>
      <c r="V94">
        <v>0</v>
      </c>
      <c r="W94">
        <v>0</v>
      </c>
      <c r="X94">
        <v>0</v>
      </c>
      <c r="Y94">
        <v>0</v>
      </c>
      <c r="Z94">
        <v>1522714</v>
      </c>
      <c r="AA94">
        <v>1341379</v>
      </c>
      <c r="AB94">
        <v>0</v>
      </c>
      <c r="AC94">
        <v>0</v>
      </c>
      <c r="AD94">
        <v>0</v>
      </c>
      <c r="AE94">
        <v>4054190</v>
      </c>
      <c r="AF94">
        <v>0</v>
      </c>
      <c r="AG94">
        <v>0</v>
      </c>
      <c r="AH94">
        <v>0</v>
      </c>
      <c r="AI94">
        <v>0</v>
      </c>
      <c r="AJ94">
        <v>10625528</v>
      </c>
      <c r="AK94">
        <v>0</v>
      </c>
      <c r="AL94">
        <v>0</v>
      </c>
      <c r="AM94">
        <v>0</v>
      </c>
      <c r="AN94">
        <v>0</v>
      </c>
      <c r="AP94">
        <v>0</v>
      </c>
      <c r="AQ94">
        <v>34254684</v>
      </c>
      <c r="AR94">
        <v>0</v>
      </c>
      <c r="AS94">
        <v>0</v>
      </c>
      <c r="AT94">
        <v>0</v>
      </c>
      <c r="AU94">
        <v>4623679</v>
      </c>
      <c r="AV94">
        <v>0</v>
      </c>
      <c r="AX94">
        <v>0</v>
      </c>
      <c r="AY94">
        <v>0</v>
      </c>
      <c r="AZ94">
        <v>8049866</v>
      </c>
      <c r="BA94">
        <v>0</v>
      </c>
      <c r="BB94">
        <v>0</v>
      </c>
      <c r="BD94">
        <v>0</v>
      </c>
      <c r="BE94">
        <v>23762518</v>
      </c>
      <c r="BF94">
        <v>233773</v>
      </c>
      <c r="BG94">
        <v>0</v>
      </c>
      <c r="BH94">
        <v>0</v>
      </c>
      <c r="BI94">
        <v>0</v>
      </c>
      <c r="BJ94">
        <v>0</v>
      </c>
      <c r="BK94">
        <v>4632788</v>
      </c>
      <c r="BL94">
        <v>0</v>
      </c>
      <c r="BM94">
        <v>0</v>
      </c>
      <c r="BN94">
        <v>0</v>
      </c>
      <c r="BO94">
        <v>0</v>
      </c>
      <c r="BP94">
        <v>0</v>
      </c>
      <c r="BQ94">
        <v>0</v>
      </c>
      <c r="BR94">
        <v>0</v>
      </c>
      <c r="BS94">
        <v>0</v>
      </c>
      <c r="BT94">
        <v>0</v>
      </c>
      <c r="BU94">
        <v>0</v>
      </c>
      <c r="BV94">
        <v>0</v>
      </c>
      <c r="BW94">
        <v>0</v>
      </c>
      <c r="BX94">
        <v>0</v>
      </c>
      <c r="BY94">
        <v>0</v>
      </c>
      <c r="BZ94">
        <v>0</v>
      </c>
      <c r="CA94">
        <v>0</v>
      </c>
    </row>
    <row r="95" spans="1:79" x14ac:dyDescent="0.3">
      <c r="A95" s="155">
        <v>359</v>
      </c>
      <c r="B95" t="s">
        <v>247</v>
      </c>
      <c r="D95">
        <v>0</v>
      </c>
      <c r="E95">
        <v>0</v>
      </c>
      <c r="F95">
        <v>0</v>
      </c>
      <c r="G95">
        <v>0</v>
      </c>
      <c r="H95">
        <v>0</v>
      </c>
      <c r="I95">
        <v>0</v>
      </c>
      <c r="J95">
        <v>0</v>
      </c>
      <c r="K95">
        <v>0</v>
      </c>
      <c r="L95">
        <v>0</v>
      </c>
      <c r="M95">
        <v>0</v>
      </c>
      <c r="N95">
        <v>0</v>
      </c>
      <c r="O95">
        <v>0</v>
      </c>
      <c r="P95">
        <v>0</v>
      </c>
      <c r="Q95">
        <v>0</v>
      </c>
      <c r="R95">
        <v>0</v>
      </c>
      <c r="S95">
        <v>315951</v>
      </c>
      <c r="U95">
        <v>534240</v>
      </c>
      <c r="V95">
        <v>0</v>
      </c>
      <c r="W95">
        <v>0</v>
      </c>
      <c r="X95">
        <v>0</v>
      </c>
      <c r="Y95">
        <v>0</v>
      </c>
      <c r="Z95">
        <v>3796797</v>
      </c>
      <c r="AA95">
        <v>0</v>
      </c>
      <c r="AB95">
        <v>0</v>
      </c>
      <c r="AC95">
        <v>0</v>
      </c>
      <c r="AD95">
        <v>0</v>
      </c>
      <c r="AE95">
        <v>0</v>
      </c>
      <c r="AF95">
        <v>0</v>
      </c>
      <c r="AG95">
        <v>0</v>
      </c>
      <c r="AH95">
        <v>0</v>
      </c>
      <c r="AI95">
        <v>0</v>
      </c>
      <c r="AJ95">
        <v>1396335</v>
      </c>
      <c r="AK95">
        <v>0</v>
      </c>
      <c r="AL95">
        <v>0</v>
      </c>
      <c r="AM95">
        <v>0</v>
      </c>
      <c r="AN95">
        <v>0</v>
      </c>
      <c r="AP95">
        <v>0</v>
      </c>
      <c r="AQ95">
        <v>3780805</v>
      </c>
      <c r="AR95">
        <v>0</v>
      </c>
      <c r="AS95">
        <v>0</v>
      </c>
      <c r="AT95">
        <v>0</v>
      </c>
      <c r="AU95">
        <v>0</v>
      </c>
      <c r="AV95">
        <v>0</v>
      </c>
      <c r="AX95">
        <v>0</v>
      </c>
      <c r="AY95">
        <v>0</v>
      </c>
      <c r="AZ95">
        <v>172784</v>
      </c>
      <c r="BA95">
        <v>0</v>
      </c>
      <c r="BB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row>
    <row r="96" spans="1:79" x14ac:dyDescent="0.3">
      <c r="A96" s="155">
        <v>360</v>
      </c>
      <c r="B96" t="s">
        <v>117</v>
      </c>
      <c r="D96">
        <v>0</v>
      </c>
      <c r="E96">
        <v>0</v>
      </c>
      <c r="F96">
        <v>0</v>
      </c>
      <c r="G96">
        <v>0</v>
      </c>
      <c r="H96">
        <v>0</v>
      </c>
      <c r="I96">
        <v>0</v>
      </c>
      <c r="J96">
        <v>0</v>
      </c>
      <c r="K96">
        <v>0</v>
      </c>
      <c r="L96">
        <v>0</v>
      </c>
      <c r="M96">
        <v>0</v>
      </c>
      <c r="N96">
        <v>0</v>
      </c>
      <c r="O96">
        <v>0</v>
      </c>
      <c r="P96">
        <v>0</v>
      </c>
      <c r="Q96">
        <v>0</v>
      </c>
      <c r="R96">
        <v>0</v>
      </c>
      <c r="S96">
        <v>2879919</v>
      </c>
      <c r="U96">
        <v>3008447</v>
      </c>
      <c r="V96">
        <v>0</v>
      </c>
      <c r="W96">
        <v>0</v>
      </c>
      <c r="X96">
        <v>0</v>
      </c>
      <c r="Y96">
        <v>0</v>
      </c>
      <c r="Z96">
        <v>5218548</v>
      </c>
      <c r="AA96">
        <v>382500</v>
      </c>
      <c r="AB96">
        <v>0</v>
      </c>
      <c r="AC96">
        <v>0</v>
      </c>
      <c r="AD96">
        <v>0</v>
      </c>
      <c r="AE96">
        <v>960500</v>
      </c>
      <c r="AF96">
        <v>0</v>
      </c>
      <c r="AG96">
        <v>0</v>
      </c>
      <c r="AH96">
        <v>0</v>
      </c>
      <c r="AI96">
        <v>0</v>
      </c>
      <c r="AJ96">
        <v>3959494</v>
      </c>
      <c r="AK96">
        <v>0</v>
      </c>
      <c r="AL96">
        <v>0</v>
      </c>
      <c r="AM96">
        <v>0</v>
      </c>
      <c r="AN96">
        <v>0</v>
      </c>
      <c r="AP96">
        <v>0</v>
      </c>
      <c r="AQ96">
        <v>9626770</v>
      </c>
      <c r="AR96">
        <v>0</v>
      </c>
      <c r="AS96">
        <v>0</v>
      </c>
      <c r="AT96">
        <v>0</v>
      </c>
      <c r="AU96">
        <v>1628702</v>
      </c>
      <c r="AV96">
        <v>0</v>
      </c>
      <c r="AX96">
        <v>0</v>
      </c>
      <c r="AY96">
        <v>0</v>
      </c>
      <c r="AZ96">
        <v>1500984</v>
      </c>
      <c r="BA96">
        <v>0</v>
      </c>
      <c r="BB96">
        <v>0</v>
      </c>
      <c r="BD96">
        <v>0</v>
      </c>
      <c r="BE96">
        <v>10489099</v>
      </c>
      <c r="BF96">
        <v>105523</v>
      </c>
      <c r="BG96">
        <v>0</v>
      </c>
      <c r="BH96">
        <v>0</v>
      </c>
      <c r="BI96">
        <v>0</v>
      </c>
      <c r="BJ96">
        <v>0</v>
      </c>
      <c r="BK96">
        <v>410684</v>
      </c>
      <c r="BL96">
        <v>0</v>
      </c>
      <c r="BM96">
        <v>0</v>
      </c>
      <c r="BN96">
        <v>0</v>
      </c>
      <c r="BO96">
        <v>0</v>
      </c>
      <c r="BP96">
        <v>0</v>
      </c>
      <c r="BQ96">
        <v>0</v>
      </c>
      <c r="BR96">
        <v>0</v>
      </c>
      <c r="BS96">
        <v>0</v>
      </c>
      <c r="BT96">
        <v>0</v>
      </c>
      <c r="BU96">
        <v>0</v>
      </c>
      <c r="BV96">
        <v>0</v>
      </c>
      <c r="BW96">
        <v>0</v>
      </c>
      <c r="BX96">
        <v>0</v>
      </c>
      <c r="BY96">
        <v>0</v>
      </c>
      <c r="BZ96">
        <v>0</v>
      </c>
      <c r="CA96">
        <v>0</v>
      </c>
    </row>
    <row r="97" spans="1:79" x14ac:dyDescent="0.3">
      <c r="A97" s="155">
        <v>361</v>
      </c>
      <c r="B97" t="s">
        <v>98</v>
      </c>
      <c r="D97">
        <v>0</v>
      </c>
      <c r="E97">
        <v>0</v>
      </c>
      <c r="F97">
        <v>0</v>
      </c>
      <c r="G97">
        <v>0</v>
      </c>
      <c r="H97">
        <v>0</v>
      </c>
      <c r="I97">
        <v>0</v>
      </c>
      <c r="J97">
        <v>0</v>
      </c>
      <c r="K97">
        <v>0</v>
      </c>
      <c r="L97">
        <v>0</v>
      </c>
      <c r="M97">
        <v>0</v>
      </c>
      <c r="N97">
        <v>0</v>
      </c>
      <c r="O97">
        <v>0</v>
      </c>
      <c r="P97">
        <v>0</v>
      </c>
      <c r="Q97">
        <v>0</v>
      </c>
      <c r="R97">
        <v>0</v>
      </c>
      <c r="S97">
        <v>5752458</v>
      </c>
      <c r="U97">
        <v>35676536</v>
      </c>
      <c r="V97">
        <v>0</v>
      </c>
      <c r="W97">
        <v>0</v>
      </c>
      <c r="X97">
        <v>0</v>
      </c>
      <c r="Y97">
        <v>0</v>
      </c>
      <c r="Z97">
        <v>1048997</v>
      </c>
      <c r="AA97">
        <v>-342551</v>
      </c>
      <c r="AB97">
        <v>0</v>
      </c>
      <c r="AC97">
        <v>0</v>
      </c>
      <c r="AD97">
        <v>0</v>
      </c>
      <c r="AE97">
        <v>1951419</v>
      </c>
      <c r="AF97">
        <v>0</v>
      </c>
      <c r="AG97">
        <v>0</v>
      </c>
      <c r="AH97">
        <v>0</v>
      </c>
      <c r="AI97">
        <v>0</v>
      </c>
      <c r="AJ97">
        <v>1251514</v>
      </c>
      <c r="AK97">
        <v>0</v>
      </c>
      <c r="AL97">
        <v>0</v>
      </c>
      <c r="AM97">
        <v>0</v>
      </c>
      <c r="AN97">
        <v>0</v>
      </c>
      <c r="AP97">
        <v>0</v>
      </c>
      <c r="AQ97">
        <v>36355046</v>
      </c>
      <c r="AR97">
        <v>0</v>
      </c>
      <c r="AS97">
        <v>0</v>
      </c>
      <c r="AT97">
        <v>0</v>
      </c>
      <c r="AU97">
        <v>6125600</v>
      </c>
      <c r="AV97">
        <v>0</v>
      </c>
      <c r="AX97">
        <v>0</v>
      </c>
      <c r="AY97">
        <v>0</v>
      </c>
      <c r="AZ97">
        <v>1191138</v>
      </c>
      <c r="BA97">
        <v>0</v>
      </c>
      <c r="BB97">
        <v>0</v>
      </c>
      <c r="BD97">
        <v>0</v>
      </c>
      <c r="BE97">
        <v>6180067</v>
      </c>
      <c r="BF97">
        <v>307542</v>
      </c>
      <c r="BG97">
        <v>0</v>
      </c>
      <c r="BH97">
        <v>0</v>
      </c>
      <c r="BI97">
        <v>0</v>
      </c>
      <c r="BJ97">
        <v>0</v>
      </c>
      <c r="BK97">
        <v>4364115</v>
      </c>
      <c r="BL97">
        <v>0</v>
      </c>
      <c r="BM97">
        <v>0</v>
      </c>
      <c r="BN97">
        <v>0</v>
      </c>
      <c r="BO97">
        <v>0</v>
      </c>
      <c r="BP97">
        <v>0</v>
      </c>
      <c r="BQ97">
        <v>0</v>
      </c>
      <c r="BR97">
        <v>0</v>
      </c>
      <c r="BS97">
        <v>0</v>
      </c>
      <c r="BT97">
        <v>0</v>
      </c>
      <c r="BU97">
        <v>0</v>
      </c>
      <c r="BV97">
        <v>0</v>
      </c>
      <c r="BW97">
        <v>0</v>
      </c>
      <c r="BX97">
        <v>0</v>
      </c>
      <c r="BY97">
        <v>0</v>
      </c>
      <c r="BZ97">
        <v>0</v>
      </c>
      <c r="CA97">
        <v>0</v>
      </c>
    </row>
    <row r="98" spans="1:79" x14ac:dyDescent="0.3">
      <c r="A98" s="155">
        <v>362</v>
      </c>
      <c r="B98" t="s">
        <v>99</v>
      </c>
      <c r="D98">
        <v>0</v>
      </c>
      <c r="E98">
        <v>0</v>
      </c>
      <c r="F98">
        <v>0</v>
      </c>
      <c r="G98">
        <v>0</v>
      </c>
      <c r="H98">
        <v>0</v>
      </c>
      <c r="I98">
        <v>0</v>
      </c>
      <c r="J98">
        <v>0</v>
      </c>
      <c r="K98">
        <v>0</v>
      </c>
      <c r="L98">
        <v>0</v>
      </c>
      <c r="M98">
        <v>0</v>
      </c>
      <c r="N98">
        <v>0</v>
      </c>
      <c r="O98">
        <v>0</v>
      </c>
      <c r="P98">
        <v>0</v>
      </c>
      <c r="Q98">
        <v>0</v>
      </c>
      <c r="R98">
        <v>0</v>
      </c>
      <c r="S98">
        <v>10747647</v>
      </c>
      <c r="U98">
        <v>66486025</v>
      </c>
      <c r="V98">
        <v>0</v>
      </c>
      <c r="W98">
        <v>0</v>
      </c>
      <c r="X98">
        <v>0</v>
      </c>
      <c r="Y98">
        <v>0</v>
      </c>
      <c r="Z98">
        <v>1750010</v>
      </c>
      <c r="AA98">
        <v>768652</v>
      </c>
      <c r="AB98">
        <v>0</v>
      </c>
      <c r="AC98">
        <v>0</v>
      </c>
      <c r="AD98">
        <v>0</v>
      </c>
      <c r="AE98">
        <v>4409309</v>
      </c>
      <c r="AF98">
        <v>0</v>
      </c>
      <c r="AG98">
        <v>0</v>
      </c>
      <c r="AH98">
        <v>0</v>
      </c>
      <c r="AI98">
        <v>0</v>
      </c>
      <c r="AJ98">
        <v>11537702</v>
      </c>
      <c r="AK98">
        <v>0</v>
      </c>
      <c r="AL98">
        <v>0</v>
      </c>
      <c r="AM98">
        <v>0</v>
      </c>
      <c r="AN98">
        <v>0</v>
      </c>
      <c r="AP98">
        <v>0</v>
      </c>
      <c r="AQ98">
        <v>69459313</v>
      </c>
      <c r="AR98">
        <v>0</v>
      </c>
      <c r="AS98">
        <v>0</v>
      </c>
      <c r="AT98">
        <v>0</v>
      </c>
      <c r="AU98">
        <v>8544997</v>
      </c>
      <c r="AV98">
        <v>0</v>
      </c>
      <c r="AX98">
        <v>0</v>
      </c>
      <c r="AY98">
        <v>0</v>
      </c>
      <c r="AZ98">
        <v>5041739</v>
      </c>
      <c r="BA98">
        <v>0</v>
      </c>
      <c r="BB98">
        <v>0</v>
      </c>
      <c r="BD98">
        <v>0</v>
      </c>
      <c r="BE98">
        <v>19962809</v>
      </c>
      <c r="BF98">
        <v>342729</v>
      </c>
      <c r="BG98">
        <v>0</v>
      </c>
      <c r="BH98">
        <v>0</v>
      </c>
      <c r="BI98">
        <v>0</v>
      </c>
      <c r="BJ98">
        <v>0</v>
      </c>
      <c r="BK98">
        <v>6593591</v>
      </c>
      <c r="BL98">
        <v>0</v>
      </c>
      <c r="BM98">
        <v>0</v>
      </c>
      <c r="BN98">
        <v>0</v>
      </c>
      <c r="BO98">
        <v>0</v>
      </c>
      <c r="BP98">
        <v>0</v>
      </c>
      <c r="BQ98">
        <v>0</v>
      </c>
      <c r="BR98">
        <v>0</v>
      </c>
      <c r="BS98">
        <v>0</v>
      </c>
      <c r="BT98">
        <v>0</v>
      </c>
      <c r="BU98">
        <v>0</v>
      </c>
      <c r="BV98">
        <v>0</v>
      </c>
      <c r="BW98">
        <v>0</v>
      </c>
      <c r="BX98">
        <v>0</v>
      </c>
      <c r="BY98">
        <v>0</v>
      </c>
      <c r="BZ98">
        <v>0</v>
      </c>
      <c r="CA98">
        <v>0</v>
      </c>
    </row>
    <row r="99" spans="1:79" x14ac:dyDescent="0.3">
      <c r="A99" s="155">
        <v>363</v>
      </c>
      <c r="B99" t="s">
        <v>233</v>
      </c>
      <c r="D99">
        <v>0</v>
      </c>
      <c r="E99">
        <v>0</v>
      </c>
      <c r="F99">
        <v>0</v>
      </c>
      <c r="G99">
        <v>0</v>
      </c>
      <c r="H99">
        <v>0</v>
      </c>
      <c r="I99">
        <v>0</v>
      </c>
      <c r="J99">
        <v>0</v>
      </c>
      <c r="K99">
        <v>0</v>
      </c>
      <c r="L99">
        <v>0</v>
      </c>
      <c r="M99">
        <v>0</v>
      </c>
      <c r="N99">
        <v>0</v>
      </c>
      <c r="O99">
        <v>0</v>
      </c>
      <c r="P99">
        <v>0</v>
      </c>
      <c r="Q99">
        <v>0</v>
      </c>
      <c r="R99">
        <v>0</v>
      </c>
      <c r="S99">
        <v>12280</v>
      </c>
      <c r="U99">
        <v>9943</v>
      </c>
      <c r="V99">
        <v>0</v>
      </c>
      <c r="W99">
        <v>0</v>
      </c>
      <c r="X99">
        <v>0</v>
      </c>
      <c r="Y99">
        <v>0</v>
      </c>
      <c r="Z99">
        <v>69076</v>
      </c>
      <c r="AA99">
        <v>292</v>
      </c>
      <c r="AB99">
        <v>0</v>
      </c>
      <c r="AC99">
        <v>0</v>
      </c>
      <c r="AD99">
        <v>0</v>
      </c>
      <c r="AE99">
        <v>962726</v>
      </c>
      <c r="AF99">
        <v>0</v>
      </c>
      <c r="AG99">
        <v>0</v>
      </c>
      <c r="AH99">
        <v>0</v>
      </c>
      <c r="AI99">
        <v>0</v>
      </c>
      <c r="AJ99">
        <v>2129</v>
      </c>
      <c r="AK99">
        <v>0</v>
      </c>
      <c r="AL99">
        <v>0</v>
      </c>
      <c r="AM99">
        <v>0</v>
      </c>
      <c r="AN99">
        <v>0</v>
      </c>
      <c r="AP99">
        <v>0</v>
      </c>
      <c r="AQ99">
        <v>9328752</v>
      </c>
      <c r="AR99">
        <v>0</v>
      </c>
      <c r="AS99">
        <v>0</v>
      </c>
      <c r="AT99">
        <v>0</v>
      </c>
      <c r="AU99">
        <v>29622</v>
      </c>
      <c r="AV99">
        <v>0</v>
      </c>
      <c r="AX99">
        <v>0</v>
      </c>
      <c r="AY99">
        <v>0</v>
      </c>
      <c r="AZ99">
        <v>26080</v>
      </c>
      <c r="BA99">
        <v>0</v>
      </c>
      <c r="BB99">
        <v>0</v>
      </c>
      <c r="BD99">
        <v>0</v>
      </c>
      <c r="BE99">
        <v>21812</v>
      </c>
      <c r="BF99">
        <v>318</v>
      </c>
      <c r="BG99">
        <v>0</v>
      </c>
      <c r="BH99">
        <v>0</v>
      </c>
      <c r="BI99">
        <v>0</v>
      </c>
      <c r="BJ99">
        <v>0</v>
      </c>
      <c r="BK99">
        <v>50003</v>
      </c>
      <c r="BL99">
        <v>0</v>
      </c>
      <c r="BM99">
        <v>0</v>
      </c>
      <c r="BN99">
        <v>0</v>
      </c>
      <c r="BO99">
        <v>0</v>
      </c>
      <c r="BP99">
        <v>0</v>
      </c>
      <c r="BQ99">
        <v>0</v>
      </c>
      <c r="BR99">
        <v>0</v>
      </c>
      <c r="BS99">
        <v>0</v>
      </c>
      <c r="BT99">
        <v>0</v>
      </c>
      <c r="BU99">
        <v>0</v>
      </c>
      <c r="BV99">
        <v>0</v>
      </c>
      <c r="BW99">
        <v>0</v>
      </c>
      <c r="BX99">
        <v>0</v>
      </c>
      <c r="BY99">
        <v>0</v>
      </c>
      <c r="BZ99">
        <v>0</v>
      </c>
      <c r="CA99">
        <v>0</v>
      </c>
    </row>
    <row r="100" spans="1:79" x14ac:dyDescent="0.3">
      <c r="A100" s="155">
        <v>364</v>
      </c>
      <c r="B100" t="s">
        <v>234</v>
      </c>
      <c r="D100">
        <v>0</v>
      </c>
      <c r="E100">
        <v>0</v>
      </c>
      <c r="F100">
        <v>0</v>
      </c>
      <c r="G100">
        <v>0</v>
      </c>
      <c r="H100">
        <v>0</v>
      </c>
      <c r="I100">
        <v>0</v>
      </c>
      <c r="J100">
        <v>0</v>
      </c>
      <c r="K100">
        <v>0</v>
      </c>
      <c r="L100">
        <v>0</v>
      </c>
      <c r="M100">
        <v>0</v>
      </c>
      <c r="N100">
        <v>0</v>
      </c>
      <c r="O100">
        <v>0</v>
      </c>
      <c r="P100">
        <v>0</v>
      </c>
      <c r="Q100">
        <v>0</v>
      </c>
      <c r="R100">
        <v>0</v>
      </c>
      <c r="S100">
        <v>7068</v>
      </c>
      <c r="U100">
        <v>0</v>
      </c>
      <c r="V100">
        <v>0</v>
      </c>
      <c r="W100">
        <v>0</v>
      </c>
      <c r="X100">
        <v>0</v>
      </c>
      <c r="Y100">
        <v>0</v>
      </c>
      <c r="Z100">
        <v>1659</v>
      </c>
      <c r="AA100">
        <v>0</v>
      </c>
      <c r="AB100">
        <v>0</v>
      </c>
      <c r="AC100">
        <v>0</v>
      </c>
      <c r="AD100">
        <v>0</v>
      </c>
      <c r="AE100">
        <v>14993</v>
      </c>
      <c r="AF100">
        <v>0</v>
      </c>
      <c r="AG100">
        <v>0</v>
      </c>
      <c r="AH100">
        <v>0</v>
      </c>
      <c r="AI100">
        <v>0</v>
      </c>
      <c r="AJ100">
        <v>97885</v>
      </c>
      <c r="AK100">
        <v>0</v>
      </c>
      <c r="AL100">
        <v>0</v>
      </c>
      <c r="AM100">
        <v>0</v>
      </c>
      <c r="AN100">
        <v>0</v>
      </c>
      <c r="AP100">
        <v>0</v>
      </c>
      <c r="AQ100">
        <v>100755</v>
      </c>
      <c r="AR100">
        <v>0</v>
      </c>
      <c r="AS100">
        <v>0</v>
      </c>
      <c r="AT100">
        <v>0</v>
      </c>
      <c r="AU100">
        <v>0</v>
      </c>
      <c r="AV100">
        <v>0</v>
      </c>
      <c r="AX100">
        <v>0</v>
      </c>
      <c r="AY100">
        <v>0</v>
      </c>
      <c r="AZ100">
        <v>8954</v>
      </c>
      <c r="BA100">
        <v>0</v>
      </c>
      <c r="BB100">
        <v>0</v>
      </c>
      <c r="BD100">
        <v>0</v>
      </c>
      <c r="BE100">
        <v>3994</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row>
    <row r="101" spans="1:79" x14ac:dyDescent="0.3">
      <c r="A101" s="155">
        <v>365</v>
      </c>
      <c r="B101" t="s">
        <v>236</v>
      </c>
      <c r="D101">
        <v>0</v>
      </c>
      <c r="E101">
        <v>0</v>
      </c>
      <c r="F101">
        <v>0</v>
      </c>
      <c r="G101">
        <v>0</v>
      </c>
      <c r="H101">
        <v>0</v>
      </c>
      <c r="I101">
        <v>0</v>
      </c>
      <c r="J101">
        <v>0</v>
      </c>
      <c r="K101">
        <v>0</v>
      </c>
      <c r="L101">
        <v>0</v>
      </c>
      <c r="M101">
        <v>0</v>
      </c>
      <c r="N101">
        <v>0</v>
      </c>
      <c r="O101">
        <v>0</v>
      </c>
      <c r="P101">
        <v>0</v>
      </c>
      <c r="Q101">
        <v>0</v>
      </c>
      <c r="R101">
        <v>0</v>
      </c>
      <c r="S101">
        <v>0</v>
      </c>
      <c r="U101">
        <v>6808753</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P101">
        <v>0</v>
      </c>
      <c r="AQ101">
        <v>0</v>
      </c>
      <c r="AR101">
        <v>0</v>
      </c>
      <c r="AS101">
        <v>0</v>
      </c>
      <c r="AT101">
        <v>0</v>
      </c>
      <c r="AU101">
        <v>0</v>
      </c>
      <c r="AV101">
        <v>0</v>
      </c>
      <c r="AX101">
        <v>0</v>
      </c>
      <c r="AY101">
        <v>0</v>
      </c>
      <c r="AZ101">
        <v>133676</v>
      </c>
      <c r="BA101">
        <v>0</v>
      </c>
      <c r="BB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row>
    <row r="102" spans="1:79" x14ac:dyDescent="0.3">
      <c r="A102" s="155">
        <v>366</v>
      </c>
      <c r="B102" t="s">
        <v>925</v>
      </c>
      <c r="D102">
        <v>0</v>
      </c>
      <c r="E102">
        <v>0</v>
      </c>
      <c r="F102">
        <v>0</v>
      </c>
      <c r="G102">
        <v>0</v>
      </c>
      <c r="H102">
        <v>0</v>
      </c>
      <c r="I102">
        <v>0</v>
      </c>
      <c r="J102">
        <v>0</v>
      </c>
      <c r="K102">
        <v>0</v>
      </c>
      <c r="L102">
        <v>0</v>
      </c>
      <c r="M102">
        <v>0</v>
      </c>
      <c r="N102">
        <v>0</v>
      </c>
      <c r="O102">
        <v>0</v>
      </c>
      <c r="P102">
        <v>0</v>
      </c>
      <c r="Q102">
        <v>0</v>
      </c>
      <c r="R102">
        <v>0</v>
      </c>
      <c r="S102">
        <v>3530000</v>
      </c>
      <c r="U102">
        <v>2382739</v>
      </c>
      <c r="V102">
        <v>0</v>
      </c>
      <c r="W102">
        <v>0</v>
      </c>
      <c r="X102">
        <v>0</v>
      </c>
      <c r="Y102">
        <v>0</v>
      </c>
      <c r="Z102">
        <v>0</v>
      </c>
      <c r="AA102">
        <v>0</v>
      </c>
      <c r="AB102">
        <v>0</v>
      </c>
      <c r="AC102">
        <v>0</v>
      </c>
      <c r="AD102">
        <v>0</v>
      </c>
      <c r="AE102">
        <v>928848</v>
      </c>
      <c r="AF102">
        <v>0</v>
      </c>
      <c r="AG102">
        <v>0</v>
      </c>
      <c r="AH102">
        <v>0</v>
      </c>
      <c r="AI102">
        <v>0</v>
      </c>
      <c r="AJ102">
        <v>1067957</v>
      </c>
      <c r="AK102">
        <v>0</v>
      </c>
      <c r="AL102">
        <v>0</v>
      </c>
      <c r="AM102">
        <v>0</v>
      </c>
      <c r="AN102">
        <v>0</v>
      </c>
      <c r="AP102">
        <v>0</v>
      </c>
      <c r="AQ102">
        <v>1200000</v>
      </c>
      <c r="AR102">
        <v>0</v>
      </c>
      <c r="AS102">
        <v>0</v>
      </c>
      <c r="AT102">
        <v>0</v>
      </c>
      <c r="AU102">
        <v>30465</v>
      </c>
      <c r="AV102">
        <v>0</v>
      </c>
      <c r="AX102">
        <v>0</v>
      </c>
      <c r="AY102">
        <v>0</v>
      </c>
      <c r="AZ102">
        <v>806543</v>
      </c>
      <c r="BA102">
        <v>0</v>
      </c>
      <c r="BB102">
        <v>0</v>
      </c>
      <c r="BD102">
        <v>0</v>
      </c>
      <c r="BE102">
        <v>1744865</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row>
    <row r="103" spans="1:79" x14ac:dyDescent="0.3">
      <c r="A103" s="155">
        <v>368</v>
      </c>
      <c r="B103" t="s">
        <v>191</v>
      </c>
      <c r="D103">
        <v>0</v>
      </c>
      <c r="E103">
        <v>33163</v>
      </c>
      <c r="F103">
        <v>0</v>
      </c>
      <c r="G103">
        <v>118232</v>
      </c>
      <c r="H103">
        <v>0</v>
      </c>
      <c r="I103">
        <v>0</v>
      </c>
      <c r="J103">
        <v>0</v>
      </c>
      <c r="K103">
        <v>0</v>
      </c>
      <c r="L103">
        <v>0</v>
      </c>
      <c r="M103">
        <v>0</v>
      </c>
      <c r="N103">
        <v>0</v>
      </c>
      <c r="O103">
        <v>0</v>
      </c>
      <c r="P103">
        <v>374430</v>
      </c>
      <c r="Q103">
        <v>0</v>
      </c>
      <c r="R103">
        <v>0</v>
      </c>
      <c r="S103">
        <v>0</v>
      </c>
      <c r="U103">
        <v>0</v>
      </c>
      <c r="V103">
        <v>0</v>
      </c>
      <c r="W103">
        <v>0</v>
      </c>
      <c r="X103">
        <v>0</v>
      </c>
      <c r="Y103">
        <v>0</v>
      </c>
      <c r="Z103">
        <v>0</v>
      </c>
      <c r="AA103">
        <v>0</v>
      </c>
      <c r="AB103">
        <v>0</v>
      </c>
      <c r="AC103">
        <v>0</v>
      </c>
      <c r="AD103">
        <v>0</v>
      </c>
      <c r="AE103">
        <v>14274</v>
      </c>
      <c r="AF103">
        <v>0</v>
      </c>
      <c r="AG103">
        <v>0</v>
      </c>
      <c r="AH103">
        <v>0</v>
      </c>
      <c r="AI103">
        <v>0</v>
      </c>
      <c r="AJ103">
        <v>0</v>
      </c>
      <c r="AK103">
        <v>0</v>
      </c>
      <c r="AL103">
        <v>0</v>
      </c>
      <c r="AM103">
        <v>0</v>
      </c>
      <c r="AN103">
        <v>0</v>
      </c>
      <c r="AP103">
        <v>200346</v>
      </c>
      <c r="AQ103">
        <v>107275</v>
      </c>
      <c r="AR103">
        <v>0</v>
      </c>
      <c r="AS103">
        <v>0</v>
      </c>
      <c r="AT103">
        <v>0</v>
      </c>
      <c r="AU103">
        <v>0</v>
      </c>
      <c r="AV103">
        <v>0</v>
      </c>
      <c r="AX103">
        <v>0</v>
      </c>
      <c r="AY103">
        <v>0</v>
      </c>
      <c r="AZ103">
        <v>0</v>
      </c>
      <c r="BA103">
        <v>0</v>
      </c>
      <c r="BB103">
        <v>0</v>
      </c>
      <c r="BD103">
        <v>0</v>
      </c>
      <c r="BE103">
        <v>0</v>
      </c>
      <c r="BF103">
        <v>0</v>
      </c>
      <c r="BG103">
        <v>0</v>
      </c>
      <c r="BH103">
        <v>0</v>
      </c>
      <c r="BI103">
        <v>18090</v>
      </c>
      <c r="BJ103">
        <v>0</v>
      </c>
      <c r="BK103">
        <v>158</v>
      </c>
      <c r="BL103">
        <v>0</v>
      </c>
      <c r="BM103">
        <v>0</v>
      </c>
      <c r="BN103">
        <v>13502</v>
      </c>
      <c r="BO103">
        <v>0</v>
      </c>
      <c r="BP103">
        <v>0</v>
      </c>
      <c r="BQ103">
        <v>0</v>
      </c>
      <c r="BR103">
        <v>111981</v>
      </c>
      <c r="BS103">
        <v>125000</v>
      </c>
      <c r="BT103">
        <v>0</v>
      </c>
      <c r="BU103">
        <v>0</v>
      </c>
      <c r="BV103">
        <v>0</v>
      </c>
      <c r="BW103">
        <v>0</v>
      </c>
      <c r="BX103">
        <v>0</v>
      </c>
      <c r="BY103">
        <v>0</v>
      </c>
      <c r="BZ103">
        <v>1023687</v>
      </c>
      <c r="CA103">
        <v>0</v>
      </c>
    </row>
    <row r="104" spans="1:79" x14ac:dyDescent="0.3">
      <c r="A104" s="155">
        <v>369</v>
      </c>
      <c r="B104" t="s">
        <v>196</v>
      </c>
      <c r="D104">
        <v>977491</v>
      </c>
      <c r="E104">
        <v>5785165</v>
      </c>
      <c r="F104">
        <v>185626</v>
      </c>
      <c r="G104">
        <v>6392499</v>
      </c>
      <c r="H104">
        <v>1417297</v>
      </c>
      <c r="I104">
        <v>126170</v>
      </c>
      <c r="J104">
        <v>938130</v>
      </c>
      <c r="K104">
        <v>906641</v>
      </c>
      <c r="L104">
        <v>5585029</v>
      </c>
      <c r="M104">
        <v>78660</v>
      </c>
      <c r="N104">
        <v>432994</v>
      </c>
      <c r="O104">
        <v>607776</v>
      </c>
      <c r="P104">
        <v>12532252</v>
      </c>
      <c r="Q104">
        <v>1551115</v>
      </c>
      <c r="R104">
        <v>3674929</v>
      </c>
      <c r="S104">
        <v>1145388</v>
      </c>
      <c r="U104">
        <v>1250816</v>
      </c>
      <c r="V104">
        <v>19481</v>
      </c>
      <c r="W104">
        <v>2081508</v>
      </c>
      <c r="X104">
        <v>8653675</v>
      </c>
      <c r="Y104">
        <v>1824672</v>
      </c>
      <c r="Z104">
        <v>248930</v>
      </c>
      <c r="AA104">
        <v>1764299</v>
      </c>
      <c r="AB104">
        <v>504231</v>
      </c>
      <c r="AC104">
        <v>7552</v>
      </c>
      <c r="AD104">
        <v>561885</v>
      </c>
      <c r="AE104">
        <v>1532926</v>
      </c>
      <c r="AF104">
        <v>77586</v>
      </c>
      <c r="AG104">
        <v>42575</v>
      </c>
      <c r="AH104">
        <v>0</v>
      </c>
      <c r="AI104">
        <v>1177028</v>
      </c>
      <c r="AJ104">
        <v>2464212</v>
      </c>
      <c r="AK104">
        <v>171159</v>
      </c>
      <c r="AL104">
        <v>18575</v>
      </c>
      <c r="AM104">
        <v>9842104</v>
      </c>
      <c r="AN104">
        <v>3894296</v>
      </c>
      <c r="AP104">
        <v>2195403</v>
      </c>
      <c r="AQ104">
        <v>9231475</v>
      </c>
      <c r="AR104">
        <v>1351957</v>
      </c>
      <c r="AS104">
        <v>203533</v>
      </c>
      <c r="AT104">
        <v>1948794</v>
      </c>
      <c r="AU104">
        <v>5868345</v>
      </c>
      <c r="AV104">
        <v>50727</v>
      </c>
      <c r="AX104">
        <v>1733996</v>
      </c>
      <c r="AY104">
        <v>541053</v>
      </c>
      <c r="AZ104">
        <v>1667381</v>
      </c>
      <c r="BA104">
        <v>54075</v>
      </c>
      <c r="BB104">
        <v>871855</v>
      </c>
      <c r="BD104">
        <v>42581</v>
      </c>
      <c r="BE104">
        <v>4680492</v>
      </c>
      <c r="BF104">
        <v>141823</v>
      </c>
      <c r="BG104">
        <v>55268</v>
      </c>
      <c r="BH104">
        <v>1439759</v>
      </c>
      <c r="BI104">
        <v>187075</v>
      </c>
      <c r="BJ104">
        <v>400138</v>
      </c>
      <c r="BK104">
        <v>2390303</v>
      </c>
      <c r="BL104">
        <v>2979030</v>
      </c>
      <c r="BM104">
        <v>0</v>
      </c>
      <c r="BN104">
        <v>2325490</v>
      </c>
      <c r="BO104">
        <v>1024888</v>
      </c>
      <c r="BP104">
        <v>709909</v>
      </c>
      <c r="BQ104">
        <v>669054</v>
      </c>
      <c r="BR104">
        <v>698123</v>
      </c>
      <c r="BS104">
        <v>1448980</v>
      </c>
      <c r="BT104">
        <v>1071213</v>
      </c>
      <c r="BU104">
        <v>0</v>
      </c>
      <c r="BV104">
        <v>245864</v>
      </c>
      <c r="BW104">
        <v>491136</v>
      </c>
      <c r="BX104">
        <v>39640</v>
      </c>
      <c r="BY104">
        <v>38666</v>
      </c>
      <c r="BZ104">
        <v>7256026</v>
      </c>
      <c r="CA104">
        <v>28744</v>
      </c>
    </row>
    <row r="105" spans="1:79" x14ac:dyDescent="0.3">
      <c r="A105" s="155">
        <v>370</v>
      </c>
      <c r="B105" t="s">
        <v>198</v>
      </c>
      <c r="D105">
        <v>66153</v>
      </c>
      <c r="E105">
        <v>1423478</v>
      </c>
      <c r="F105">
        <v>5963</v>
      </c>
      <c r="G105">
        <v>3645560</v>
      </c>
      <c r="H105">
        <v>172553</v>
      </c>
      <c r="I105">
        <v>0</v>
      </c>
      <c r="J105">
        <v>0</v>
      </c>
      <c r="K105">
        <v>106366</v>
      </c>
      <c r="L105">
        <v>7053594</v>
      </c>
      <c r="M105">
        <v>0</v>
      </c>
      <c r="N105">
        <v>34121</v>
      </c>
      <c r="O105">
        <v>104445</v>
      </c>
      <c r="P105">
        <v>4225255</v>
      </c>
      <c r="Q105">
        <v>2943150</v>
      </c>
      <c r="R105">
        <v>528970</v>
      </c>
      <c r="S105">
        <v>686740</v>
      </c>
      <c r="U105">
        <v>1527633</v>
      </c>
      <c r="V105">
        <v>0</v>
      </c>
      <c r="W105">
        <v>2056794</v>
      </c>
      <c r="X105">
        <v>1727518</v>
      </c>
      <c r="Y105">
        <v>757078</v>
      </c>
      <c r="Z105">
        <v>25925</v>
      </c>
      <c r="AA105">
        <v>260477</v>
      </c>
      <c r="AB105">
        <v>0</v>
      </c>
      <c r="AC105">
        <v>0</v>
      </c>
      <c r="AD105">
        <v>23760</v>
      </c>
      <c r="AE105">
        <v>894567</v>
      </c>
      <c r="AF105">
        <v>0</v>
      </c>
      <c r="AG105">
        <v>0</v>
      </c>
      <c r="AH105">
        <v>0</v>
      </c>
      <c r="AI105">
        <v>17074</v>
      </c>
      <c r="AJ105">
        <v>582908</v>
      </c>
      <c r="AK105">
        <v>0</v>
      </c>
      <c r="AL105">
        <v>0</v>
      </c>
      <c r="AM105">
        <v>1932030</v>
      </c>
      <c r="AN105">
        <v>0</v>
      </c>
      <c r="AP105">
        <v>470650</v>
      </c>
      <c r="AQ105">
        <v>1097798</v>
      </c>
      <c r="AR105">
        <v>56138</v>
      </c>
      <c r="AS105">
        <v>158515</v>
      </c>
      <c r="AT105">
        <v>311304</v>
      </c>
      <c r="AU105">
        <v>445039</v>
      </c>
      <c r="AV105">
        <v>0</v>
      </c>
      <c r="AX105">
        <v>248692</v>
      </c>
      <c r="AY105">
        <v>121295</v>
      </c>
      <c r="AZ105">
        <v>253686</v>
      </c>
      <c r="BA105">
        <v>0</v>
      </c>
      <c r="BB105">
        <v>82172</v>
      </c>
      <c r="BD105">
        <v>0</v>
      </c>
      <c r="BE105">
        <v>1714274</v>
      </c>
      <c r="BF105">
        <v>0</v>
      </c>
      <c r="BG105">
        <v>0</v>
      </c>
      <c r="BH105">
        <v>18099</v>
      </c>
      <c r="BI105">
        <v>0</v>
      </c>
      <c r="BJ105">
        <v>25264</v>
      </c>
      <c r="BK105">
        <v>285232</v>
      </c>
      <c r="BL105">
        <v>0</v>
      </c>
      <c r="BM105">
        <v>0</v>
      </c>
      <c r="BN105">
        <v>273325</v>
      </c>
      <c r="BO105">
        <v>0</v>
      </c>
      <c r="BP105">
        <v>0</v>
      </c>
      <c r="BQ105">
        <v>0</v>
      </c>
      <c r="BR105">
        <v>0</v>
      </c>
      <c r="BS105">
        <v>1039154</v>
      </c>
      <c r="BT105">
        <v>63307</v>
      </c>
      <c r="BU105">
        <v>50537</v>
      </c>
      <c r="BV105">
        <v>78587</v>
      </c>
      <c r="BW105">
        <v>0</v>
      </c>
      <c r="BX105">
        <v>0</v>
      </c>
      <c r="BY105">
        <v>0</v>
      </c>
      <c r="BZ105">
        <v>1450732</v>
      </c>
      <c r="CA105">
        <v>24248</v>
      </c>
    </row>
    <row r="106" spans="1:79" x14ac:dyDescent="0.3">
      <c r="A106" s="155">
        <v>371</v>
      </c>
      <c r="B106" t="s">
        <v>248</v>
      </c>
      <c r="D106">
        <v>0</v>
      </c>
      <c r="E106">
        <v>2128704</v>
      </c>
      <c r="F106">
        <v>0</v>
      </c>
      <c r="G106">
        <v>0</v>
      </c>
      <c r="H106">
        <v>0</v>
      </c>
      <c r="I106">
        <v>0</v>
      </c>
      <c r="J106">
        <v>0</v>
      </c>
      <c r="K106">
        <v>0</v>
      </c>
      <c r="L106">
        <v>0</v>
      </c>
      <c r="M106">
        <v>0</v>
      </c>
      <c r="N106">
        <v>0</v>
      </c>
      <c r="O106">
        <v>0</v>
      </c>
      <c r="P106">
        <v>0</v>
      </c>
      <c r="Q106">
        <v>0</v>
      </c>
      <c r="R106">
        <v>0</v>
      </c>
      <c r="S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P106">
        <v>0</v>
      </c>
      <c r="AQ106">
        <v>0</v>
      </c>
      <c r="AR106">
        <v>0</v>
      </c>
      <c r="AS106">
        <v>0</v>
      </c>
      <c r="AT106">
        <v>0</v>
      </c>
      <c r="AU106">
        <v>0</v>
      </c>
      <c r="AV106">
        <v>0</v>
      </c>
      <c r="AX106">
        <v>0</v>
      </c>
      <c r="AY106">
        <v>0</v>
      </c>
      <c r="AZ106">
        <v>0</v>
      </c>
      <c r="BA106">
        <v>0</v>
      </c>
      <c r="BB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row>
    <row r="107" spans="1:79" x14ac:dyDescent="0.3">
      <c r="A107" s="155">
        <v>373</v>
      </c>
      <c r="B107" t="s">
        <v>304</v>
      </c>
      <c r="D107">
        <v>1305784</v>
      </c>
      <c r="E107">
        <v>17971963</v>
      </c>
      <c r="F107">
        <v>242373</v>
      </c>
      <c r="G107">
        <v>105900092</v>
      </c>
      <c r="H107">
        <v>6620303</v>
      </c>
      <c r="I107">
        <v>116618</v>
      </c>
      <c r="J107">
        <v>1023383</v>
      </c>
      <c r="K107">
        <v>1737867</v>
      </c>
      <c r="L107">
        <v>107880434</v>
      </c>
      <c r="M107">
        <v>82609</v>
      </c>
      <c r="N107">
        <v>1074731</v>
      </c>
      <c r="O107">
        <v>2878681</v>
      </c>
      <c r="P107">
        <v>81533247</v>
      </c>
      <c r="Q107">
        <v>25032342</v>
      </c>
      <c r="R107">
        <v>6075470</v>
      </c>
      <c r="S107">
        <v>22598246</v>
      </c>
      <c r="U107">
        <v>28597913</v>
      </c>
      <c r="V107">
        <v>9300</v>
      </c>
      <c r="W107">
        <v>22012455</v>
      </c>
      <c r="X107">
        <v>30609005</v>
      </c>
      <c r="Y107">
        <v>5790176</v>
      </c>
      <c r="Z107">
        <v>15673095</v>
      </c>
      <c r="AA107">
        <v>6076843</v>
      </c>
      <c r="AB107">
        <v>575509</v>
      </c>
      <c r="AC107">
        <v>664043</v>
      </c>
      <c r="AD107">
        <v>2301923</v>
      </c>
      <c r="AE107">
        <v>3562010</v>
      </c>
      <c r="AF107">
        <v>188779</v>
      </c>
      <c r="AG107">
        <v>87247</v>
      </c>
      <c r="AH107">
        <v>856176</v>
      </c>
      <c r="AI107">
        <v>1370520</v>
      </c>
      <c r="AJ107">
        <v>8074917</v>
      </c>
      <c r="AK107">
        <v>1039970</v>
      </c>
      <c r="AL107">
        <v>18730</v>
      </c>
      <c r="AM107">
        <v>49702866</v>
      </c>
      <c r="AN107">
        <v>59425854</v>
      </c>
      <c r="AP107">
        <v>4673717</v>
      </c>
      <c r="AQ107">
        <v>69100952</v>
      </c>
      <c r="AR107">
        <v>2942229</v>
      </c>
      <c r="AS107">
        <v>1840814</v>
      </c>
      <c r="AT107">
        <v>4390418</v>
      </c>
      <c r="AU107">
        <v>25361341</v>
      </c>
      <c r="AV107">
        <v>126257</v>
      </c>
      <c r="AX107">
        <v>5120438</v>
      </c>
      <c r="AY107">
        <v>5977492</v>
      </c>
      <c r="AZ107">
        <v>6786840</v>
      </c>
      <c r="BA107">
        <v>4950</v>
      </c>
      <c r="BB107">
        <v>3888815</v>
      </c>
      <c r="BD107">
        <v>87916</v>
      </c>
      <c r="BE107">
        <v>26708076</v>
      </c>
      <c r="BF107">
        <v>254629</v>
      </c>
      <c r="BG107">
        <v>101588</v>
      </c>
      <c r="BH107">
        <v>4207328</v>
      </c>
      <c r="BI107">
        <v>4031148</v>
      </c>
      <c r="BJ107">
        <v>783195</v>
      </c>
      <c r="BK107">
        <v>10228033</v>
      </c>
      <c r="BL107">
        <v>6893314</v>
      </c>
      <c r="BM107">
        <v>0</v>
      </c>
      <c r="BN107">
        <v>10547901</v>
      </c>
      <c r="BO107">
        <v>6186274</v>
      </c>
      <c r="BP107">
        <v>794613</v>
      </c>
      <c r="BQ107">
        <v>2095083</v>
      </c>
      <c r="BR107">
        <v>516226</v>
      </c>
      <c r="BS107">
        <v>121555728</v>
      </c>
      <c r="BT107">
        <v>3064689</v>
      </c>
      <c r="BU107">
        <v>4107330</v>
      </c>
      <c r="BV107">
        <v>814364</v>
      </c>
      <c r="BW107">
        <v>996392</v>
      </c>
      <c r="BX107">
        <v>36342</v>
      </c>
      <c r="BY107">
        <v>63298</v>
      </c>
      <c r="BZ107">
        <v>18320813</v>
      </c>
      <c r="CA107">
        <v>83023</v>
      </c>
    </row>
    <row r="108" spans="1:79" x14ac:dyDescent="0.3">
      <c r="A108" s="155">
        <v>375</v>
      </c>
      <c r="B108" t="s">
        <v>213</v>
      </c>
      <c r="D108">
        <v>0</v>
      </c>
      <c r="E108">
        <v>0</v>
      </c>
      <c r="F108">
        <v>228553</v>
      </c>
      <c r="G108">
        <v>44114330</v>
      </c>
      <c r="H108">
        <v>9903961</v>
      </c>
      <c r="I108">
        <v>-45640</v>
      </c>
      <c r="J108">
        <v>6412017</v>
      </c>
      <c r="K108">
        <v>331343</v>
      </c>
      <c r="L108">
        <v>-2821169</v>
      </c>
      <c r="M108">
        <v>0</v>
      </c>
      <c r="N108">
        <v>1100405</v>
      </c>
      <c r="O108">
        <v>919482</v>
      </c>
      <c r="P108">
        <v>0</v>
      </c>
      <c r="Q108">
        <v>7452471</v>
      </c>
      <c r="R108">
        <v>7594965</v>
      </c>
      <c r="S108">
        <v>6126070</v>
      </c>
      <c r="U108">
        <v>10119302</v>
      </c>
      <c r="V108">
        <v>0</v>
      </c>
      <c r="W108">
        <v>0</v>
      </c>
      <c r="X108">
        <v>38450</v>
      </c>
      <c r="Y108">
        <v>2457277</v>
      </c>
      <c r="Z108">
        <v>1217989</v>
      </c>
      <c r="AA108">
        <v>883581</v>
      </c>
      <c r="AB108">
        <v>0</v>
      </c>
      <c r="AC108">
        <v>87278</v>
      </c>
      <c r="AD108">
        <v>1704969</v>
      </c>
      <c r="AE108">
        <v>2003899</v>
      </c>
      <c r="AF108">
        <v>55166</v>
      </c>
      <c r="AG108">
        <v>0</v>
      </c>
      <c r="AH108">
        <v>0</v>
      </c>
      <c r="AI108">
        <v>875270</v>
      </c>
      <c r="AJ108">
        <v>3674287</v>
      </c>
      <c r="AK108">
        <v>174829</v>
      </c>
      <c r="AL108">
        <v>0</v>
      </c>
      <c r="AM108">
        <v>0</v>
      </c>
      <c r="AN108">
        <v>11376464</v>
      </c>
      <c r="AP108">
        <v>0</v>
      </c>
      <c r="AQ108">
        <v>7801675</v>
      </c>
      <c r="AR108">
        <v>825022</v>
      </c>
      <c r="AS108">
        <v>132467</v>
      </c>
      <c r="AT108">
        <v>1040659</v>
      </c>
      <c r="AU108">
        <v>4691882</v>
      </c>
      <c r="AV108">
        <v>1272906</v>
      </c>
      <c r="AX108">
        <v>1579883</v>
      </c>
      <c r="AY108">
        <v>1331207</v>
      </c>
      <c r="AZ108">
        <v>1240771</v>
      </c>
      <c r="BA108">
        <v>-28177</v>
      </c>
      <c r="BB108">
        <v>400621</v>
      </c>
      <c r="BD108">
        <v>0</v>
      </c>
      <c r="BE108">
        <v>2960244</v>
      </c>
      <c r="BF108">
        <v>-97226</v>
      </c>
      <c r="BG108">
        <v>0</v>
      </c>
      <c r="BH108">
        <v>2031041</v>
      </c>
      <c r="BI108">
        <v>2204307</v>
      </c>
      <c r="BJ108">
        <v>-120535</v>
      </c>
      <c r="BK108">
        <v>6104838</v>
      </c>
      <c r="BL108">
        <v>2492882</v>
      </c>
      <c r="BM108">
        <v>0</v>
      </c>
      <c r="BN108">
        <v>2320143</v>
      </c>
      <c r="BO108">
        <v>3743777</v>
      </c>
      <c r="BP108">
        <v>1178985</v>
      </c>
      <c r="BQ108">
        <v>2994669</v>
      </c>
      <c r="BR108">
        <v>0</v>
      </c>
      <c r="BS108">
        <v>0</v>
      </c>
      <c r="BT108">
        <v>1197375</v>
      </c>
      <c r="BU108">
        <v>-545241</v>
      </c>
      <c r="BV108">
        <v>148211</v>
      </c>
      <c r="BW108">
        <v>1132548</v>
      </c>
      <c r="BX108">
        <v>0</v>
      </c>
      <c r="BY108">
        <v>0</v>
      </c>
      <c r="BZ108">
        <v>6635335</v>
      </c>
      <c r="CA108">
        <v>0</v>
      </c>
    </row>
    <row r="109" spans="1:79" x14ac:dyDescent="0.3">
      <c r="A109" s="155">
        <v>376</v>
      </c>
      <c r="B109" t="s">
        <v>100</v>
      </c>
      <c r="D109">
        <v>86991</v>
      </c>
      <c r="E109">
        <v>0</v>
      </c>
      <c r="F109">
        <v>0</v>
      </c>
      <c r="G109">
        <v>0</v>
      </c>
      <c r="H109">
        <v>0</v>
      </c>
      <c r="I109">
        <v>0</v>
      </c>
      <c r="J109">
        <v>0</v>
      </c>
      <c r="K109">
        <v>0</v>
      </c>
      <c r="L109">
        <v>0</v>
      </c>
      <c r="M109">
        <v>0</v>
      </c>
      <c r="N109">
        <v>0</v>
      </c>
      <c r="O109">
        <v>-38534</v>
      </c>
      <c r="P109">
        <v>0</v>
      </c>
      <c r="Q109">
        <v>0</v>
      </c>
      <c r="R109">
        <v>0</v>
      </c>
      <c r="S109">
        <v>0</v>
      </c>
      <c r="U109">
        <v>0</v>
      </c>
      <c r="V109">
        <v>0</v>
      </c>
      <c r="W109">
        <v>0</v>
      </c>
      <c r="X109">
        <v>0</v>
      </c>
      <c r="Y109">
        <v>0</v>
      </c>
      <c r="Z109">
        <v>0</v>
      </c>
      <c r="AA109">
        <v>-377772</v>
      </c>
      <c r="AB109">
        <v>0</v>
      </c>
      <c r="AC109">
        <v>0</v>
      </c>
      <c r="AD109">
        <v>0</v>
      </c>
      <c r="AE109">
        <v>3209515</v>
      </c>
      <c r="AF109">
        <v>0</v>
      </c>
      <c r="AG109">
        <v>0</v>
      </c>
      <c r="AH109">
        <v>0</v>
      </c>
      <c r="AI109">
        <v>0</v>
      </c>
      <c r="AJ109">
        <v>0</v>
      </c>
      <c r="AK109">
        <v>0</v>
      </c>
      <c r="AL109">
        <v>0</v>
      </c>
      <c r="AM109">
        <v>-491222</v>
      </c>
      <c r="AN109">
        <v>0</v>
      </c>
      <c r="AP109">
        <v>0</v>
      </c>
      <c r="AQ109">
        <v>0</v>
      </c>
      <c r="AR109">
        <v>0</v>
      </c>
      <c r="AS109">
        <v>0</v>
      </c>
      <c r="AT109">
        <v>0</v>
      </c>
      <c r="AU109">
        <v>0</v>
      </c>
      <c r="AV109">
        <v>0</v>
      </c>
      <c r="AX109">
        <v>0</v>
      </c>
      <c r="AY109">
        <v>0</v>
      </c>
      <c r="AZ109">
        <v>0</v>
      </c>
      <c r="BA109">
        <v>-2</v>
      </c>
      <c r="BB109">
        <v>0</v>
      </c>
      <c r="BD109">
        <v>0</v>
      </c>
      <c r="BE109">
        <v>0</v>
      </c>
      <c r="BF109">
        <v>0</v>
      </c>
      <c r="BG109">
        <v>0</v>
      </c>
      <c r="BH109">
        <v>0</v>
      </c>
      <c r="BI109">
        <v>0</v>
      </c>
      <c r="BJ109">
        <v>-37211</v>
      </c>
      <c r="BK109">
        <v>0</v>
      </c>
      <c r="BL109">
        <v>0</v>
      </c>
      <c r="BM109">
        <v>0</v>
      </c>
      <c r="BN109">
        <v>0</v>
      </c>
      <c r="BO109">
        <v>59801</v>
      </c>
      <c r="BP109">
        <v>2</v>
      </c>
      <c r="BQ109">
        <v>0</v>
      </c>
      <c r="BR109">
        <v>0</v>
      </c>
      <c r="BS109">
        <v>0</v>
      </c>
      <c r="BT109">
        <v>0</v>
      </c>
      <c r="BU109">
        <v>0</v>
      </c>
      <c r="BV109">
        <v>0</v>
      </c>
      <c r="BW109">
        <v>0</v>
      </c>
      <c r="BX109">
        <v>0</v>
      </c>
      <c r="BY109">
        <v>0</v>
      </c>
      <c r="BZ109">
        <v>-427347</v>
      </c>
      <c r="CA109">
        <v>0</v>
      </c>
    </row>
    <row r="110" spans="1:79" x14ac:dyDescent="0.3">
      <c r="A110" s="155">
        <v>377</v>
      </c>
      <c r="B110" t="s">
        <v>101</v>
      </c>
      <c r="D110">
        <v>0</v>
      </c>
      <c r="E110">
        <v>0</v>
      </c>
      <c r="F110">
        <v>0</v>
      </c>
      <c r="G110">
        <v>0</v>
      </c>
      <c r="H110">
        <v>0</v>
      </c>
      <c r="I110">
        <v>0</v>
      </c>
      <c r="J110">
        <v>0</v>
      </c>
      <c r="K110">
        <v>0</v>
      </c>
      <c r="L110">
        <v>0</v>
      </c>
      <c r="M110">
        <v>0</v>
      </c>
      <c r="N110">
        <v>0</v>
      </c>
      <c r="O110">
        <v>0</v>
      </c>
      <c r="P110">
        <v>0</v>
      </c>
      <c r="Q110">
        <v>0</v>
      </c>
      <c r="R110">
        <v>0</v>
      </c>
      <c r="S110">
        <v>0</v>
      </c>
      <c r="U110">
        <v>0</v>
      </c>
      <c r="V110">
        <v>0</v>
      </c>
      <c r="W110">
        <v>0</v>
      </c>
      <c r="X110">
        <v>0</v>
      </c>
      <c r="Y110">
        <v>0</v>
      </c>
      <c r="Z110">
        <v>0</v>
      </c>
      <c r="AA110">
        <v>0</v>
      </c>
      <c r="AB110">
        <v>0</v>
      </c>
      <c r="AC110">
        <v>0</v>
      </c>
      <c r="AD110">
        <v>0</v>
      </c>
      <c r="AE110">
        <v>1700811</v>
      </c>
      <c r="AF110">
        <v>0</v>
      </c>
      <c r="AG110">
        <v>0</v>
      </c>
      <c r="AH110">
        <v>0</v>
      </c>
      <c r="AI110">
        <v>0</v>
      </c>
      <c r="AJ110">
        <v>-1</v>
      </c>
      <c r="AK110">
        <v>0</v>
      </c>
      <c r="AL110">
        <v>0</v>
      </c>
      <c r="AM110">
        <v>103308</v>
      </c>
      <c r="AN110">
        <v>0</v>
      </c>
      <c r="AP110">
        <v>0</v>
      </c>
      <c r="AQ110">
        <v>0</v>
      </c>
      <c r="AR110">
        <v>0</v>
      </c>
      <c r="AS110">
        <v>0</v>
      </c>
      <c r="AT110">
        <v>0</v>
      </c>
      <c r="AU110">
        <v>0</v>
      </c>
      <c r="AV110">
        <v>0</v>
      </c>
      <c r="AX110">
        <v>0</v>
      </c>
      <c r="AY110">
        <v>0</v>
      </c>
      <c r="AZ110">
        <v>0</v>
      </c>
      <c r="BA110">
        <v>1</v>
      </c>
      <c r="BB110">
        <v>0</v>
      </c>
      <c r="BD110">
        <v>0</v>
      </c>
      <c r="BE110">
        <v>0</v>
      </c>
      <c r="BF110">
        <v>0</v>
      </c>
      <c r="BG110">
        <v>0</v>
      </c>
      <c r="BH110">
        <v>0</v>
      </c>
      <c r="BI110">
        <v>0</v>
      </c>
      <c r="BJ110">
        <v>15979</v>
      </c>
      <c r="BK110">
        <v>0</v>
      </c>
      <c r="BL110">
        <v>0</v>
      </c>
      <c r="BM110">
        <v>0</v>
      </c>
      <c r="BN110">
        <v>0</v>
      </c>
      <c r="BO110">
        <v>0</v>
      </c>
      <c r="BP110">
        <v>0</v>
      </c>
      <c r="BQ110">
        <v>-1</v>
      </c>
      <c r="BR110">
        <v>0</v>
      </c>
      <c r="BS110">
        <v>0</v>
      </c>
      <c r="BT110">
        <v>0</v>
      </c>
      <c r="BU110">
        <v>-1</v>
      </c>
      <c r="BV110">
        <v>0</v>
      </c>
      <c r="BW110">
        <v>0</v>
      </c>
      <c r="BX110">
        <v>0</v>
      </c>
      <c r="BY110">
        <v>0</v>
      </c>
      <c r="BZ110">
        <v>0</v>
      </c>
      <c r="CA110">
        <v>0</v>
      </c>
    </row>
    <row r="111" spans="1:79" x14ac:dyDescent="0.3">
      <c r="A111" s="155">
        <v>378</v>
      </c>
      <c r="B111" t="s">
        <v>102</v>
      </c>
      <c r="D111">
        <v>0</v>
      </c>
      <c r="E111">
        <v>0</v>
      </c>
      <c r="F111">
        <v>0</v>
      </c>
      <c r="G111">
        <v>0</v>
      </c>
      <c r="H111">
        <v>0</v>
      </c>
      <c r="I111">
        <v>0</v>
      </c>
      <c r="J111">
        <v>0</v>
      </c>
      <c r="K111">
        <v>0</v>
      </c>
      <c r="L111">
        <v>0</v>
      </c>
      <c r="M111">
        <v>0</v>
      </c>
      <c r="N111">
        <v>0</v>
      </c>
      <c r="O111">
        <v>0</v>
      </c>
      <c r="P111">
        <v>0</v>
      </c>
      <c r="Q111">
        <v>0</v>
      </c>
      <c r="R111">
        <v>0</v>
      </c>
      <c r="S111">
        <v>0</v>
      </c>
      <c r="U111">
        <v>0</v>
      </c>
      <c r="V111">
        <v>0</v>
      </c>
      <c r="W111">
        <v>0</v>
      </c>
      <c r="X111">
        <v>0</v>
      </c>
      <c r="Y111">
        <v>0</v>
      </c>
      <c r="Z111">
        <v>0</v>
      </c>
      <c r="AA111">
        <v>0</v>
      </c>
      <c r="AB111">
        <v>0</v>
      </c>
      <c r="AC111">
        <v>0</v>
      </c>
      <c r="AD111">
        <v>0</v>
      </c>
      <c r="AE111">
        <v>520615</v>
      </c>
      <c r="AF111">
        <v>0</v>
      </c>
      <c r="AG111">
        <v>0</v>
      </c>
      <c r="AH111">
        <v>0</v>
      </c>
      <c r="AI111">
        <v>0</v>
      </c>
      <c r="AJ111">
        <v>1</v>
      </c>
      <c r="AK111">
        <v>0</v>
      </c>
      <c r="AL111">
        <v>0</v>
      </c>
      <c r="AM111">
        <v>0</v>
      </c>
      <c r="AN111">
        <v>0</v>
      </c>
      <c r="AP111">
        <v>0</v>
      </c>
      <c r="AQ111">
        <v>0</v>
      </c>
      <c r="AR111">
        <v>0</v>
      </c>
      <c r="AS111">
        <v>0</v>
      </c>
      <c r="AT111">
        <v>0</v>
      </c>
      <c r="AU111">
        <v>0</v>
      </c>
      <c r="AV111">
        <v>0</v>
      </c>
      <c r="AX111">
        <v>0</v>
      </c>
      <c r="AY111">
        <v>0</v>
      </c>
      <c r="AZ111">
        <v>0</v>
      </c>
      <c r="BA111">
        <v>0</v>
      </c>
      <c r="BB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row>
    <row r="112" spans="1:79" x14ac:dyDescent="0.3">
      <c r="A112" s="155">
        <v>379</v>
      </c>
      <c r="B112" t="s">
        <v>110</v>
      </c>
      <c r="D112">
        <v>1014885</v>
      </c>
      <c r="E112">
        <v>26474028</v>
      </c>
      <c r="F112">
        <v>700607</v>
      </c>
      <c r="G112">
        <v>40936005</v>
      </c>
      <c r="H112">
        <v>5193267</v>
      </c>
      <c r="I112">
        <v>629736</v>
      </c>
      <c r="J112">
        <v>2804815</v>
      </c>
      <c r="K112">
        <v>1761346</v>
      </c>
      <c r="L112">
        <v>33822010</v>
      </c>
      <c r="M112">
        <v>300280</v>
      </c>
      <c r="N112">
        <v>986063</v>
      </c>
      <c r="O112">
        <v>1062271</v>
      </c>
      <c r="P112">
        <v>17596478</v>
      </c>
      <c r="Q112">
        <v>23159202</v>
      </c>
      <c r="R112">
        <v>3366148</v>
      </c>
      <c r="S112">
        <v>10891969</v>
      </c>
      <c r="U112">
        <v>10465087</v>
      </c>
      <c r="V112">
        <v>271156</v>
      </c>
      <c r="W112">
        <v>14998500</v>
      </c>
      <c r="X112">
        <v>11867910</v>
      </c>
      <c r="Y112">
        <v>6440323</v>
      </c>
      <c r="Z112">
        <v>2847385</v>
      </c>
      <c r="AA112">
        <v>5408790</v>
      </c>
      <c r="AB112">
        <v>1517101</v>
      </c>
      <c r="AC112">
        <v>187962</v>
      </c>
      <c r="AD112">
        <v>1760603</v>
      </c>
      <c r="AE112">
        <v>2637886</v>
      </c>
      <c r="AF112">
        <v>122769</v>
      </c>
      <c r="AG112">
        <v>89991</v>
      </c>
      <c r="AH112">
        <v>264340</v>
      </c>
      <c r="AI112">
        <v>3031290</v>
      </c>
      <c r="AJ112">
        <v>4021716</v>
      </c>
      <c r="AK112">
        <v>380390</v>
      </c>
      <c r="AL112">
        <v>126764</v>
      </c>
      <c r="AM112">
        <v>17084488</v>
      </c>
      <c r="AN112">
        <v>15162488</v>
      </c>
      <c r="AP112">
        <v>6738131</v>
      </c>
      <c r="AQ112">
        <v>16295399</v>
      </c>
      <c r="AR112">
        <v>3262303</v>
      </c>
      <c r="AS112">
        <v>640610</v>
      </c>
      <c r="AT112">
        <v>2911101</v>
      </c>
      <c r="AU112">
        <v>8405933</v>
      </c>
      <c r="AV112">
        <v>262325</v>
      </c>
      <c r="AX112">
        <v>4551171</v>
      </c>
      <c r="AY112">
        <v>3564764</v>
      </c>
      <c r="AZ112">
        <v>3007390</v>
      </c>
      <c r="BA112">
        <v>160964</v>
      </c>
      <c r="BB112">
        <v>2605618</v>
      </c>
      <c r="BD112">
        <v>408685</v>
      </c>
      <c r="BE112">
        <v>8606600</v>
      </c>
      <c r="BF112">
        <v>733246</v>
      </c>
      <c r="BG112">
        <v>218915</v>
      </c>
      <c r="BH112">
        <v>3707637</v>
      </c>
      <c r="BI112">
        <v>4236977</v>
      </c>
      <c r="BJ112">
        <v>801813</v>
      </c>
      <c r="BK112">
        <v>4396634</v>
      </c>
      <c r="BL112">
        <v>7425806</v>
      </c>
      <c r="BM112">
        <v>166350</v>
      </c>
      <c r="BN112">
        <v>5496984</v>
      </c>
      <c r="BO112">
        <v>4741510</v>
      </c>
      <c r="BP112">
        <v>1746351</v>
      </c>
      <c r="BQ112">
        <v>991865</v>
      </c>
      <c r="BR112">
        <v>2434529</v>
      </c>
      <c r="BS112">
        <v>14583998</v>
      </c>
      <c r="BT112">
        <v>3204421</v>
      </c>
      <c r="BU112">
        <v>2526927</v>
      </c>
      <c r="BV112">
        <v>1037531</v>
      </c>
      <c r="BW112">
        <v>1562380</v>
      </c>
      <c r="BX112">
        <v>198774</v>
      </c>
      <c r="BY112">
        <v>214932</v>
      </c>
      <c r="BZ112">
        <v>17897661</v>
      </c>
      <c r="CA112">
        <v>110554</v>
      </c>
    </row>
    <row r="113" spans="1:79" x14ac:dyDescent="0.3">
      <c r="A113" s="155">
        <v>380</v>
      </c>
      <c r="B113" t="s">
        <v>113</v>
      </c>
      <c r="D113">
        <v>5904</v>
      </c>
      <c r="E113">
        <v>57833</v>
      </c>
      <c r="F113">
        <v>51337</v>
      </c>
      <c r="G113">
        <v>351236</v>
      </c>
      <c r="H113">
        <v>12200</v>
      </c>
      <c r="I113">
        <v>30317</v>
      </c>
      <c r="J113">
        <v>114986</v>
      </c>
      <c r="K113">
        <v>110919</v>
      </c>
      <c r="L113">
        <v>720657</v>
      </c>
      <c r="M113">
        <v>3387</v>
      </c>
      <c r="N113">
        <v>75977</v>
      </c>
      <c r="O113">
        <v>10474</v>
      </c>
      <c r="P113">
        <v>228364</v>
      </c>
      <c r="Q113">
        <v>82954</v>
      </c>
      <c r="R113">
        <v>61115</v>
      </c>
      <c r="S113">
        <v>49685</v>
      </c>
      <c r="U113">
        <v>528948</v>
      </c>
      <c r="V113">
        <v>1386</v>
      </c>
      <c r="W113">
        <v>49388</v>
      </c>
      <c r="X113">
        <v>174726</v>
      </c>
      <c r="Y113">
        <v>30283</v>
      </c>
      <c r="Z113">
        <v>63071</v>
      </c>
      <c r="AA113">
        <v>111407</v>
      </c>
      <c r="AB113">
        <v>432</v>
      </c>
      <c r="AC113">
        <v>0</v>
      </c>
      <c r="AD113">
        <v>7087</v>
      </c>
      <c r="AE113">
        <v>86692</v>
      </c>
      <c r="AF113">
        <v>6067</v>
      </c>
      <c r="AG113">
        <v>2124</v>
      </c>
      <c r="AH113">
        <v>706</v>
      </c>
      <c r="AI113">
        <v>5316</v>
      </c>
      <c r="AJ113">
        <v>533217</v>
      </c>
      <c r="AK113">
        <v>3445</v>
      </c>
      <c r="AL113">
        <v>985</v>
      </c>
      <c r="AM113">
        <v>34958</v>
      </c>
      <c r="AN113">
        <v>220587</v>
      </c>
      <c r="AP113">
        <v>21999</v>
      </c>
      <c r="AQ113">
        <v>296312</v>
      </c>
      <c r="AR113">
        <v>19727</v>
      </c>
      <c r="AS113">
        <v>18606</v>
      </c>
      <c r="AT113">
        <v>15568</v>
      </c>
      <c r="AU113">
        <v>52600</v>
      </c>
      <c r="AV113">
        <v>859</v>
      </c>
      <c r="AX113">
        <v>57682</v>
      </c>
      <c r="AY113">
        <v>34018</v>
      </c>
      <c r="AZ113">
        <v>34396</v>
      </c>
      <c r="BA113">
        <v>5693</v>
      </c>
      <c r="BB113">
        <v>27863</v>
      </c>
      <c r="BD113">
        <v>4507</v>
      </c>
      <c r="BE113">
        <v>630270</v>
      </c>
      <c r="BF113">
        <v>39702</v>
      </c>
      <c r="BG113">
        <v>1567</v>
      </c>
      <c r="BH113">
        <v>49799</v>
      </c>
      <c r="BI113">
        <v>45700</v>
      </c>
      <c r="BJ113">
        <v>0</v>
      </c>
      <c r="BK113">
        <v>11979</v>
      </c>
      <c r="BL113">
        <v>23803</v>
      </c>
      <c r="BM113">
        <v>0</v>
      </c>
      <c r="BN113">
        <v>48681</v>
      </c>
      <c r="BO113">
        <v>39593</v>
      </c>
      <c r="BP113">
        <v>18159</v>
      </c>
      <c r="BQ113">
        <v>22107</v>
      </c>
      <c r="BR113">
        <v>3646</v>
      </c>
      <c r="BS113">
        <v>284137</v>
      </c>
      <c r="BT113">
        <v>477203</v>
      </c>
      <c r="BU113">
        <v>27708</v>
      </c>
      <c r="BV113">
        <v>88289</v>
      </c>
      <c r="BW113">
        <v>1947</v>
      </c>
      <c r="BX113">
        <v>380</v>
      </c>
      <c r="BY113">
        <v>1619</v>
      </c>
      <c r="BZ113">
        <v>85539</v>
      </c>
      <c r="CA113">
        <v>11105</v>
      </c>
    </row>
    <row r="114" spans="1:79" x14ac:dyDescent="0.3">
      <c r="A114" s="155">
        <v>381</v>
      </c>
      <c r="B114" t="s">
        <v>105</v>
      </c>
      <c r="D114">
        <v>0</v>
      </c>
      <c r="E114">
        <v>0</v>
      </c>
      <c r="F114">
        <v>901088</v>
      </c>
      <c r="G114">
        <v>136719456</v>
      </c>
      <c r="H114">
        <v>25884940</v>
      </c>
      <c r="I114">
        <v>669280</v>
      </c>
      <c r="J114">
        <v>11635301</v>
      </c>
      <c r="K114">
        <v>7315355</v>
      </c>
      <c r="L114">
        <v>146850617</v>
      </c>
      <c r="M114">
        <v>0</v>
      </c>
      <c r="N114">
        <v>4013751</v>
      </c>
      <c r="O114">
        <v>6702410</v>
      </c>
      <c r="P114">
        <v>0</v>
      </c>
      <c r="Q114">
        <v>25914094</v>
      </c>
      <c r="R114">
        <v>36514545</v>
      </c>
      <c r="S114">
        <v>61654829</v>
      </c>
      <c r="U114">
        <v>90386898</v>
      </c>
      <c r="V114">
        <v>0</v>
      </c>
      <c r="W114">
        <v>0</v>
      </c>
      <c r="X114">
        <v>185109</v>
      </c>
      <c r="Y114">
        <v>10988120</v>
      </c>
      <c r="Z114">
        <v>9014584</v>
      </c>
      <c r="AA114">
        <v>7669363</v>
      </c>
      <c r="AB114">
        <v>0</v>
      </c>
      <c r="AC114">
        <v>372268</v>
      </c>
      <c r="AD114">
        <v>10216194</v>
      </c>
      <c r="AE114">
        <v>14290120</v>
      </c>
      <c r="AF114">
        <v>664411</v>
      </c>
      <c r="AG114">
        <v>0</v>
      </c>
      <c r="AH114">
        <v>0</v>
      </c>
      <c r="AI114">
        <v>988533</v>
      </c>
      <c r="AJ114">
        <v>44338615</v>
      </c>
      <c r="AK114">
        <v>1790827</v>
      </c>
      <c r="AL114">
        <v>0</v>
      </c>
      <c r="AM114">
        <v>0</v>
      </c>
      <c r="AN114">
        <v>83858707</v>
      </c>
      <c r="AP114">
        <v>0</v>
      </c>
      <c r="AQ114">
        <v>47157812</v>
      </c>
      <c r="AR114">
        <v>5593600</v>
      </c>
      <c r="AS114">
        <v>4624769</v>
      </c>
      <c r="AT114">
        <v>6046853</v>
      </c>
      <c r="AU114">
        <v>35012748</v>
      </c>
      <c r="AV114">
        <v>1898599</v>
      </c>
      <c r="AX114">
        <v>11820991</v>
      </c>
      <c r="AY114">
        <v>9477455</v>
      </c>
      <c r="AZ114">
        <v>17019776</v>
      </c>
      <c r="BA114">
        <v>3122</v>
      </c>
      <c r="BB114">
        <v>3873381</v>
      </c>
      <c r="BD114">
        <v>0</v>
      </c>
      <c r="BE114">
        <v>63455664</v>
      </c>
      <c r="BF114">
        <v>2604352</v>
      </c>
      <c r="BG114">
        <v>0</v>
      </c>
      <c r="BH114">
        <v>7491960</v>
      </c>
      <c r="BI114">
        <v>7730596</v>
      </c>
      <c r="BJ114">
        <v>5951887</v>
      </c>
      <c r="BK114">
        <v>14960066</v>
      </c>
      <c r="BL114">
        <v>8759180</v>
      </c>
      <c r="BM114">
        <v>0</v>
      </c>
      <c r="BN114">
        <v>20927951</v>
      </c>
      <c r="BO114">
        <v>12635045</v>
      </c>
      <c r="BP114">
        <v>8851785</v>
      </c>
      <c r="BQ114">
        <v>8216684</v>
      </c>
      <c r="BR114">
        <v>0</v>
      </c>
      <c r="BS114">
        <v>0</v>
      </c>
      <c r="BT114">
        <v>6899638</v>
      </c>
      <c r="BU114">
        <v>17326310</v>
      </c>
      <c r="BV114">
        <v>6443192</v>
      </c>
      <c r="BW114">
        <v>3367728</v>
      </c>
      <c r="BX114">
        <v>0</v>
      </c>
      <c r="BY114">
        <v>0</v>
      </c>
      <c r="BZ114">
        <v>67591808</v>
      </c>
      <c r="CA114">
        <v>0</v>
      </c>
    </row>
    <row r="115" spans="1:79" x14ac:dyDescent="0.3">
      <c r="A115" s="155">
        <v>382</v>
      </c>
      <c r="B115" t="s">
        <v>106</v>
      </c>
      <c r="D115">
        <v>0</v>
      </c>
      <c r="E115">
        <v>0</v>
      </c>
      <c r="F115">
        <v>0</v>
      </c>
      <c r="G115">
        <v>0</v>
      </c>
      <c r="H115">
        <v>0</v>
      </c>
      <c r="I115">
        <v>0</v>
      </c>
      <c r="J115">
        <v>0</v>
      </c>
      <c r="K115">
        <v>0</v>
      </c>
      <c r="L115">
        <v>0</v>
      </c>
      <c r="M115">
        <v>0</v>
      </c>
      <c r="N115">
        <v>0</v>
      </c>
      <c r="O115">
        <v>0</v>
      </c>
      <c r="P115">
        <v>0</v>
      </c>
      <c r="Q115">
        <v>0</v>
      </c>
      <c r="R115">
        <v>0</v>
      </c>
      <c r="S115">
        <v>13627566</v>
      </c>
      <c r="U115">
        <v>69494472</v>
      </c>
      <c r="V115">
        <v>0</v>
      </c>
      <c r="W115">
        <v>0</v>
      </c>
      <c r="X115">
        <v>0</v>
      </c>
      <c r="Y115">
        <v>0</v>
      </c>
      <c r="Z115">
        <v>6968558</v>
      </c>
      <c r="AA115">
        <v>1151152</v>
      </c>
      <c r="AB115">
        <v>0</v>
      </c>
      <c r="AC115">
        <v>0</v>
      </c>
      <c r="AD115">
        <v>0</v>
      </c>
      <c r="AE115">
        <v>5369809</v>
      </c>
      <c r="AF115">
        <v>0</v>
      </c>
      <c r="AG115">
        <v>0</v>
      </c>
      <c r="AH115">
        <v>0</v>
      </c>
      <c r="AI115">
        <v>0</v>
      </c>
      <c r="AJ115">
        <v>15497196</v>
      </c>
      <c r="AK115">
        <v>0</v>
      </c>
      <c r="AL115">
        <v>0</v>
      </c>
      <c r="AM115">
        <v>0</v>
      </c>
      <c r="AN115">
        <v>0</v>
      </c>
      <c r="AP115">
        <v>0</v>
      </c>
      <c r="AQ115">
        <v>79086083</v>
      </c>
      <c r="AR115">
        <v>0</v>
      </c>
      <c r="AS115">
        <v>0</v>
      </c>
      <c r="AT115">
        <v>0</v>
      </c>
      <c r="AU115">
        <v>10173699</v>
      </c>
      <c r="AV115">
        <v>0</v>
      </c>
      <c r="AX115">
        <v>0</v>
      </c>
      <c r="AY115">
        <v>0</v>
      </c>
      <c r="AZ115">
        <v>6542723</v>
      </c>
      <c r="BA115">
        <v>0</v>
      </c>
      <c r="BB115">
        <v>0</v>
      </c>
      <c r="BD115">
        <v>0</v>
      </c>
      <c r="BE115">
        <v>30451908</v>
      </c>
      <c r="BF115">
        <v>448252</v>
      </c>
      <c r="BG115">
        <v>0</v>
      </c>
      <c r="BH115">
        <v>0</v>
      </c>
      <c r="BI115">
        <v>0</v>
      </c>
      <c r="BJ115">
        <v>0</v>
      </c>
      <c r="BK115">
        <v>7004275</v>
      </c>
      <c r="BL115">
        <v>0</v>
      </c>
      <c r="BM115">
        <v>0</v>
      </c>
      <c r="BN115">
        <v>0</v>
      </c>
      <c r="BO115">
        <v>0</v>
      </c>
      <c r="BP115">
        <v>0</v>
      </c>
      <c r="BQ115">
        <v>0</v>
      </c>
      <c r="BR115">
        <v>0</v>
      </c>
      <c r="BS115">
        <v>0</v>
      </c>
      <c r="BT115">
        <v>0</v>
      </c>
      <c r="BU115">
        <v>0</v>
      </c>
      <c r="BV115">
        <v>0</v>
      </c>
      <c r="BW115">
        <v>0</v>
      </c>
      <c r="BX115">
        <v>0</v>
      </c>
      <c r="BY115">
        <v>0</v>
      </c>
      <c r="BZ115">
        <v>0</v>
      </c>
      <c r="CA115">
        <v>0</v>
      </c>
    </row>
    <row r="116" spans="1:79" x14ac:dyDescent="0.3">
      <c r="A116" s="155">
        <v>383</v>
      </c>
      <c r="B116" t="s">
        <v>212</v>
      </c>
      <c r="D116">
        <v>0</v>
      </c>
      <c r="E116">
        <v>0</v>
      </c>
      <c r="F116">
        <v>0</v>
      </c>
      <c r="G116">
        <v>0</v>
      </c>
      <c r="H116">
        <v>0</v>
      </c>
      <c r="I116">
        <v>0</v>
      </c>
      <c r="J116">
        <v>0</v>
      </c>
      <c r="K116">
        <v>0</v>
      </c>
      <c r="L116">
        <v>0</v>
      </c>
      <c r="M116">
        <v>0</v>
      </c>
      <c r="N116">
        <v>403</v>
      </c>
      <c r="O116">
        <v>0</v>
      </c>
      <c r="P116">
        <v>0</v>
      </c>
      <c r="Q116">
        <v>0</v>
      </c>
      <c r="R116">
        <v>0</v>
      </c>
      <c r="S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P116">
        <v>0</v>
      </c>
      <c r="AQ116">
        <v>0</v>
      </c>
      <c r="AR116">
        <v>2000</v>
      </c>
      <c r="AS116">
        <v>0</v>
      </c>
      <c r="AT116">
        <v>0</v>
      </c>
      <c r="AU116">
        <v>0</v>
      </c>
      <c r="AV116">
        <v>0</v>
      </c>
      <c r="AX116">
        <v>0</v>
      </c>
      <c r="AY116">
        <v>0</v>
      </c>
      <c r="AZ116">
        <v>0</v>
      </c>
      <c r="BA116">
        <v>0</v>
      </c>
      <c r="BB116">
        <v>0</v>
      </c>
      <c r="BD116">
        <v>0</v>
      </c>
      <c r="BE116">
        <v>0</v>
      </c>
      <c r="BF116">
        <v>13181</v>
      </c>
      <c r="BG116">
        <v>0</v>
      </c>
      <c r="BH116">
        <v>0</v>
      </c>
      <c r="BI116">
        <v>0</v>
      </c>
      <c r="BJ116">
        <v>0</v>
      </c>
      <c r="BK116">
        <v>0</v>
      </c>
      <c r="BL116">
        <v>0</v>
      </c>
      <c r="BM116">
        <v>0</v>
      </c>
      <c r="BN116">
        <v>0</v>
      </c>
      <c r="BO116">
        <v>6832</v>
      </c>
      <c r="BP116">
        <v>0</v>
      </c>
      <c r="BQ116">
        <v>0</v>
      </c>
      <c r="BR116">
        <v>0</v>
      </c>
      <c r="BS116">
        <v>0</v>
      </c>
      <c r="BT116">
        <v>0</v>
      </c>
      <c r="BU116">
        <v>0</v>
      </c>
      <c r="BV116">
        <v>0</v>
      </c>
      <c r="BW116">
        <v>0</v>
      </c>
      <c r="BX116">
        <v>0</v>
      </c>
      <c r="BY116">
        <v>0</v>
      </c>
      <c r="BZ116">
        <v>0</v>
      </c>
      <c r="CA116">
        <v>0</v>
      </c>
    </row>
    <row r="117" spans="1:79" x14ac:dyDescent="0.3">
      <c r="A117" s="155">
        <v>384</v>
      </c>
      <c r="B117" t="s">
        <v>116</v>
      </c>
      <c r="D117">
        <v>0</v>
      </c>
      <c r="E117">
        <v>0</v>
      </c>
      <c r="F117">
        <v>0</v>
      </c>
      <c r="G117">
        <v>0</v>
      </c>
      <c r="H117">
        <v>0</v>
      </c>
      <c r="I117">
        <v>0</v>
      </c>
      <c r="J117">
        <v>0</v>
      </c>
      <c r="K117">
        <v>0</v>
      </c>
      <c r="L117">
        <v>0</v>
      </c>
      <c r="M117">
        <v>0</v>
      </c>
      <c r="N117">
        <v>0</v>
      </c>
      <c r="O117">
        <v>0</v>
      </c>
      <c r="P117">
        <v>0</v>
      </c>
      <c r="Q117">
        <v>0</v>
      </c>
      <c r="R117">
        <v>0</v>
      </c>
      <c r="S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P117">
        <v>0</v>
      </c>
      <c r="AQ117">
        <v>0</v>
      </c>
      <c r="AR117">
        <v>0</v>
      </c>
      <c r="AS117">
        <v>0</v>
      </c>
      <c r="AT117">
        <v>0</v>
      </c>
      <c r="AU117">
        <v>0</v>
      </c>
      <c r="AV117">
        <v>0</v>
      </c>
      <c r="AX117">
        <v>0</v>
      </c>
      <c r="AY117">
        <v>0</v>
      </c>
      <c r="AZ117">
        <v>0</v>
      </c>
      <c r="BA117">
        <v>0</v>
      </c>
      <c r="BB117">
        <v>0</v>
      </c>
      <c r="BD117">
        <v>0</v>
      </c>
      <c r="BE117">
        <v>0</v>
      </c>
      <c r="BF117">
        <v>31117</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row>
    <row r="118" spans="1:79" x14ac:dyDescent="0.3">
      <c r="A118" s="155">
        <v>385</v>
      </c>
      <c r="B118" t="s">
        <v>107</v>
      </c>
      <c r="D118">
        <v>6574829</v>
      </c>
      <c r="E118">
        <v>87756751</v>
      </c>
      <c r="F118">
        <v>837116</v>
      </c>
      <c r="G118">
        <v>170888898</v>
      </c>
      <c r="H118">
        <v>16646056</v>
      </c>
      <c r="I118">
        <v>806733</v>
      </c>
      <c r="J118">
        <v>3915329</v>
      </c>
      <c r="K118">
        <v>5181227</v>
      </c>
      <c r="L118">
        <v>336522359</v>
      </c>
      <c r="M118">
        <v>373048</v>
      </c>
      <c r="N118">
        <v>2464585</v>
      </c>
      <c r="O118">
        <v>3044451</v>
      </c>
      <c r="P118">
        <v>183432414</v>
      </c>
      <c r="Q118">
        <v>60737146</v>
      </c>
      <c r="R118">
        <v>15757151</v>
      </c>
      <c r="S118">
        <v>36218040</v>
      </c>
      <c r="U118">
        <v>54455531</v>
      </c>
      <c r="V118">
        <v>272392</v>
      </c>
      <c r="W118">
        <v>31042599</v>
      </c>
      <c r="X118">
        <v>133962029</v>
      </c>
      <c r="Y118">
        <v>19621644</v>
      </c>
      <c r="Z118">
        <v>5748731</v>
      </c>
      <c r="AA118">
        <v>16360644</v>
      </c>
      <c r="AB118">
        <v>1802208</v>
      </c>
      <c r="AC118">
        <v>522547</v>
      </c>
      <c r="AD118">
        <v>3958287</v>
      </c>
      <c r="AE118">
        <v>10530310</v>
      </c>
      <c r="AF118">
        <v>1337233</v>
      </c>
      <c r="AG118">
        <v>181148</v>
      </c>
      <c r="AH118">
        <v>1305218</v>
      </c>
      <c r="AI118">
        <v>5115160</v>
      </c>
      <c r="AJ118">
        <v>19298553</v>
      </c>
      <c r="AK118">
        <v>1020240</v>
      </c>
      <c r="AL118">
        <v>147125</v>
      </c>
      <c r="AM118">
        <v>131337265</v>
      </c>
      <c r="AN118">
        <v>45091471</v>
      </c>
      <c r="AP118">
        <v>22802072</v>
      </c>
      <c r="AQ118">
        <v>81498076</v>
      </c>
      <c r="AR118">
        <v>5439831</v>
      </c>
      <c r="AS118">
        <v>2887387</v>
      </c>
      <c r="AT118">
        <v>11006860</v>
      </c>
      <c r="AU118">
        <v>33764009</v>
      </c>
      <c r="AV118">
        <v>1135710</v>
      </c>
      <c r="AX118">
        <v>17280523</v>
      </c>
      <c r="AY118">
        <v>7042466</v>
      </c>
      <c r="AZ118">
        <v>11411375</v>
      </c>
      <c r="BA118">
        <v>182825</v>
      </c>
      <c r="BB118">
        <v>4681794</v>
      </c>
      <c r="BD118">
        <v>433085</v>
      </c>
      <c r="BE118">
        <v>67703152</v>
      </c>
      <c r="BF118">
        <v>996611</v>
      </c>
      <c r="BG118">
        <v>267031</v>
      </c>
      <c r="BH118">
        <v>10134826</v>
      </c>
      <c r="BI118">
        <v>12289427</v>
      </c>
      <c r="BJ118">
        <v>1165899</v>
      </c>
      <c r="BK118">
        <v>16790416</v>
      </c>
      <c r="BL118">
        <v>16415699</v>
      </c>
      <c r="BM118">
        <v>209754</v>
      </c>
      <c r="BN118">
        <v>18199607</v>
      </c>
      <c r="BO118">
        <v>8898324</v>
      </c>
      <c r="BP118">
        <v>2423574</v>
      </c>
      <c r="BQ118">
        <v>3458724</v>
      </c>
      <c r="BR118">
        <v>14570932</v>
      </c>
      <c r="BS118">
        <v>280528944</v>
      </c>
      <c r="BT118">
        <v>5564026</v>
      </c>
      <c r="BU118">
        <v>6308842</v>
      </c>
      <c r="BV118">
        <v>2369609</v>
      </c>
      <c r="BW118">
        <v>4916431</v>
      </c>
      <c r="BX118">
        <v>205702</v>
      </c>
      <c r="BY118">
        <v>235597</v>
      </c>
      <c r="BZ118">
        <v>86753627</v>
      </c>
      <c r="CA118">
        <v>353728</v>
      </c>
    </row>
    <row r="119" spans="1:79" x14ac:dyDescent="0.3">
      <c r="A119" s="155">
        <v>386</v>
      </c>
      <c r="B119" t="s">
        <v>185</v>
      </c>
      <c r="D119">
        <v>0</v>
      </c>
      <c r="E119">
        <v>4099461</v>
      </c>
      <c r="F119">
        <v>0</v>
      </c>
      <c r="G119">
        <v>0</v>
      </c>
      <c r="H119">
        <v>0</v>
      </c>
      <c r="I119">
        <v>0</v>
      </c>
      <c r="J119">
        <v>0</v>
      </c>
      <c r="K119">
        <v>10799</v>
      </c>
      <c r="L119">
        <v>3219843</v>
      </c>
      <c r="M119">
        <v>0</v>
      </c>
      <c r="N119">
        <v>0</v>
      </c>
      <c r="O119">
        <v>0</v>
      </c>
      <c r="P119">
        <v>0</v>
      </c>
      <c r="Q119">
        <v>0</v>
      </c>
      <c r="R119">
        <v>0</v>
      </c>
      <c r="S119">
        <v>3530000</v>
      </c>
      <c r="U119">
        <v>2000000</v>
      </c>
      <c r="V119">
        <v>0</v>
      </c>
      <c r="W119">
        <v>0</v>
      </c>
      <c r="X119">
        <v>0</v>
      </c>
      <c r="Y119">
        <v>0</v>
      </c>
      <c r="Z119">
        <v>20000</v>
      </c>
      <c r="AA119">
        <v>0</v>
      </c>
      <c r="AB119">
        <v>0</v>
      </c>
      <c r="AC119">
        <v>0</v>
      </c>
      <c r="AD119">
        <v>0</v>
      </c>
      <c r="AE119">
        <v>450000</v>
      </c>
      <c r="AF119">
        <v>0</v>
      </c>
      <c r="AG119">
        <v>0</v>
      </c>
      <c r="AH119">
        <v>0</v>
      </c>
      <c r="AI119">
        <v>0</v>
      </c>
      <c r="AJ119">
        <v>367957</v>
      </c>
      <c r="AK119">
        <v>0</v>
      </c>
      <c r="AL119">
        <v>0</v>
      </c>
      <c r="AM119">
        <v>1214007</v>
      </c>
      <c r="AN119">
        <v>0</v>
      </c>
      <c r="AP119">
        <v>0</v>
      </c>
      <c r="AQ119">
        <v>2256917</v>
      </c>
      <c r="AR119">
        <v>0</v>
      </c>
      <c r="AS119">
        <v>11742</v>
      </c>
      <c r="AT119">
        <v>0</v>
      </c>
      <c r="AU119">
        <v>419687</v>
      </c>
      <c r="AV119">
        <v>20000</v>
      </c>
      <c r="AX119">
        <v>0</v>
      </c>
      <c r="AY119">
        <v>60000</v>
      </c>
      <c r="AZ119">
        <v>1221543</v>
      </c>
      <c r="BA119">
        <v>0</v>
      </c>
      <c r="BB119">
        <v>0</v>
      </c>
      <c r="BD119">
        <v>0</v>
      </c>
      <c r="BE119">
        <v>1808430</v>
      </c>
      <c r="BF119">
        <v>0</v>
      </c>
      <c r="BG119">
        <v>0</v>
      </c>
      <c r="BH119">
        <v>0</v>
      </c>
      <c r="BI119">
        <v>0</v>
      </c>
      <c r="BJ119">
        <v>0</v>
      </c>
      <c r="BK119">
        <v>0</v>
      </c>
      <c r="BL119">
        <v>0</v>
      </c>
      <c r="BM119">
        <v>0</v>
      </c>
      <c r="BN119">
        <v>173000</v>
      </c>
      <c r="BO119">
        <v>0</v>
      </c>
      <c r="BP119">
        <v>0</v>
      </c>
      <c r="BQ119">
        <v>0</v>
      </c>
      <c r="BR119">
        <v>0</v>
      </c>
      <c r="BS119">
        <v>0</v>
      </c>
      <c r="BT119">
        <v>0</v>
      </c>
      <c r="BU119">
        <v>0</v>
      </c>
      <c r="BV119">
        <v>0</v>
      </c>
      <c r="BW119">
        <v>0</v>
      </c>
      <c r="BX119">
        <v>0</v>
      </c>
      <c r="BY119">
        <v>0</v>
      </c>
      <c r="BZ119">
        <v>0</v>
      </c>
      <c r="CA119">
        <v>0</v>
      </c>
    </row>
    <row r="120" spans="1:79" x14ac:dyDescent="0.3">
      <c r="A120" s="155">
        <v>387</v>
      </c>
      <c r="B120" t="s">
        <v>186</v>
      </c>
      <c r="D120">
        <v>0</v>
      </c>
      <c r="E120">
        <v>4099461</v>
      </c>
      <c r="F120">
        <v>0</v>
      </c>
      <c r="G120">
        <v>1101181</v>
      </c>
      <c r="H120">
        <v>0</v>
      </c>
      <c r="I120">
        <v>0</v>
      </c>
      <c r="J120">
        <v>200000</v>
      </c>
      <c r="K120">
        <v>0</v>
      </c>
      <c r="L120">
        <v>7159289</v>
      </c>
      <c r="M120">
        <v>0</v>
      </c>
      <c r="N120">
        <v>0</v>
      </c>
      <c r="O120">
        <v>0</v>
      </c>
      <c r="P120">
        <v>232305</v>
      </c>
      <c r="Q120">
        <v>0</v>
      </c>
      <c r="R120">
        <v>0</v>
      </c>
      <c r="S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P120">
        <v>0</v>
      </c>
      <c r="AQ120">
        <v>725000</v>
      </c>
      <c r="AR120">
        <v>0</v>
      </c>
      <c r="AS120">
        <v>10655</v>
      </c>
      <c r="AT120">
        <v>0</v>
      </c>
      <c r="AU120">
        <v>0</v>
      </c>
      <c r="AV120">
        <v>0</v>
      </c>
      <c r="AX120">
        <v>0</v>
      </c>
      <c r="AY120">
        <v>0</v>
      </c>
      <c r="AZ120">
        <v>133676</v>
      </c>
      <c r="BA120">
        <v>0</v>
      </c>
      <c r="BB120">
        <v>0</v>
      </c>
      <c r="BD120">
        <v>0</v>
      </c>
      <c r="BE120">
        <v>0</v>
      </c>
      <c r="BF120">
        <v>0</v>
      </c>
      <c r="BG120">
        <v>0</v>
      </c>
      <c r="BH120">
        <v>0</v>
      </c>
      <c r="BI120">
        <v>0</v>
      </c>
      <c r="BJ120">
        <v>0</v>
      </c>
      <c r="BK120">
        <v>0</v>
      </c>
      <c r="BL120">
        <v>0</v>
      </c>
      <c r="BM120">
        <v>0</v>
      </c>
      <c r="BN120">
        <v>0</v>
      </c>
      <c r="BO120">
        <v>0</v>
      </c>
      <c r="BP120">
        <v>0</v>
      </c>
      <c r="BQ120">
        <v>1510315</v>
      </c>
      <c r="BR120">
        <v>0</v>
      </c>
      <c r="BS120">
        <v>0</v>
      </c>
      <c r="BT120">
        <v>18446</v>
      </c>
      <c r="BU120">
        <v>7500</v>
      </c>
      <c r="BV120">
        <v>0</v>
      </c>
      <c r="BW120">
        <v>0</v>
      </c>
      <c r="BX120">
        <v>0</v>
      </c>
      <c r="BY120">
        <v>0</v>
      </c>
      <c r="BZ120">
        <v>0</v>
      </c>
      <c r="CA120">
        <v>0</v>
      </c>
    </row>
    <row r="121" spans="1:79" x14ac:dyDescent="0.3">
      <c r="A121" s="155">
        <v>388</v>
      </c>
      <c r="B121" t="s">
        <v>180</v>
      </c>
      <c r="D121">
        <v>2273669</v>
      </c>
      <c r="E121">
        <v>14858726</v>
      </c>
      <c r="F121">
        <v>374266</v>
      </c>
      <c r="G121">
        <v>48853792</v>
      </c>
      <c r="H121">
        <v>4993722</v>
      </c>
      <c r="I121">
        <v>308899</v>
      </c>
      <c r="J121">
        <v>1335186</v>
      </c>
      <c r="K121">
        <v>2163792</v>
      </c>
      <c r="L121">
        <v>42922387</v>
      </c>
      <c r="M121">
        <v>82336</v>
      </c>
      <c r="N121">
        <v>891226</v>
      </c>
      <c r="O121">
        <v>1611207</v>
      </c>
      <c r="P121">
        <v>36779754</v>
      </c>
      <c r="Q121">
        <v>19382227</v>
      </c>
      <c r="R121">
        <v>7538938</v>
      </c>
      <c r="S121">
        <v>17844932</v>
      </c>
      <c r="U121">
        <v>29427791</v>
      </c>
      <c r="V121">
        <v>29419</v>
      </c>
      <c r="W121">
        <v>11442228</v>
      </c>
      <c r="X121">
        <v>20924555</v>
      </c>
      <c r="Y121">
        <v>5903027</v>
      </c>
      <c r="Z121">
        <v>1692990</v>
      </c>
      <c r="AA121">
        <v>5376331</v>
      </c>
      <c r="AB121">
        <v>1352580</v>
      </c>
      <c r="AC121">
        <v>320692</v>
      </c>
      <c r="AD121">
        <v>1204655</v>
      </c>
      <c r="AE121">
        <v>3504211</v>
      </c>
      <c r="AF121">
        <v>139465</v>
      </c>
      <c r="AG121">
        <v>48387</v>
      </c>
      <c r="AH121">
        <v>166258</v>
      </c>
      <c r="AI121">
        <v>2666527</v>
      </c>
      <c r="AJ121">
        <v>8111828</v>
      </c>
      <c r="AK121">
        <v>203217</v>
      </c>
      <c r="AL121">
        <v>25206</v>
      </c>
      <c r="AM121">
        <v>20253559</v>
      </c>
      <c r="AN121">
        <v>21345396</v>
      </c>
      <c r="AP121">
        <v>4256701</v>
      </c>
      <c r="AQ121">
        <v>25295474</v>
      </c>
      <c r="AR121">
        <v>3163220</v>
      </c>
      <c r="AS121">
        <v>603821</v>
      </c>
      <c r="AT121">
        <v>5070023</v>
      </c>
      <c r="AU121">
        <v>12865330</v>
      </c>
      <c r="AV121">
        <v>106490</v>
      </c>
      <c r="AX121">
        <v>3643061</v>
      </c>
      <c r="AY121">
        <v>4319197</v>
      </c>
      <c r="AZ121">
        <v>4446109</v>
      </c>
      <c r="BA121">
        <v>66223</v>
      </c>
      <c r="BB121">
        <v>2618268</v>
      </c>
      <c r="BD121">
        <v>66958</v>
      </c>
      <c r="BE121">
        <v>33859632</v>
      </c>
      <c r="BF121">
        <v>218580</v>
      </c>
      <c r="BG121">
        <v>55377</v>
      </c>
      <c r="BH121">
        <v>3539088</v>
      </c>
      <c r="BI121">
        <v>2563180</v>
      </c>
      <c r="BJ121">
        <v>634303</v>
      </c>
      <c r="BK121">
        <v>8619204</v>
      </c>
      <c r="BL121">
        <v>4679428</v>
      </c>
      <c r="BM121">
        <v>40478</v>
      </c>
      <c r="BN121">
        <v>7573949</v>
      </c>
      <c r="BO121">
        <v>2013918</v>
      </c>
      <c r="BP121">
        <v>1344015</v>
      </c>
      <c r="BQ121">
        <v>2114041</v>
      </c>
      <c r="BR121">
        <v>1551604</v>
      </c>
      <c r="BS121">
        <v>24569242</v>
      </c>
      <c r="BT121">
        <v>2362854</v>
      </c>
      <c r="BU121">
        <v>3033117</v>
      </c>
      <c r="BV121">
        <v>1122638</v>
      </c>
      <c r="BW121">
        <v>863154</v>
      </c>
      <c r="BX121">
        <v>32040</v>
      </c>
      <c r="BY121">
        <v>37441</v>
      </c>
      <c r="BZ121">
        <v>21622831</v>
      </c>
      <c r="CA121">
        <v>69434</v>
      </c>
    </row>
    <row r="122" spans="1:79" x14ac:dyDescent="0.3">
      <c r="A122" s="155">
        <v>389</v>
      </c>
      <c r="B122" t="s">
        <v>187</v>
      </c>
      <c r="D122">
        <v>0</v>
      </c>
      <c r="E122">
        <v>0</v>
      </c>
      <c r="F122">
        <v>0</v>
      </c>
      <c r="G122">
        <v>0</v>
      </c>
      <c r="H122">
        <v>0</v>
      </c>
      <c r="I122">
        <v>0</v>
      </c>
      <c r="J122">
        <v>0</v>
      </c>
      <c r="K122">
        <v>0</v>
      </c>
      <c r="L122">
        <v>0</v>
      </c>
      <c r="M122">
        <v>0</v>
      </c>
      <c r="N122">
        <v>0</v>
      </c>
      <c r="O122">
        <v>0</v>
      </c>
      <c r="P122">
        <v>0</v>
      </c>
      <c r="Q122">
        <v>0</v>
      </c>
      <c r="R122">
        <v>0</v>
      </c>
      <c r="S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39436392</v>
      </c>
      <c r="AN122">
        <v>0</v>
      </c>
      <c r="AP122">
        <v>0</v>
      </c>
      <c r="AQ122">
        <v>0</v>
      </c>
      <c r="AR122">
        <v>0</v>
      </c>
      <c r="AS122">
        <v>0</v>
      </c>
      <c r="AT122">
        <v>0</v>
      </c>
      <c r="AU122">
        <v>0</v>
      </c>
      <c r="AV122">
        <v>0</v>
      </c>
      <c r="AX122">
        <v>0</v>
      </c>
      <c r="AY122">
        <v>0</v>
      </c>
      <c r="AZ122">
        <v>0</v>
      </c>
      <c r="BA122">
        <v>0</v>
      </c>
      <c r="BB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row>
    <row r="123" spans="1:79" x14ac:dyDescent="0.3">
      <c r="A123" s="155">
        <v>391</v>
      </c>
      <c r="B123" t="s">
        <v>192</v>
      </c>
      <c r="D123">
        <v>254220</v>
      </c>
      <c r="E123">
        <v>4441478</v>
      </c>
      <c r="F123">
        <v>23146</v>
      </c>
      <c r="G123">
        <v>11516538</v>
      </c>
      <c r="H123">
        <v>915245</v>
      </c>
      <c r="I123">
        <v>60485</v>
      </c>
      <c r="J123">
        <v>156465</v>
      </c>
      <c r="K123">
        <v>449153</v>
      </c>
      <c r="L123">
        <v>4839050</v>
      </c>
      <c r="M123">
        <v>11401</v>
      </c>
      <c r="N123">
        <v>97966</v>
      </c>
      <c r="O123">
        <v>148378</v>
      </c>
      <c r="P123">
        <v>5216321</v>
      </c>
      <c r="Q123">
        <v>3485987</v>
      </c>
      <c r="R123">
        <v>524080</v>
      </c>
      <c r="S123">
        <v>1150465</v>
      </c>
      <c r="U123">
        <v>2694544</v>
      </c>
      <c r="V123">
        <v>2899</v>
      </c>
      <c r="W123">
        <v>1501361</v>
      </c>
      <c r="X123">
        <v>2969114</v>
      </c>
      <c r="Y123">
        <v>539341</v>
      </c>
      <c r="Z123">
        <v>161127</v>
      </c>
      <c r="AA123">
        <v>999328</v>
      </c>
      <c r="AB123">
        <v>108446</v>
      </c>
      <c r="AC123">
        <v>1399</v>
      </c>
      <c r="AD123">
        <v>216713</v>
      </c>
      <c r="AE123">
        <v>337969</v>
      </c>
      <c r="AF123">
        <v>12652</v>
      </c>
      <c r="AG123">
        <v>6144</v>
      </c>
      <c r="AH123">
        <v>7699</v>
      </c>
      <c r="AI123">
        <v>275348</v>
      </c>
      <c r="AJ123">
        <v>463874</v>
      </c>
      <c r="AK123">
        <v>24116</v>
      </c>
      <c r="AL123">
        <v>3343</v>
      </c>
      <c r="AM123">
        <v>2771654</v>
      </c>
      <c r="AN123">
        <v>1738388</v>
      </c>
      <c r="AP123">
        <v>409010</v>
      </c>
      <c r="AQ123">
        <v>4773300</v>
      </c>
      <c r="AR123">
        <v>429937</v>
      </c>
      <c r="AS123">
        <v>70170</v>
      </c>
      <c r="AT123">
        <v>931661</v>
      </c>
      <c r="AU123">
        <v>1156191</v>
      </c>
      <c r="AV123">
        <v>9112</v>
      </c>
      <c r="AX123">
        <v>230698</v>
      </c>
      <c r="AY123">
        <v>328983</v>
      </c>
      <c r="AZ123">
        <v>1012252</v>
      </c>
      <c r="BA123">
        <v>38907</v>
      </c>
      <c r="BB123">
        <v>169766</v>
      </c>
      <c r="BD123">
        <v>9758</v>
      </c>
      <c r="BE123">
        <v>3386256</v>
      </c>
      <c r="BF123">
        <v>27539</v>
      </c>
      <c r="BG123">
        <v>7880</v>
      </c>
      <c r="BH123">
        <v>491713</v>
      </c>
      <c r="BI123">
        <v>260006</v>
      </c>
      <c r="BJ123">
        <v>243903</v>
      </c>
      <c r="BK123">
        <v>589440</v>
      </c>
      <c r="BL123">
        <v>837254</v>
      </c>
      <c r="BM123">
        <v>5800</v>
      </c>
      <c r="BN123">
        <v>1105816</v>
      </c>
      <c r="BO123">
        <v>245177</v>
      </c>
      <c r="BP123">
        <v>237163</v>
      </c>
      <c r="BQ123">
        <v>169556</v>
      </c>
      <c r="BR123">
        <v>54372</v>
      </c>
      <c r="BS123">
        <v>1589318</v>
      </c>
      <c r="BT123">
        <v>202357</v>
      </c>
      <c r="BU123">
        <v>295834</v>
      </c>
      <c r="BV123">
        <v>110281</v>
      </c>
      <c r="BW123">
        <v>472094</v>
      </c>
      <c r="BX123">
        <v>964</v>
      </c>
      <c r="BY123">
        <v>6855</v>
      </c>
      <c r="BZ123">
        <v>3405872</v>
      </c>
      <c r="CA123">
        <v>3918</v>
      </c>
    </row>
    <row r="124" spans="1:79" x14ac:dyDescent="0.3">
      <c r="A124" s="155">
        <v>500</v>
      </c>
      <c r="B124" t="s">
        <v>175</v>
      </c>
      <c r="D124">
        <v>1624232</v>
      </c>
      <c r="E124">
        <v>5800667</v>
      </c>
      <c r="F124">
        <v>29413</v>
      </c>
      <c r="G124">
        <v>11558375</v>
      </c>
      <c r="H124">
        <v>984130</v>
      </c>
      <c r="I124">
        <v>105667</v>
      </c>
      <c r="J124">
        <v>83920</v>
      </c>
      <c r="K124">
        <v>26569</v>
      </c>
      <c r="L124">
        <v>11022323</v>
      </c>
      <c r="M124">
        <v>41428</v>
      </c>
      <c r="N124">
        <v>191735</v>
      </c>
      <c r="O124">
        <v>108715</v>
      </c>
      <c r="P124">
        <v>405604</v>
      </c>
      <c r="Q124">
        <v>4294280</v>
      </c>
      <c r="R124">
        <v>271316</v>
      </c>
      <c r="S124">
        <v>349368</v>
      </c>
      <c r="U124">
        <v>0</v>
      </c>
      <c r="V124">
        <v>101493</v>
      </c>
      <c r="W124">
        <v>4965061</v>
      </c>
      <c r="X124">
        <v>2617724</v>
      </c>
      <c r="Y124">
        <v>371562</v>
      </c>
      <c r="Z124">
        <v>894959</v>
      </c>
      <c r="AA124">
        <v>6539</v>
      </c>
      <c r="AB124">
        <v>135023</v>
      </c>
      <c r="AC124">
        <v>39343</v>
      </c>
      <c r="AD124">
        <v>262246</v>
      </c>
      <c r="AE124">
        <v>424556</v>
      </c>
      <c r="AF124">
        <v>18047</v>
      </c>
      <c r="AG124">
        <v>7885</v>
      </c>
      <c r="AH124">
        <v>107064</v>
      </c>
      <c r="AI124">
        <v>0</v>
      </c>
      <c r="AJ124">
        <v>48849</v>
      </c>
      <c r="AK124">
        <v>46147</v>
      </c>
      <c r="AL124">
        <v>0</v>
      </c>
      <c r="AM124">
        <v>2088768</v>
      </c>
      <c r="AN124">
        <v>315846</v>
      </c>
      <c r="AP124">
        <v>710067</v>
      </c>
      <c r="AQ124">
        <v>713598</v>
      </c>
      <c r="AR124">
        <v>604955</v>
      </c>
      <c r="AS124">
        <v>21679</v>
      </c>
      <c r="AT124">
        <v>170603</v>
      </c>
      <c r="AU124">
        <v>278938</v>
      </c>
      <c r="AV124">
        <v>5668</v>
      </c>
      <c r="AX124">
        <v>657320</v>
      </c>
      <c r="AY124">
        <v>525874</v>
      </c>
      <c r="AZ124">
        <v>860803</v>
      </c>
      <c r="BA124">
        <v>28027</v>
      </c>
      <c r="BB124">
        <v>618042</v>
      </c>
      <c r="BD124">
        <v>1209</v>
      </c>
      <c r="BE124">
        <v>247519</v>
      </c>
      <c r="BF124">
        <v>30695</v>
      </c>
      <c r="BG124">
        <v>27932</v>
      </c>
      <c r="BH124">
        <v>621984</v>
      </c>
      <c r="BI124">
        <v>75641</v>
      </c>
      <c r="BJ124">
        <v>178435</v>
      </c>
      <c r="BK124">
        <v>233414</v>
      </c>
      <c r="BL124">
        <v>93417</v>
      </c>
      <c r="BM124">
        <v>0</v>
      </c>
      <c r="BN124">
        <v>691205</v>
      </c>
      <c r="BO124">
        <v>175386</v>
      </c>
      <c r="BP124">
        <v>166891</v>
      </c>
      <c r="BQ124">
        <v>195081</v>
      </c>
      <c r="BR124">
        <v>1118742</v>
      </c>
      <c r="BS124">
        <v>2771511</v>
      </c>
      <c r="BT124">
        <v>45321</v>
      </c>
      <c r="BU124">
        <v>436797</v>
      </c>
      <c r="BV124">
        <v>0</v>
      </c>
      <c r="BW124">
        <v>115959</v>
      </c>
      <c r="BX124">
        <v>20018</v>
      </c>
      <c r="BY124">
        <v>19525</v>
      </c>
      <c r="BZ124">
        <v>1564155</v>
      </c>
      <c r="CA124">
        <v>43638</v>
      </c>
    </row>
    <row r="125" spans="1:79" x14ac:dyDescent="0.3">
      <c r="A125" s="155">
        <v>502</v>
      </c>
      <c r="B125" t="s">
        <v>177</v>
      </c>
      <c r="D125">
        <v>0</v>
      </c>
      <c r="E125">
        <v>4560656</v>
      </c>
      <c r="F125">
        <v>204752</v>
      </c>
      <c r="G125">
        <v>50727899</v>
      </c>
      <c r="H125">
        <v>8873303</v>
      </c>
      <c r="I125">
        <v>0</v>
      </c>
      <c r="J125">
        <v>6437103</v>
      </c>
      <c r="K125">
        <v>754725</v>
      </c>
      <c r="L125">
        <v>14299702</v>
      </c>
      <c r="M125">
        <v>0</v>
      </c>
      <c r="N125">
        <v>1602171</v>
      </c>
      <c r="O125">
        <v>1058069</v>
      </c>
      <c r="P125">
        <v>968240</v>
      </c>
      <c r="Q125">
        <v>7238083</v>
      </c>
      <c r="R125">
        <v>7163592</v>
      </c>
      <c r="S125">
        <v>15792025</v>
      </c>
      <c r="U125">
        <v>44624545</v>
      </c>
      <c r="V125">
        <v>0</v>
      </c>
      <c r="W125">
        <v>0</v>
      </c>
      <c r="X125">
        <v>40688</v>
      </c>
      <c r="Y125">
        <v>2943841</v>
      </c>
      <c r="Z125">
        <v>1715719</v>
      </c>
      <c r="AA125">
        <v>1072380</v>
      </c>
      <c r="AB125">
        <v>0</v>
      </c>
      <c r="AC125">
        <v>109014</v>
      </c>
      <c r="AD125">
        <v>1732797</v>
      </c>
      <c r="AE125">
        <v>3352837</v>
      </c>
      <c r="AF125">
        <v>42428</v>
      </c>
      <c r="AG125">
        <v>0</v>
      </c>
      <c r="AH125">
        <v>0</v>
      </c>
      <c r="AI125">
        <v>891199</v>
      </c>
      <c r="AJ125">
        <v>7489070</v>
      </c>
      <c r="AK125">
        <v>183394</v>
      </c>
      <c r="AL125">
        <v>0</v>
      </c>
      <c r="AM125">
        <v>0</v>
      </c>
      <c r="AN125">
        <v>11907165</v>
      </c>
      <c r="AP125">
        <v>0</v>
      </c>
      <c r="AQ125">
        <v>50859111</v>
      </c>
      <c r="AR125">
        <v>757031</v>
      </c>
      <c r="AS125">
        <v>236201</v>
      </c>
      <c r="AT125">
        <v>1039323</v>
      </c>
      <c r="AU125">
        <v>0</v>
      </c>
      <c r="AV125">
        <v>1217918</v>
      </c>
      <c r="AX125">
        <v>940228</v>
      </c>
      <c r="AY125">
        <v>118555</v>
      </c>
      <c r="AZ125">
        <v>2685596</v>
      </c>
      <c r="BA125">
        <v>3122</v>
      </c>
      <c r="BB125">
        <v>422567</v>
      </c>
      <c r="BD125">
        <v>0</v>
      </c>
      <c r="BE125">
        <v>9988184</v>
      </c>
      <c r="BF125">
        <v>200725</v>
      </c>
      <c r="BG125">
        <v>0</v>
      </c>
      <c r="BH125">
        <v>59720</v>
      </c>
      <c r="BI125">
        <v>2141714</v>
      </c>
      <c r="BJ125">
        <v>0</v>
      </c>
      <c r="BK125">
        <v>9580872</v>
      </c>
      <c r="BL125">
        <v>3042056</v>
      </c>
      <c r="BM125">
        <v>0</v>
      </c>
      <c r="BN125">
        <v>1821389</v>
      </c>
      <c r="BO125">
        <v>3545517</v>
      </c>
      <c r="BP125">
        <v>1181690</v>
      </c>
      <c r="BQ125">
        <v>2887343</v>
      </c>
      <c r="BR125">
        <v>0</v>
      </c>
      <c r="BS125">
        <v>0</v>
      </c>
      <c r="BT125">
        <v>1140316</v>
      </c>
      <c r="BU125">
        <v>1546267</v>
      </c>
      <c r="BV125">
        <v>385551</v>
      </c>
      <c r="BW125">
        <v>1434590</v>
      </c>
      <c r="BX125">
        <v>0</v>
      </c>
      <c r="BY125">
        <v>0</v>
      </c>
      <c r="BZ125">
        <v>7511270</v>
      </c>
      <c r="CA125">
        <v>0</v>
      </c>
    </row>
    <row r="126" spans="1:79" x14ac:dyDescent="0.3">
      <c r="A126" s="155">
        <v>503</v>
      </c>
      <c r="B126" t="s">
        <v>178</v>
      </c>
      <c r="D126">
        <v>0</v>
      </c>
      <c r="E126">
        <v>0</v>
      </c>
      <c r="F126">
        <v>10333</v>
      </c>
      <c r="G126">
        <v>2007142</v>
      </c>
      <c r="H126">
        <v>1018240</v>
      </c>
      <c r="I126">
        <v>0</v>
      </c>
      <c r="J126">
        <v>73150</v>
      </c>
      <c r="K126">
        <v>20950</v>
      </c>
      <c r="L126">
        <v>6903560</v>
      </c>
      <c r="M126">
        <v>0</v>
      </c>
      <c r="N126">
        <v>313340</v>
      </c>
      <c r="O126">
        <v>63475</v>
      </c>
      <c r="P126">
        <v>0</v>
      </c>
      <c r="Q126">
        <v>1407258</v>
      </c>
      <c r="R126">
        <v>466865</v>
      </c>
      <c r="S126">
        <v>1499594</v>
      </c>
      <c r="U126">
        <v>1752747</v>
      </c>
      <c r="V126">
        <v>0</v>
      </c>
      <c r="W126">
        <v>0</v>
      </c>
      <c r="X126">
        <v>0</v>
      </c>
      <c r="Y126">
        <v>0</v>
      </c>
      <c r="Z126">
        <v>4009470</v>
      </c>
      <c r="AA126">
        <v>0</v>
      </c>
      <c r="AB126">
        <v>0</v>
      </c>
      <c r="AC126">
        <v>0</v>
      </c>
      <c r="AD126">
        <v>36127</v>
      </c>
      <c r="AE126">
        <v>147168</v>
      </c>
      <c r="AF126">
        <v>5950</v>
      </c>
      <c r="AG126">
        <v>0</v>
      </c>
      <c r="AH126">
        <v>0</v>
      </c>
      <c r="AI126">
        <v>0</v>
      </c>
      <c r="AJ126">
        <v>1048597</v>
      </c>
      <c r="AK126">
        <v>14095</v>
      </c>
      <c r="AL126">
        <v>0</v>
      </c>
      <c r="AM126">
        <v>0</v>
      </c>
      <c r="AN126">
        <v>172617</v>
      </c>
      <c r="AP126">
        <v>0</v>
      </c>
      <c r="AQ126">
        <v>905298</v>
      </c>
      <c r="AR126">
        <v>67345</v>
      </c>
      <c r="AS126">
        <v>25676</v>
      </c>
      <c r="AT126">
        <v>138643</v>
      </c>
      <c r="AU126">
        <v>0</v>
      </c>
      <c r="AV126">
        <v>50300</v>
      </c>
      <c r="AX126">
        <v>117306</v>
      </c>
      <c r="AY126">
        <v>73797</v>
      </c>
      <c r="AZ126">
        <v>496754</v>
      </c>
      <c r="BA126">
        <v>0</v>
      </c>
      <c r="BB126">
        <v>112697</v>
      </c>
      <c r="BD126">
        <v>0</v>
      </c>
      <c r="BE126">
        <v>1952549</v>
      </c>
      <c r="BF126">
        <v>44298</v>
      </c>
      <c r="BG126">
        <v>0</v>
      </c>
      <c r="BH126">
        <v>42830</v>
      </c>
      <c r="BI126">
        <v>0</v>
      </c>
      <c r="BJ126">
        <v>58571</v>
      </c>
      <c r="BK126">
        <v>174353</v>
      </c>
      <c r="BL126">
        <v>194297</v>
      </c>
      <c r="BM126">
        <v>0</v>
      </c>
      <c r="BN126">
        <v>261968</v>
      </c>
      <c r="BO126">
        <v>89003</v>
      </c>
      <c r="BP126">
        <v>37895</v>
      </c>
      <c r="BQ126">
        <v>67237</v>
      </c>
      <c r="BR126">
        <v>0</v>
      </c>
      <c r="BS126">
        <v>0</v>
      </c>
      <c r="BT126">
        <v>0</v>
      </c>
      <c r="BU126">
        <v>79417</v>
      </c>
      <c r="BV126">
        <v>731010</v>
      </c>
      <c r="BW126">
        <v>26697</v>
      </c>
      <c r="BX126">
        <v>0</v>
      </c>
      <c r="BY126">
        <v>0</v>
      </c>
      <c r="BZ126">
        <v>3136703</v>
      </c>
      <c r="CA126">
        <v>0</v>
      </c>
    </row>
    <row r="127" spans="1:79" x14ac:dyDescent="0.3">
      <c r="A127" s="155">
        <v>504</v>
      </c>
      <c r="B127" t="s">
        <v>182</v>
      </c>
      <c r="D127">
        <v>58821</v>
      </c>
      <c r="E127">
        <v>3729962</v>
      </c>
      <c r="F127">
        <v>14502</v>
      </c>
      <c r="G127">
        <v>13096257</v>
      </c>
      <c r="H127">
        <v>196976</v>
      </c>
      <c r="I127">
        <v>30348</v>
      </c>
      <c r="J127">
        <v>172521</v>
      </c>
      <c r="K127">
        <v>195388</v>
      </c>
      <c r="L127">
        <v>4397876</v>
      </c>
      <c r="M127">
        <v>7670</v>
      </c>
      <c r="N127">
        <v>20285</v>
      </c>
      <c r="O127">
        <v>42272</v>
      </c>
      <c r="P127">
        <v>2560738</v>
      </c>
      <c r="Q127">
        <v>114629</v>
      </c>
      <c r="R127">
        <v>1507492</v>
      </c>
      <c r="S127">
        <v>1213623</v>
      </c>
      <c r="U127">
        <v>1446152</v>
      </c>
      <c r="V127">
        <v>5528</v>
      </c>
      <c r="W127">
        <v>145218</v>
      </c>
      <c r="X127">
        <v>2321810</v>
      </c>
      <c r="Y127">
        <v>364549</v>
      </c>
      <c r="Z127">
        <v>122309</v>
      </c>
      <c r="AA127">
        <v>216995</v>
      </c>
      <c r="AB127">
        <v>95011</v>
      </c>
      <c r="AC127">
        <v>17105</v>
      </c>
      <c r="AD127">
        <v>163478</v>
      </c>
      <c r="AE127">
        <v>379324</v>
      </c>
      <c r="AF127">
        <v>8295</v>
      </c>
      <c r="AG127">
        <v>3549</v>
      </c>
      <c r="AH127">
        <v>3480</v>
      </c>
      <c r="AI127">
        <v>225598</v>
      </c>
      <c r="AJ127">
        <v>798707</v>
      </c>
      <c r="AK127">
        <v>93515</v>
      </c>
      <c r="AL127">
        <v>0</v>
      </c>
      <c r="AM127">
        <v>700388</v>
      </c>
      <c r="AN127">
        <v>2664445</v>
      </c>
      <c r="AP127">
        <v>347424</v>
      </c>
      <c r="AQ127">
        <v>1522514</v>
      </c>
      <c r="AR127">
        <v>81707</v>
      </c>
      <c r="AS127">
        <v>45631</v>
      </c>
      <c r="AT127">
        <v>136055</v>
      </c>
      <c r="AU127">
        <v>1673229</v>
      </c>
      <c r="AV127">
        <v>8262</v>
      </c>
      <c r="AX127">
        <v>223318</v>
      </c>
      <c r="AY127">
        <v>312982</v>
      </c>
      <c r="AZ127">
        <v>567850</v>
      </c>
      <c r="BA127">
        <v>13823</v>
      </c>
      <c r="BB127">
        <v>115148</v>
      </c>
      <c r="BD127">
        <v>3586</v>
      </c>
      <c r="BE127">
        <v>2968583</v>
      </c>
      <c r="BF127">
        <v>13115</v>
      </c>
      <c r="BG127">
        <v>4326</v>
      </c>
      <c r="BH127">
        <v>281602</v>
      </c>
      <c r="BI127">
        <v>63436</v>
      </c>
      <c r="BJ127">
        <v>32620</v>
      </c>
      <c r="BK127">
        <v>767376</v>
      </c>
      <c r="BL127">
        <v>398516</v>
      </c>
      <c r="BM127">
        <v>0</v>
      </c>
      <c r="BN127">
        <v>1301096</v>
      </c>
      <c r="BO127">
        <v>88985</v>
      </c>
      <c r="BP127">
        <v>264318</v>
      </c>
      <c r="BQ127">
        <v>64630</v>
      </c>
      <c r="BR127">
        <v>147800</v>
      </c>
      <c r="BS127">
        <v>1416851</v>
      </c>
      <c r="BT127">
        <v>192631</v>
      </c>
      <c r="BU127">
        <v>255186</v>
      </c>
      <c r="BV127">
        <v>690429</v>
      </c>
      <c r="BW127">
        <v>18374</v>
      </c>
      <c r="BX127">
        <v>3427</v>
      </c>
      <c r="BY127">
        <v>4140</v>
      </c>
      <c r="BZ127">
        <v>821868</v>
      </c>
      <c r="CA127">
        <v>5961</v>
      </c>
    </row>
    <row r="128" spans="1:79" x14ac:dyDescent="0.3">
      <c r="A128" s="155">
        <v>505</v>
      </c>
      <c r="B128" t="s">
        <v>183</v>
      </c>
      <c r="D128">
        <v>20000</v>
      </c>
      <c r="E128">
        <v>567143</v>
      </c>
      <c r="F128">
        <v>0</v>
      </c>
      <c r="G128">
        <v>2122897</v>
      </c>
      <c r="H128">
        <v>768748</v>
      </c>
      <c r="I128">
        <v>0</v>
      </c>
      <c r="J128">
        <v>0</v>
      </c>
      <c r="K128">
        <v>0</v>
      </c>
      <c r="L128">
        <v>3205743</v>
      </c>
      <c r="M128">
        <v>0</v>
      </c>
      <c r="N128">
        <v>0</v>
      </c>
      <c r="O128">
        <v>0</v>
      </c>
      <c r="P128">
        <v>2078222</v>
      </c>
      <c r="Q128">
        <v>771674</v>
      </c>
      <c r="R128">
        <v>750</v>
      </c>
      <c r="S128">
        <v>0</v>
      </c>
      <c r="U128">
        <v>0</v>
      </c>
      <c r="V128">
        <v>0</v>
      </c>
      <c r="W128">
        <v>1348664</v>
      </c>
      <c r="X128">
        <v>10763955</v>
      </c>
      <c r="Y128">
        <v>0</v>
      </c>
      <c r="Z128">
        <v>0</v>
      </c>
      <c r="AA128">
        <v>0</v>
      </c>
      <c r="AB128">
        <v>0</v>
      </c>
      <c r="AC128">
        <v>7552</v>
      </c>
      <c r="AD128">
        <v>0</v>
      </c>
      <c r="AE128">
        <v>24831</v>
      </c>
      <c r="AF128">
        <v>0</v>
      </c>
      <c r="AG128">
        <v>0</v>
      </c>
      <c r="AH128">
        <v>0</v>
      </c>
      <c r="AI128">
        <v>0</v>
      </c>
      <c r="AJ128">
        <v>0</v>
      </c>
      <c r="AK128">
        <v>0</v>
      </c>
      <c r="AL128">
        <v>0</v>
      </c>
      <c r="AM128">
        <v>1063403</v>
      </c>
      <c r="AN128">
        <v>300000</v>
      </c>
      <c r="AP128">
        <v>91581</v>
      </c>
      <c r="AQ128">
        <v>0</v>
      </c>
      <c r="AR128">
        <v>0</v>
      </c>
      <c r="AS128">
        <v>9955</v>
      </c>
      <c r="AT128">
        <v>10247</v>
      </c>
      <c r="AU128">
        <v>401152</v>
      </c>
      <c r="AV128">
        <v>59467</v>
      </c>
      <c r="AX128">
        <v>0</v>
      </c>
      <c r="AY128">
        <v>0</v>
      </c>
      <c r="AZ128">
        <v>26533</v>
      </c>
      <c r="BA128">
        <v>0</v>
      </c>
      <c r="BB128">
        <v>0</v>
      </c>
      <c r="BD128">
        <v>0</v>
      </c>
      <c r="BE128">
        <v>3995709</v>
      </c>
      <c r="BF128">
        <v>0</v>
      </c>
      <c r="BG128">
        <v>0</v>
      </c>
      <c r="BH128">
        <v>1573640</v>
      </c>
      <c r="BI128">
        <v>0</v>
      </c>
      <c r="BJ128">
        <v>0</v>
      </c>
      <c r="BK128">
        <v>0</v>
      </c>
      <c r="BL128">
        <v>0</v>
      </c>
      <c r="BM128">
        <v>0</v>
      </c>
      <c r="BN128">
        <v>392587</v>
      </c>
      <c r="BO128">
        <v>53122</v>
      </c>
      <c r="BP128">
        <v>0</v>
      </c>
      <c r="BQ128">
        <v>0</v>
      </c>
      <c r="BR128">
        <v>1239928</v>
      </c>
      <c r="BS128">
        <v>495847</v>
      </c>
      <c r="BT128">
        <v>0</v>
      </c>
      <c r="BU128">
        <v>17722</v>
      </c>
      <c r="BV128">
        <v>0</v>
      </c>
      <c r="BW128">
        <v>0</v>
      </c>
      <c r="BX128">
        <v>0</v>
      </c>
      <c r="BY128">
        <v>0</v>
      </c>
      <c r="BZ128">
        <v>4465736</v>
      </c>
      <c r="CA128">
        <v>0</v>
      </c>
    </row>
    <row r="129" spans="1:79" x14ac:dyDescent="0.3">
      <c r="A129" s="155">
        <v>506</v>
      </c>
      <c r="B129" t="s">
        <v>189</v>
      </c>
      <c r="D129">
        <v>720679</v>
      </c>
      <c r="E129">
        <v>20808487</v>
      </c>
      <c r="F129">
        <v>596711</v>
      </c>
      <c r="G129">
        <v>22635436</v>
      </c>
      <c r="H129">
        <v>3963169</v>
      </c>
      <c r="I129">
        <v>433267</v>
      </c>
      <c r="J129">
        <v>2520810</v>
      </c>
      <c r="K129">
        <v>1196791</v>
      </c>
      <c r="L129">
        <v>21457616</v>
      </c>
      <c r="M129">
        <v>244064</v>
      </c>
      <c r="N129">
        <v>620385</v>
      </c>
      <c r="O129">
        <v>794704</v>
      </c>
      <c r="P129">
        <v>11733257</v>
      </c>
      <c r="Q129">
        <v>16559644</v>
      </c>
      <c r="R129">
        <v>2525215</v>
      </c>
      <c r="S129">
        <v>9322503</v>
      </c>
      <c r="U129">
        <v>7885598</v>
      </c>
      <c r="V129">
        <v>165378</v>
      </c>
      <c r="W129">
        <v>8484313</v>
      </c>
      <c r="X129">
        <v>7530402</v>
      </c>
      <c r="Y129">
        <v>5499137</v>
      </c>
      <c r="Z129">
        <v>2251501</v>
      </c>
      <c r="AA129">
        <v>4293607</v>
      </c>
      <c r="AB129">
        <v>1270700</v>
      </c>
      <c r="AC129">
        <v>147220</v>
      </c>
      <c r="AD129">
        <v>1274557</v>
      </c>
      <c r="AE129">
        <v>1761838</v>
      </c>
      <c r="AF129">
        <v>86003</v>
      </c>
      <c r="AG129">
        <v>73838</v>
      </c>
      <c r="AH129">
        <v>148871</v>
      </c>
      <c r="AI129">
        <v>2750626</v>
      </c>
      <c r="AJ129">
        <v>2971474</v>
      </c>
      <c r="AK129">
        <v>302536</v>
      </c>
      <c r="AL129">
        <v>122436</v>
      </c>
      <c r="AM129">
        <v>12188702</v>
      </c>
      <c r="AN129">
        <v>13203513</v>
      </c>
      <c r="AP129">
        <v>5597055</v>
      </c>
      <c r="AQ129">
        <v>12684973</v>
      </c>
      <c r="AR129">
        <v>2617235</v>
      </c>
      <c r="AS129">
        <v>530155</v>
      </c>
      <c r="AT129">
        <v>1776537</v>
      </c>
      <c r="AU129">
        <v>6895509</v>
      </c>
      <c r="AV129">
        <v>246686</v>
      </c>
      <c r="AX129">
        <v>3546290</v>
      </c>
      <c r="AY129">
        <v>2664723</v>
      </c>
      <c r="AZ129">
        <v>1909688</v>
      </c>
      <c r="BA129">
        <v>86204</v>
      </c>
      <c r="BB129">
        <v>1841513</v>
      </c>
      <c r="BD129">
        <v>393211</v>
      </c>
      <c r="BE129">
        <v>4215322</v>
      </c>
      <c r="BF129">
        <v>635310</v>
      </c>
      <c r="BG129">
        <v>181536</v>
      </c>
      <c r="BH129">
        <v>3115944</v>
      </c>
      <c r="BI129">
        <v>3847044</v>
      </c>
      <c r="BJ129">
        <v>258604</v>
      </c>
      <c r="BK129">
        <v>3626100</v>
      </c>
      <c r="BL129">
        <v>6471332</v>
      </c>
      <c r="BM129">
        <v>160550</v>
      </c>
      <c r="BN129">
        <v>3815813</v>
      </c>
      <c r="BO129">
        <v>4281354</v>
      </c>
      <c r="BP129">
        <v>1324138</v>
      </c>
      <c r="BQ129">
        <v>605121</v>
      </c>
      <c r="BR129">
        <v>2263230</v>
      </c>
      <c r="BS129">
        <v>11992528</v>
      </c>
      <c r="BT129">
        <v>2479540</v>
      </c>
      <c r="BU129">
        <v>1766588</v>
      </c>
      <c r="BV129">
        <v>899739</v>
      </c>
      <c r="BW129">
        <v>1292380</v>
      </c>
      <c r="BX129">
        <v>177412</v>
      </c>
      <c r="BY129">
        <v>186933</v>
      </c>
      <c r="BZ129">
        <v>13745250</v>
      </c>
      <c r="CA129">
        <v>51893</v>
      </c>
    </row>
    <row r="130" spans="1:79" x14ac:dyDescent="0.3">
      <c r="A130" s="155">
        <v>507</v>
      </c>
      <c r="B130" t="s">
        <v>926</v>
      </c>
      <c r="D130">
        <v>86991</v>
      </c>
      <c r="E130">
        <v>0</v>
      </c>
      <c r="F130">
        <v>0</v>
      </c>
      <c r="G130">
        <v>0</v>
      </c>
      <c r="H130">
        <v>-6907</v>
      </c>
      <c r="I130">
        <v>0</v>
      </c>
      <c r="J130">
        <v>0</v>
      </c>
      <c r="K130">
        <v>0</v>
      </c>
      <c r="L130">
        <v>0</v>
      </c>
      <c r="M130">
        <v>0</v>
      </c>
      <c r="N130">
        <v>0</v>
      </c>
      <c r="O130">
        <v>0</v>
      </c>
      <c r="P130">
        <v>0</v>
      </c>
      <c r="Q130">
        <v>0</v>
      </c>
      <c r="R130">
        <v>0</v>
      </c>
      <c r="S130">
        <v>0</v>
      </c>
      <c r="U130">
        <v>0</v>
      </c>
      <c r="V130">
        <v>0</v>
      </c>
      <c r="W130">
        <v>0</v>
      </c>
      <c r="X130">
        <v>0</v>
      </c>
      <c r="Y130">
        <v>0</v>
      </c>
      <c r="Z130">
        <v>33852</v>
      </c>
      <c r="AA130">
        <v>0</v>
      </c>
      <c r="AB130">
        <v>0</v>
      </c>
      <c r="AC130">
        <v>0</v>
      </c>
      <c r="AD130">
        <v>0</v>
      </c>
      <c r="AE130">
        <v>12475</v>
      </c>
      <c r="AF130">
        <v>0</v>
      </c>
      <c r="AG130">
        <v>0</v>
      </c>
      <c r="AH130">
        <v>0</v>
      </c>
      <c r="AI130">
        <v>0</v>
      </c>
      <c r="AJ130">
        <v>0</v>
      </c>
      <c r="AK130">
        <v>0</v>
      </c>
      <c r="AL130">
        <v>0</v>
      </c>
      <c r="AM130">
        <v>-343833</v>
      </c>
      <c r="AN130">
        <v>0</v>
      </c>
      <c r="AP130">
        <v>0</v>
      </c>
      <c r="AQ130">
        <v>0</v>
      </c>
      <c r="AR130">
        <v>0</v>
      </c>
      <c r="AS130">
        <v>0</v>
      </c>
      <c r="AT130">
        <v>0</v>
      </c>
      <c r="AU130">
        <v>-1557806</v>
      </c>
      <c r="AV130">
        <v>0</v>
      </c>
      <c r="AX130">
        <v>0</v>
      </c>
      <c r="AY130">
        <v>0</v>
      </c>
      <c r="AZ130">
        <v>0</v>
      </c>
      <c r="BA130">
        <v>0</v>
      </c>
      <c r="BB130">
        <v>0</v>
      </c>
      <c r="BD130">
        <v>0</v>
      </c>
      <c r="BE130">
        <v>0</v>
      </c>
      <c r="BF130">
        <v>0</v>
      </c>
      <c r="BG130">
        <v>0</v>
      </c>
      <c r="BH130">
        <v>0</v>
      </c>
      <c r="BI130">
        <v>0</v>
      </c>
      <c r="BJ130">
        <v>0</v>
      </c>
      <c r="BK130">
        <v>0</v>
      </c>
      <c r="BL130">
        <v>0</v>
      </c>
      <c r="BM130">
        <v>0</v>
      </c>
      <c r="BN130">
        <v>0</v>
      </c>
      <c r="BO130">
        <v>59801</v>
      </c>
      <c r="BP130">
        <v>0</v>
      </c>
      <c r="BQ130">
        <v>-1</v>
      </c>
      <c r="BR130">
        <v>0</v>
      </c>
      <c r="BS130">
        <v>0</v>
      </c>
      <c r="BT130">
        <v>0</v>
      </c>
      <c r="BU130">
        <v>0</v>
      </c>
      <c r="BV130">
        <v>0</v>
      </c>
      <c r="BW130">
        <v>0</v>
      </c>
      <c r="BX130">
        <v>0</v>
      </c>
      <c r="BY130">
        <v>0</v>
      </c>
      <c r="BZ130">
        <v>0</v>
      </c>
      <c r="CA130">
        <v>0</v>
      </c>
    </row>
    <row r="131" spans="1:79" x14ac:dyDescent="0.3">
      <c r="A131" s="155">
        <v>508</v>
      </c>
      <c r="B131" t="s">
        <v>204</v>
      </c>
      <c r="D131">
        <v>0</v>
      </c>
      <c r="E131">
        <v>0</v>
      </c>
      <c r="F131">
        <v>0</v>
      </c>
      <c r="G131">
        <v>0</v>
      </c>
      <c r="H131">
        <v>0</v>
      </c>
      <c r="I131">
        <v>0</v>
      </c>
      <c r="J131">
        <v>0</v>
      </c>
      <c r="K131">
        <v>0</v>
      </c>
      <c r="L131">
        <v>0</v>
      </c>
      <c r="M131">
        <v>0</v>
      </c>
      <c r="N131">
        <v>0</v>
      </c>
      <c r="O131">
        <v>0</v>
      </c>
      <c r="P131">
        <v>0</v>
      </c>
      <c r="Q131">
        <v>0</v>
      </c>
      <c r="R131">
        <v>0</v>
      </c>
      <c r="S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P131">
        <v>0</v>
      </c>
      <c r="AQ131">
        <v>0</v>
      </c>
      <c r="AR131">
        <v>0</v>
      </c>
      <c r="AS131">
        <v>0</v>
      </c>
      <c r="AT131">
        <v>0</v>
      </c>
      <c r="AU131">
        <v>0</v>
      </c>
      <c r="AV131">
        <v>0</v>
      </c>
      <c r="AX131">
        <v>0</v>
      </c>
      <c r="AY131">
        <v>0</v>
      </c>
      <c r="AZ131">
        <v>0</v>
      </c>
      <c r="BA131">
        <v>0</v>
      </c>
      <c r="BB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row>
    <row r="132" spans="1:79" x14ac:dyDescent="0.3">
      <c r="A132" s="155">
        <v>509</v>
      </c>
      <c r="B132" t="s">
        <v>205</v>
      </c>
      <c r="D132">
        <v>0</v>
      </c>
      <c r="E132">
        <v>0</v>
      </c>
      <c r="F132">
        <v>0</v>
      </c>
      <c r="G132">
        <v>0</v>
      </c>
      <c r="H132">
        <v>0</v>
      </c>
      <c r="I132">
        <v>0</v>
      </c>
      <c r="J132">
        <v>0</v>
      </c>
      <c r="K132">
        <v>0</v>
      </c>
      <c r="L132">
        <v>0</v>
      </c>
      <c r="M132">
        <v>0</v>
      </c>
      <c r="N132">
        <v>0</v>
      </c>
      <c r="O132">
        <v>0</v>
      </c>
      <c r="P132">
        <v>0</v>
      </c>
      <c r="Q132">
        <v>0</v>
      </c>
      <c r="R132">
        <v>0</v>
      </c>
      <c r="S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P132">
        <v>0</v>
      </c>
      <c r="AQ132">
        <v>0</v>
      </c>
      <c r="AR132">
        <v>0</v>
      </c>
      <c r="AS132">
        <v>0</v>
      </c>
      <c r="AT132">
        <v>0</v>
      </c>
      <c r="AU132">
        <v>0</v>
      </c>
      <c r="AV132">
        <v>0</v>
      </c>
      <c r="AX132">
        <v>0</v>
      </c>
      <c r="AY132">
        <v>0</v>
      </c>
      <c r="AZ132">
        <v>0</v>
      </c>
      <c r="BA132">
        <v>0</v>
      </c>
      <c r="BB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row>
    <row r="133" spans="1:79" x14ac:dyDescent="0.3">
      <c r="A133" s="155">
        <v>510</v>
      </c>
      <c r="B133" t="s">
        <v>211</v>
      </c>
      <c r="D133">
        <v>0</v>
      </c>
      <c r="E133">
        <v>0</v>
      </c>
      <c r="F133">
        <v>0</v>
      </c>
      <c r="G133">
        <v>275584</v>
      </c>
      <c r="H133">
        <v>12586</v>
      </c>
      <c r="I133">
        <v>0</v>
      </c>
      <c r="J133">
        <v>0</v>
      </c>
      <c r="K133">
        <v>41532</v>
      </c>
      <c r="L133">
        <v>0</v>
      </c>
      <c r="M133">
        <v>0</v>
      </c>
      <c r="N133">
        <v>0</v>
      </c>
      <c r="O133">
        <v>5216</v>
      </c>
      <c r="P133">
        <v>0</v>
      </c>
      <c r="Q133">
        <v>162055</v>
      </c>
      <c r="R133">
        <v>0</v>
      </c>
      <c r="S133">
        <v>461187</v>
      </c>
      <c r="U133">
        <v>284512</v>
      </c>
      <c r="V133">
        <v>0</v>
      </c>
      <c r="W133">
        <v>0</v>
      </c>
      <c r="X133">
        <v>0</v>
      </c>
      <c r="Y133">
        <v>0</v>
      </c>
      <c r="Z133">
        <v>214140</v>
      </c>
      <c r="AA133">
        <v>32265</v>
      </c>
      <c r="AB133">
        <v>0</v>
      </c>
      <c r="AC133">
        <v>0</v>
      </c>
      <c r="AD133">
        <v>6304</v>
      </c>
      <c r="AE133">
        <v>0</v>
      </c>
      <c r="AF133">
        <v>0</v>
      </c>
      <c r="AG133">
        <v>0</v>
      </c>
      <c r="AH133">
        <v>0</v>
      </c>
      <c r="AI133">
        <v>0</v>
      </c>
      <c r="AJ133">
        <v>188373</v>
      </c>
      <c r="AK133">
        <v>0</v>
      </c>
      <c r="AL133">
        <v>0</v>
      </c>
      <c r="AM133">
        <v>0</v>
      </c>
      <c r="AN133">
        <v>197576</v>
      </c>
      <c r="AP133">
        <v>0</v>
      </c>
      <c r="AQ133">
        <v>426715</v>
      </c>
      <c r="AR133">
        <v>1071</v>
      </c>
      <c r="AS133">
        <v>0</v>
      </c>
      <c r="AT133">
        <v>39517</v>
      </c>
      <c r="AU133">
        <v>88531</v>
      </c>
      <c r="AV133">
        <v>0</v>
      </c>
      <c r="AX133">
        <v>0</v>
      </c>
      <c r="AY133">
        <v>181362</v>
      </c>
      <c r="AZ133">
        <v>9498</v>
      </c>
      <c r="BA133">
        <v>0</v>
      </c>
      <c r="BB133">
        <v>40725</v>
      </c>
      <c r="BD133">
        <v>0</v>
      </c>
      <c r="BE133">
        <v>723563</v>
      </c>
      <c r="BF133">
        <v>2009</v>
      </c>
      <c r="BG133">
        <v>0</v>
      </c>
      <c r="BH133">
        <v>0</v>
      </c>
      <c r="BI133">
        <v>4460</v>
      </c>
      <c r="BJ133">
        <v>0</v>
      </c>
      <c r="BK133">
        <v>209118</v>
      </c>
      <c r="BL133">
        <v>0</v>
      </c>
      <c r="BM133">
        <v>0</v>
      </c>
      <c r="BN133">
        <v>63280</v>
      </c>
      <c r="BO133">
        <v>85849</v>
      </c>
      <c r="BP133">
        <v>0</v>
      </c>
      <c r="BQ133">
        <v>72805</v>
      </c>
      <c r="BR133">
        <v>0</v>
      </c>
      <c r="BS133">
        <v>0</v>
      </c>
      <c r="BT133">
        <v>24153</v>
      </c>
      <c r="BU133">
        <v>90569</v>
      </c>
      <c r="BV133">
        <v>3747</v>
      </c>
      <c r="BW133">
        <v>112</v>
      </c>
      <c r="BX133">
        <v>0</v>
      </c>
      <c r="BY133">
        <v>0</v>
      </c>
      <c r="BZ133">
        <v>0</v>
      </c>
      <c r="CA133">
        <v>0</v>
      </c>
    </row>
    <row r="134" spans="1:79" x14ac:dyDescent="0.3">
      <c r="A134" s="155">
        <v>511</v>
      </c>
      <c r="B134" t="s">
        <v>216</v>
      </c>
      <c r="D134">
        <v>0</v>
      </c>
      <c r="E134">
        <v>0</v>
      </c>
      <c r="F134">
        <v>0</v>
      </c>
      <c r="G134">
        <v>0</v>
      </c>
      <c r="H134">
        <v>0</v>
      </c>
      <c r="I134">
        <v>0</v>
      </c>
      <c r="J134">
        <v>0</v>
      </c>
      <c r="K134">
        <v>0</v>
      </c>
      <c r="L134">
        <v>0</v>
      </c>
      <c r="M134">
        <v>0</v>
      </c>
      <c r="N134">
        <v>0</v>
      </c>
      <c r="O134">
        <v>0</v>
      </c>
      <c r="P134">
        <v>0</v>
      </c>
      <c r="Q134">
        <v>0</v>
      </c>
      <c r="R134">
        <v>0</v>
      </c>
      <c r="S134">
        <v>436257</v>
      </c>
      <c r="U134">
        <v>1210829</v>
      </c>
      <c r="V134">
        <v>0</v>
      </c>
      <c r="W134">
        <v>0</v>
      </c>
      <c r="X134">
        <v>0</v>
      </c>
      <c r="Y134">
        <v>0</v>
      </c>
      <c r="Z134">
        <v>309848</v>
      </c>
      <c r="AA134">
        <v>0</v>
      </c>
      <c r="AB134">
        <v>0</v>
      </c>
      <c r="AC134">
        <v>0</v>
      </c>
      <c r="AD134">
        <v>0</v>
      </c>
      <c r="AE134">
        <v>0</v>
      </c>
      <c r="AF134">
        <v>0</v>
      </c>
      <c r="AG134">
        <v>0</v>
      </c>
      <c r="AH134">
        <v>0</v>
      </c>
      <c r="AI134">
        <v>0</v>
      </c>
      <c r="AJ134">
        <v>1062476</v>
      </c>
      <c r="AK134">
        <v>0</v>
      </c>
      <c r="AL134">
        <v>0</v>
      </c>
      <c r="AM134">
        <v>0</v>
      </c>
      <c r="AN134">
        <v>0</v>
      </c>
      <c r="AP134">
        <v>0</v>
      </c>
      <c r="AQ134">
        <v>1657389</v>
      </c>
      <c r="AR134">
        <v>0</v>
      </c>
      <c r="AS134">
        <v>0</v>
      </c>
      <c r="AT134">
        <v>0</v>
      </c>
      <c r="AU134">
        <v>84103</v>
      </c>
      <c r="AV134">
        <v>0</v>
      </c>
      <c r="AX134">
        <v>0</v>
      </c>
      <c r="AY134">
        <v>0</v>
      </c>
      <c r="AZ134">
        <v>0</v>
      </c>
      <c r="BA134">
        <v>0</v>
      </c>
      <c r="BB134">
        <v>0</v>
      </c>
      <c r="BD134">
        <v>0</v>
      </c>
      <c r="BE134">
        <v>583592</v>
      </c>
      <c r="BF134">
        <v>1472</v>
      </c>
      <c r="BG134">
        <v>0</v>
      </c>
      <c r="BH134">
        <v>0</v>
      </c>
      <c r="BI134">
        <v>0</v>
      </c>
      <c r="BJ134">
        <v>0</v>
      </c>
      <c r="BK134">
        <v>408613</v>
      </c>
      <c r="BL134">
        <v>0</v>
      </c>
      <c r="BM134">
        <v>0</v>
      </c>
      <c r="BN134">
        <v>0</v>
      </c>
      <c r="BO134">
        <v>0</v>
      </c>
      <c r="BP134">
        <v>0</v>
      </c>
      <c r="BQ134">
        <v>0</v>
      </c>
      <c r="BR134">
        <v>0</v>
      </c>
      <c r="BS134">
        <v>0</v>
      </c>
      <c r="BT134">
        <v>0</v>
      </c>
      <c r="BU134">
        <v>0</v>
      </c>
      <c r="BV134">
        <v>0</v>
      </c>
      <c r="BW134">
        <v>0</v>
      </c>
      <c r="BX134">
        <v>0</v>
      </c>
      <c r="BY134">
        <v>0</v>
      </c>
      <c r="BZ134">
        <v>0</v>
      </c>
      <c r="CA134">
        <v>0</v>
      </c>
    </row>
    <row r="135" spans="1:79" x14ac:dyDescent="0.3">
      <c r="A135" s="155">
        <v>512</v>
      </c>
      <c r="B135" t="s">
        <v>243</v>
      </c>
      <c r="D135">
        <v>0</v>
      </c>
      <c r="E135">
        <v>0</v>
      </c>
      <c r="F135">
        <v>0</v>
      </c>
      <c r="G135">
        <v>0</v>
      </c>
      <c r="H135">
        <v>0</v>
      </c>
      <c r="I135">
        <v>0</v>
      </c>
      <c r="J135">
        <v>0</v>
      </c>
      <c r="K135">
        <v>0</v>
      </c>
      <c r="L135">
        <v>0</v>
      </c>
      <c r="M135">
        <v>0</v>
      </c>
      <c r="N135">
        <v>0</v>
      </c>
      <c r="O135">
        <v>0</v>
      </c>
      <c r="P135">
        <v>644107</v>
      </c>
      <c r="Q135">
        <v>555605</v>
      </c>
      <c r="R135">
        <v>0</v>
      </c>
      <c r="S135">
        <v>243850</v>
      </c>
      <c r="U135">
        <v>0</v>
      </c>
      <c r="V135">
        <v>0</v>
      </c>
      <c r="W135">
        <v>0</v>
      </c>
      <c r="X135">
        <v>0</v>
      </c>
      <c r="Y135">
        <v>0</v>
      </c>
      <c r="Z135">
        <v>0</v>
      </c>
      <c r="AA135">
        <v>24556</v>
      </c>
      <c r="AB135">
        <v>0</v>
      </c>
      <c r="AC135">
        <v>0</v>
      </c>
      <c r="AD135">
        <v>0</v>
      </c>
      <c r="AE135">
        <v>0</v>
      </c>
      <c r="AF135">
        <v>0</v>
      </c>
      <c r="AG135">
        <v>0</v>
      </c>
      <c r="AH135">
        <v>0</v>
      </c>
      <c r="AI135">
        <v>0</v>
      </c>
      <c r="AJ135">
        <v>0</v>
      </c>
      <c r="AK135">
        <v>0</v>
      </c>
      <c r="AL135">
        <v>0</v>
      </c>
      <c r="AM135">
        <v>0</v>
      </c>
      <c r="AN135">
        <v>0</v>
      </c>
      <c r="AP135">
        <v>0</v>
      </c>
      <c r="AQ135">
        <v>0</v>
      </c>
      <c r="AR135">
        <v>0</v>
      </c>
      <c r="AS135">
        <v>42700</v>
      </c>
      <c r="AT135">
        <v>0</v>
      </c>
      <c r="AU135">
        <v>0</v>
      </c>
      <c r="AV135">
        <v>0</v>
      </c>
      <c r="AX135">
        <v>0</v>
      </c>
      <c r="AY135">
        <v>0</v>
      </c>
      <c r="AZ135">
        <v>0</v>
      </c>
      <c r="BA135">
        <v>0</v>
      </c>
      <c r="BB135">
        <v>0</v>
      </c>
      <c r="BD135">
        <v>0</v>
      </c>
      <c r="BE135">
        <v>0</v>
      </c>
      <c r="BF135">
        <v>0</v>
      </c>
      <c r="BG135">
        <v>0</v>
      </c>
      <c r="BH135">
        <v>177496</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row>
    <row r="136" spans="1:79" x14ac:dyDescent="0.3">
      <c r="A136" s="155">
        <v>513</v>
      </c>
      <c r="B136" t="s">
        <v>249</v>
      </c>
      <c r="D136">
        <v>0</v>
      </c>
      <c r="E136">
        <v>0</v>
      </c>
      <c r="F136">
        <v>0</v>
      </c>
      <c r="G136">
        <v>0</v>
      </c>
      <c r="H136">
        <v>0</v>
      </c>
      <c r="I136">
        <v>0</v>
      </c>
      <c r="J136">
        <v>0</v>
      </c>
      <c r="K136">
        <v>0</v>
      </c>
      <c r="L136">
        <v>0</v>
      </c>
      <c r="M136">
        <v>0</v>
      </c>
      <c r="N136">
        <v>0</v>
      </c>
      <c r="O136">
        <v>0</v>
      </c>
      <c r="P136">
        <v>0</v>
      </c>
      <c r="Q136">
        <v>0</v>
      </c>
      <c r="R136">
        <v>0</v>
      </c>
      <c r="S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P136">
        <v>0</v>
      </c>
      <c r="AQ136">
        <v>0</v>
      </c>
      <c r="AR136">
        <v>0</v>
      </c>
      <c r="AS136">
        <v>0</v>
      </c>
      <c r="AT136">
        <v>0</v>
      </c>
      <c r="AU136">
        <v>0</v>
      </c>
      <c r="AV136">
        <v>0</v>
      </c>
      <c r="AX136">
        <v>0</v>
      </c>
      <c r="AY136">
        <v>0</v>
      </c>
      <c r="AZ136">
        <v>133676</v>
      </c>
      <c r="BA136">
        <v>0</v>
      </c>
      <c r="BB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row>
    <row r="137" spans="1:79" x14ac:dyDescent="0.3">
      <c r="A137" s="155">
        <v>514</v>
      </c>
      <c r="B137" t="s">
        <v>250</v>
      </c>
      <c r="D137">
        <v>0</v>
      </c>
      <c r="E137">
        <v>0</v>
      </c>
      <c r="F137">
        <v>0</v>
      </c>
      <c r="G137">
        <v>0</v>
      </c>
      <c r="H137">
        <v>0</v>
      </c>
      <c r="I137">
        <v>0</v>
      </c>
      <c r="J137">
        <v>0</v>
      </c>
      <c r="K137">
        <v>0</v>
      </c>
      <c r="L137">
        <v>0</v>
      </c>
      <c r="M137">
        <v>0</v>
      </c>
      <c r="N137">
        <v>0</v>
      </c>
      <c r="O137">
        <v>0</v>
      </c>
      <c r="P137">
        <v>0</v>
      </c>
      <c r="Q137">
        <v>0</v>
      </c>
      <c r="R137">
        <v>0</v>
      </c>
      <c r="S137">
        <v>3030000</v>
      </c>
      <c r="U137">
        <v>2382739</v>
      </c>
      <c r="V137">
        <v>0</v>
      </c>
      <c r="W137">
        <v>0</v>
      </c>
      <c r="X137">
        <v>0</v>
      </c>
      <c r="Y137">
        <v>0</v>
      </c>
      <c r="Z137">
        <v>0</v>
      </c>
      <c r="AA137">
        <v>0</v>
      </c>
      <c r="AB137">
        <v>0</v>
      </c>
      <c r="AC137">
        <v>0</v>
      </c>
      <c r="AD137">
        <v>0</v>
      </c>
      <c r="AE137">
        <v>450000</v>
      </c>
      <c r="AF137">
        <v>0</v>
      </c>
      <c r="AG137">
        <v>0</v>
      </c>
      <c r="AH137">
        <v>0</v>
      </c>
      <c r="AI137">
        <v>0</v>
      </c>
      <c r="AJ137">
        <v>367957</v>
      </c>
      <c r="AK137">
        <v>0</v>
      </c>
      <c r="AL137">
        <v>0</v>
      </c>
      <c r="AM137">
        <v>0</v>
      </c>
      <c r="AN137">
        <v>0</v>
      </c>
      <c r="AP137">
        <v>0</v>
      </c>
      <c r="AQ137">
        <v>1200000</v>
      </c>
      <c r="AR137">
        <v>0</v>
      </c>
      <c r="AS137">
        <v>0</v>
      </c>
      <c r="AT137">
        <v>0</v>
      </c>
      <c r="AU137">
        <v>30465</v>
      </c>
      <c r="AV137">
        <v>0</v>
      </c>
      <c r="AX137">
        <v>0</v>
      </c>
      <c r="AY137">
        <v>0</v>
      </c>
      <c r="AZ137">
        <v>391543</v>
      </c>
      <c r="BA137">
        <v>0</v>
      </c>
      <c r="BB137">
        <v>0</v>
      </c>
      <c r="BD137">
        <v>0</v>
      </c>
      <c r="BE137">
        <v>1744865</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row>
    <row r="138" spans="1:79" x14ac:dyDescent="0.3">
      <c r="A138" s="155">
        <v>515</v>
      </c>
      <c r="B138" t="s">
        <v>262</v>
      </c>
      <c r="D138">
        <v>0</v>
      </c>
      <c r="E138">
        <v>0</v>
      </c>
      <c r="F138">
        <v>0</v>
      </c>
      <c r="G138">
        <v>114774423</v>
      </c>
      <c r="H138">
        <v>1379770</v>
      </c>
      <c r="I138">
        <v>0</v>
      </c>
      <c r="J138">
        <v>0</v>
      </c>
      <c r="K138">
        <v>0</v>
      </c>
      <c r="L138">
        <v>22895344</v>
      </c>
      <c r="M138">
        <v>0</v>
      </c>
      <c r="N138">
        <v>0</v>
      </c>
      <c r="O138">
        <v>87396</v>
      </c>
      <c r="P138">
        <v>0</v>
      </c>
      <c r="Q138">
        <v>412781</v>
      </c>
      <c r="R138">
        <v>494360</v>
      </c>
      <c r="S138">
        <v>14550217</v>
      </c>
      <c r="U138">
        <v>41924829</v>
      </c>
      <c r="V138">
        <v>0</v>
      </c>
      <c r="W138">
        <v>0</v>
      </c>
      <c r="X138">
        <v>0</v>
      </c>
      <c r="Y138">
        <v>793162</v>
      </c>
      <c r="Z138">
        <v>0</v>
      </c>
      <c r="AA138">
        <v>0</v>
      </c>
      <c r="AB138">
        <v>0</v>
      </c>
      <c r="AC138">
        <v>0</v>
      </c>
      <c r="AD138">
        <v>0</v>
      </c>
      <c r="AE138">
        <v>219072</v>
      </c>
      <c r="AF138">
        <v>0</v>
      </c>
      <c r="AG138">
        <v>0</v>
      </c>
      <c r="AH138">
        <v>0</v>
      </c>
      <c r="AI138">
        <v>0</v>
      </c>
      <c r="AJ138">
        <v>0</v>
      </c>
      <c r="AK138">
        <v>73000</v>
      </c>
      <c r="AL138">
        <v>0</v>
      </c>
      <c r="AM138">
        <v>0</v>
      </c>
      <c r="AN138">
        <v>0</v>
      </c>
      <c r="AP138">
        <v>0</v>
      </c>
      <c r="AQ138">
        <v>866043</v>
      </c>
      <c r="AR138">
        <v>438864</v>
      </c>
      <c r="AS138">
        <v>33338</v>
      </c>
      <c r="AT138">
        <v>267595</v>
      </c>
      <c r="AU138">
        <v>14317258</v>
      </c>
      <c r="AV138">
        <v>108060</v>
      </c>
      <c r="AX138">
        <v>0</v>
      </c>
      <c r="AY138">
        <v>0</v>
      </c>
      <c r="AZ138">
        <v>834343</v>
      </c>
      <c r="BA138">
        <v>0</v>
      </c>
      <c r="BB138">
        <v>16683</v>
      </c>
      <c r="BD138">
        <v>0</v>
      </c>
      <c r="BE138">
        <v>18580814</v>
      </c>
      <c r="BF138">
        <v>0</v>
      </c>
      <c r="BG138">
        <v>0</v>
      </c>
      <c r="BH138">
        <v>0</v>
      </c>
      <c r="BI138">
        <v>0</v>
      </c>
      <c r="BJ138">
        <v>0</v>
      </c>
      <c r="BK138">
        <v>390955</v>
      </c>
      <c r="BL138">
        <v>0</v>
      </c>
      <c r="BM138">
        <v>0</v>
      </c>
      <c r="BN138">
        <v>7538404</v>
      </c>
      <c r="BO138">
        <v>671860</v>
      </c>
      <c r="BP138">
        <v>0</v>
      </c>
      <c r="BQ138">
        <v>364151</v>
      </c>
      <c r="BR138">
        <v>0</v>
      </c>
      <c r="BS138">
        <v>0</v>
      </c>
      <c r="BT138">
        <v>2483050</v>
      </c>
      <c r="BU138">
        <v>0</v>
      </c>
      <c r="BV138">
        <v>0</v>
      </c>
      <c r="BW138">
        <v>0</v>
      </c>
      <c r="BX138">
        <v>0</v>
      </c>
      <c r="BY138">
        <v>0</v>
      </c>
      <c r="BZ138">
        <v>9491910</v>
      </c>
      <c r="CA138">
        <v>0</v>
      </c>
    </row>
    <row r="139" spans="1:79" x14ac:dyDescent="0.3">
      <c r="A139" s="155">
        <v>516</v>
      </c>
      <c r="B139" t="s">
        <v>263</v>
      </c>
      <c r="D139">
        <v>0</v>
      </c>
      <c r="E139">
        <v>0</v>
      </c>
      <c r="F139">
        <v>2815924</v>
      </c>
      <c r="G139">
        <v>135555120</v>
      </c>
      <c r="H139">
        <v>13379977</v>
      </c>
      <c r="I139">
        <v>1918997</v>
      </c>
      <c r="J139">
        <v>10450708</v>
      </c>
      <c r="K139">
        <v>8234236</v>
      </c>
      <c r="L139">
        <v>145088283</v>
      </c>
      <c r="M139">
        <v>0</v>
      </c>
      <c r="N139">
        <v>5168694</v>
      </c>
      <c r="O139">
        <v>6483359</v>
      </c>
      <c r="P139">
        <v>0</v>
      </c>
      <c r="Q139">
        <v>24095076</v>
      </c>
      <c r="R139">
        <v>39911320</v>
      </c>
      <c r="S139">
        <v>31120557</v>
      </c>
      <c r="U139">
        <v>68569461</v>
      </c>
      <c r="V139">
        <v>0</v>
      </c>
      <c r="W139">
        <v>0</v>
      </c>
      <c r="X139">
        <v>0</v>
      </c>
      <c r="Y139">
        <v>10874172</v>
      </c>
      <c r="Z139">
        <v>15225126</v>
      </c>
      <c r="AA139">
        <v>10332893</v>
      </c>
      <c r="AB139">
        <v>0</v>
      </c>
      <c r="AC139">
        <v>952122</v>
      </c>
      <c r="AD139">
        <v>14222748</v>
      </c>
      <c r="AE139">
        <v>18573247</v>
      </c>
      <c r="AF139">
        <v>1286321</v>
      </c>
      <c r="AG139">
        <v>0</v>
      </c>
      <c r="AH139">
        <v>0</v>
      </c>
      <c r="AI139">
        <v>56480</v>
      </c>
      <c r="AJ139">
        <v>57443016</v>
      </c>
      <c r="AK139">
        <v>2131288</v>
      </c>
      <c r="AL139">
        <v>0</v>
      </c>
      <c r="AM139">
        <v>0</v>
      </c>
      <c r="AN139">
        <v>77330355</v>
      </c>
      <c r="AP139">
        <v>0</v>
      </c>
      <c r="AQ139">
        <v>72685975</v>
      </c>
      <c r="AR139">
        <v>9650211</v>
      </c>
      <c r="AS139">
        <v>5958333</v>
      </c>
      <c r="AT139">
        <v>7283349</v>
      </c>
      <c r="AU139">
        <v>47576943</v>
      </c>
      <c r="AV139">
        <v>1742830</v>
      </c>
      <c r="AX139">
        <v>14658386</v>
      </c>
      <c r="AY139">
        <v>17597375</v>
      </c>
      <c r="AZ139">
        <v>27931542</v>
      </c>
      <c r="BA139">
        <v>20457</v>
      </c>
      <c r="BB139">
        <v>790666</v>
      </c>
      <c r="BD139">
        <v>0</v>
      </c>
      <c r="BE139">
        <v>71528720</v>
      </c>
      <c r="BF139">
        <v>5041807</v>
      </c>
      <c r="BG139">
        <v>0</v>
      </c>
      <c r="BH139">
        <v>11744116</v>
      </c>
      <c r="BI139">
        <v>8234496</v>
      </c>
      <c r="BJ139">
        <v>9497070</v>
      </c>
      <c r="BK139">
        <v>16959385</v>
      </c>
      <c r="BL139">
        <v>10888924</v>
      </c>
      <c r="BM139">
        <v>0</v>
      </c>
      <c r="BN139">
        <v>24618178</v>
      </c>
      <c r="BO139">
        <v>15500794</v>
      </c>
      <c r="BP139">
        <v>15049071</v>
      </c>
      <c r="BQ139">
        <v>6377007</v>
      </c>
      <c r="BR139">
        <v>0</v>
      </c>
      <c r="BS139">
        <v>0</v>
      </c>
      <c r="BT139">
        <v>4880718</v>
      </c>
      <c r="BU139">
        <v>24046444</v>
      </c>
      <c r="BV139">
        <v>5905822</v>
      </c>
      <c r="BW139">
        <v>2225233</v>
      </c>
      <c r="BX139">
        <v>0</v>
      </c>
      <c r="BY139">
        <v>0</v>
      </c>
      <c r="BZ139">
        <v>63931893</v>
      </c>
      <c r="CA139">
        <v>0</v>
      </c>
    </row>
    <row r="140" spans="1:79" x14ac:dyDescent="0.3">
      <c r="A140" s="155">
        <v>517</v>
      </c>
      <c r="B140" t="s">
        <v>264</v>
      </c>
      <c r="D140">
        <v>0</v>
      </c>
      <c r="E140">
        <v>0</v>
      </c>
      <c r="F140">
        <v>0</v>
      </c>
      <c r="G140">
        <v>0</v>
      </c>
      <c r="H140">
        <v>0</v>
      </c>
      <c r="I140">
        <v>0</v>
      </c>
      <c r="J140">
        <v>0</v>
      </c>
      <c r="K140">
        <v>0</v>
      </c>
      <c r="L140">
        <v>0</v>
      </c>
      <c r="M140">
        <v>0</v>
      </c>
      <c r="N140">
        <v>0</v>
      </c>
      <c r="O140">
        <v>2113367</v>
      </c>
      <c r="P140">
        <v>0</v>
      </c>
      <c r="Q140">
        <v>0</v>
      </c>
      <c r="R140">
        <v>0</v>
      </c>
      <c r="S140">
        <v>0</v>
      </c>
      <c r="U140">
        <v>575177</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P140">
        <v>0</v>
      </c>
      <c r="AQ140">
        <v>0</v>
      </c>
      <c r="AR140">
        <v>56277</v>
      </c>
      <c r="AS140">
        <v>0</v>
      </c>
      <c r="AT140">
        <v>0</v>
      </c>
      <c r="AU140">
        <v>0</v>
      </c>
      <c r="AV140">
        <v>0</v>
      </c>
      <c r="AX140">
        <v>0</v>
      </c>
      <c r="AY140">
        <v>0</v>
      </c>
      <c r="AZ140">
        <v>0</v>
      </c>
      <c r="BA140">
        <v>0</v>
      </c>
      <c r="BB140">
        <v>6476781</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row>
    <row r="141" spans="1:79" x14ac:dyDescent="0.3">
      <c r="A141" s="155">
        <v>518</v>
      </c>
      <c r="B141" t="s">
        <v>265</v>
      </c>
      <c r="D141">
        <v>0</v>
      </c>
      <c r="E141">
        <v>0</v>
      </c>
      <c r="F141">
        <v>57409</v>
      </c>
      <c r="G141">
        <v>10259994</v>
      </c>
      <c r="H141">
        <v>11992509</v>
      </c>
      <c r="I141">
        <v>71899</v>
      </c>
      <c r="J141">
        <v>345551</v>
      </c>
      <c r="K141">
        <v>0</v>
      </c>
      <c r="L141">
        <v>5610399</v>
      </c>
      <c r="M141">
        <v>0</v>
      </c>
      <c r="N141">
        <v>496033</v>
      </c>
      <c r="O141">
        <v>0</v>
      </c>
      <c r="P141">
        <v>0</v>
      </c>
      <c r="Q141">
        <v>6810502</v>
      </c>
      <c r="R141">
        <v>1988958</v>
      </c>
      <c r="S141">
        <v>64175013</v>
      </c>
      <c r="U141">
        <v>6344091</v>
      </c>
      <c r="V141">
        <v>0</v>
      </c>
      <c r="W141">
        <v>0</v>
      </c>
      <c r="X141">
        <v>0</v>
      </c>
      <c r="Y141">
        <v>1024754</v>
      </c>
      <c r="Z141">
        <v>1239913</v>
      </c>
      <c r="AA141">
        <v>507132</v>
      </c>
      <c r="AB141">
        <v>0</v>
      </c>
      <c r="AC141">
        <v>60561</v>
      </c>
      <c r="AD141">
        <v>607465</v>
      </c>
      <c r="AE141">
        <v>1633502</v>
      </c>
      <c r="AF141">
        <v>17089</v>
      </c>
      <c r="AG141">
        <v>0</v>
      </c>
      <c r="AH141">
        <v>0</v>
      </c>
      <c r="AI141">
        <v>39329</v>
      </c>
      <c r="AJ141">
        <v>5531032</v>
      </c>
      <c r="AK141">
        <v>100717</v>
      </c>
      <c r="AL141">
        <v>0</v>
      </c>
      <c r="AM141">
        <v>0</v>
      </c>
      <c r="AN141">
        <v>4701798</v>
      </c>
      <c r="AP141">
        <v>0</v>
      </c>
      <c r="AQ141">
        <v>4238850</v>
      </c>
      <c r="AR141">
        <v>745143</v>
      </c>
      <c r="AS141">
        <v>84264</v>
      </c>
      <c r="AT141">
        <v>938965</v>
      </c>
      <c r="AU141">
        <v>11382625</v>
      </c>
      <c r="AV141">
        <v>20574</v>
      </c>
      <c r="AX141">
        <v>0</v>
      </c>
      <c r="AY141">
        <v>506942</v>
      </c>
      <c r="AZ141">
        <v>0</v>
      </c>
      <c r="BA141">
        <v>0</v>
      </c>
      <c r="BB141">
        <v>638592</v>
      </c>
      <c r="BD141">
        <v>0</v>
      </c>
      <c r="BE141">
        <v>16193469</v>
      </c>
      <c r="BF141">
        <v>203904</v>
      </c>
      <c r="BG141">
        <v>0</v>
      </c>
      <c r="BH141">
        <v>1028616</v>
      </c>
      <c r="BI141">
        <v>457524</v>
      </c>
      <c r="BJ141">
        <v>366992</v>
      </c>
      <c r="BK141">
        <v>2027704</v>
      </c>
      <c r="BL141">
        <v>700600</v>
      </c>
      <c r="BM141">
        <v>0</v>
      </c>
      <c r="BN141">
        <v>4617869</v>
      </c>
      <c r="BO141">
        <v>482534</v>
      </c>
      <c r="BP141">
        <v>163527</v>
      </c>
      <c r="BQ141">
        <v>720898</v>
      </c>
      <c r="BR141">
        <v>0</v>
      </c>
      <c r="BS141">
        <v>0</v>
      </c>
      <c r="BT141">
        <v>1918580</v>
      </c>
      <c r="BU141">
        <v>1157869</v>
      </c>
      <c r="BV141">
        <v>419954</v>
      </c>
      <c r="BW141">
        <v>0</v>
      </c>
      <c r="BX141">
        <v>0</v>
      </c>
      <c r="BY141">
        <v>0</v>
      </c>
      <c r="BZ141">
        <v>3151426</v>
      </c>
      <c r="CA141">
        <v>0</v>
      </c>
    </row>
    <row r="142" spans="1:79" x14ac:dyDescent="0.3">
      <c r="A142" s="155">
        <v>519</v>
      </c>
      <c r="B142" t="s">
        <v>266</v>
      </c>
      <c r="D142">
        <v>0</v>
      </c>
      <c r="E142">
        <v>0</v>
      </c>
      <c r="F142">
        <v>0</v>
      </c>
      <c r="G142">
        <v>2553918</v>
      </c>
      <c r="H142">
        <v>32500</v>
      </c>
      <c r="I142">
        <v>0</v>
      </c>
      <c r="J142">
        <v>0</v>
      </c>
      <c r="K142">
        <v>0</v>
      </c>
      <c r="L142">
        <v>369318</v>
      </c>
      <c r="M142">
        <v>0</v>
      </c>
      <c r="N142">
        <v>0</v>
      </c>
      <c r="O142">
        <v>1748</v>
      </c>
      <c r="P142">
        <v>0</v>
      </c>
      <c r="Q142">
        <v>1436</v>
      </c>
      <c r="R142">
        <v>8520</v>
      </c>
      <c r="S142">
        <v>160878</v>
      </c>
      <c r="U142">
        <v>985471</v>
      </c>
      <c r="V142">
        <v>0</v>
      </c>
      <c r="W142">
        <v>0</v>
      </c>
      <c r="X142">
        <v>0</v>
      </c>
      <c r="Y142">
        <v>19830</v>
      </c>
      <c r="Z142">
        <v>0</v>
      </c>
      <c r="AA142">
        <v>0</v>
      </c>
      <c r="AB142">
        <v>0</v>
      </c>
      <c r="AC142">
        <v>0</v>
      </c>
      <c r="AD142">
        <v>0</v>
      </c>
      <c r="AE142">
        <v>7557</v>
      </c>
      <c r="AF142">
        <v>0</v>
      </c>
      <c r="AG142">
        <v>0</v>
      </c>
      <c r="AH142">
        <v>0</v>
      </c>
      <c r="AI142">
        <v>0</v>
      </c>
      <c r="AJ142">
        <v>0</v>
      </c>
      <c r="AK142">
        <v>0</v>
      </c>
      <c r="AL142">
        <v>0</v>
      </c>
      <c r="AM142">
        <v>0</v>
      </c>
      <c r="AN142">
        <v>0</v>
      </c>
      <c r="AP142">
        <v>0</v>
      </c>
      <c r="AQ142">
        <v>11071</v>
      </c>
      <c r="AR142">
        <v>11919</v>
      </c>
      <c r="AS142">
        <v>667</v>
      </c>
      <c r="AT142">
        <v>8453</v>
      </c>
      <c r="AU142">
        <v>333371</v>
      </c>
      <c r="AV142">
        <v>2874</v>
      </c>
      <c r="AX142">
        <v>0</v>
      </c>
      <c r="AY142">
        <v>0</v>
      </c>
      <c r="AZ142">
        <v>20858</v>
      </c>
      <c r="BA142">
        <v>0</v>
      </c>
      <c r="BB142">
        <v>0</v>
      </c>
      <c r="BD142">
        <v>0</v>
      </c>
      <c r="BE142">
        <v>262754</v>
      </c>
      <c r="BF142">
        <v>0</v>
      </c>
      <c r="BG142">
        <v>0</v>
      </c>
      <c r="BH142">
        <v>0</v>
      </c>
      <c r="BI142">
        <v>0</v>
      </c>
      <c r="BJ142">
        <v>0</v>
      </c>
      <c r="BK142">
        <v>29563</v>
      </c>
      <c r="BL142">
        <v>0</v>
      </c>
      <c r="BM142">
        <v>0</v>
      </c>
      <c r="BN142">
        <v>131721</v>
      </c>
      <c r="BO142">
        <v>16488</v>
      </c>
      <c r="BP142">
        <v>0</v>
      </c>
      <c r="BQ142">
        <v>9546</v>
      </c>
      <c r="BR142">
        <v>0</v>
      </c>
      <c r="BS142">
        <v>0</v>
      </c>
      <c r="BT142">
        <v>111269</v>
      </c>
      <c r="BU142">
        <v>0</v>
      </c>
      <c r="BV142">
        <v>0</v>
      </c>
      <c r="BW142">
        <v>0</v>
      </c>
      <c r="BX142">
        <v>0</v>
      </c>
      <c r="BY142">
        <v>0</v>
      </c>
      <c r="BZ142">
        <v>203985</v>
      </c>
      <c r="CA142">
        <v>0</v>
      </c>
    </row>
    <row r="143" spans="1:79" x14ac:dyDescent="0.3">
      <c r="A143" s="155">
        <v>520</v>
      </c>
      <c r="B143" t="s">
        <v>267</v>
      </c>
      <c r="D143">
        <v>0</v>
      </c>
      <c r="E143">
        <v>0</v>
      </c>
      <c r="F143">
        <v>65416</v>
      </c>
      <c r="G143">
        <v>5308937</v>
      </c>
      <c r="H143">
        <v>279082</v>
      </c>
      <c r="I143">
        <v>17505</v>
      </c>
      <c r="J143">
        <v>211499</v>
      </c>
      <c r="K143">
        <v>164224</v>
      </c>
      <c r="L143">
        <v>2724264</v>
      </c>
      <c r="M143">
        <v>0</v>
      </c>
      <c r="N143">
        <v>103147</v>
      </c>
      <c r="O143">
        <v>169696</v>
      </c>
      <c r="P143">
        <v>0</v>
      </c>
      <c r="Q143">
        <v>471495</v>
      </c>
      <c r="R143">
        <v>920845</v>
      </c>
      <c r="S143">
        <v>1084058</v>
      </c>
      <c r="U143">
        <v>1476958</v>
      </c>
      <c r="V143">
        <v>0</v>
      </c>
      <c r="W143">
        <v>0</v>
      </c>
      <c r="X143">
        <v>0</v>
      </c>
      <c r="Y143">
        <v>273225</v>
      </c>
      <c r="Z143">
        <v>335151</v>
      </c>
      <c r="AA143">
        <v>294710</v>
      </c>
      <c r="AB143">
        <v>0</v>
      </c>
      <c r="AC143">
        <v>5761</v>
      </c>
      <c r="AD143">
        <v>271460</v>
      </c>
      <c r="AE143">
        <v>401611</v>
      </c>
      <c r="AF143">
        <v>26826</v>
      </c>
      <c r="AG143">
        <v>0</v>
      </c>
      <c r="AH143">
        <v>0</v>
      </c>
      <c r="AI143">
        <v>41918</v>
      </c>
      <c r="AJ143">
        <v>1203575</v>
      </c>
      <c r="AK143">
        <v>45827</v>
      </c>
      <c r="AL143">
        <v>0</v>
      </c>
      <c r="AM143">
        <v>0</v>
      </c>
      <c r="AN143">
        <v>1461797</v>
      </c>
      <c r="AP143">
        <v>0</v>
      </c>
      <c r="AQ143">
        <v>1053356</v>
      </c>
      <c r="AR143">
        <v>197432</v>
      </c>
      <c r="AS143">
        <v>119167</v>
      </c>
      <c r="AT143">
        <v>207408</v>
      </c>
      <c r="AU143">
        <v>1085490</v>
      </c>
      <c r="AV143">
        <v>58093</v>
      </c>
      <c r="AX143">
        <v>283356</v>
      </c>
      <c r="AY143">
        <v>329768</v>
      </c>
      <c r="AZ143">
        <v>593417</v>
      </c>
      <c r="BA143">
        <v>0</v>
      </c>
      <c r="BB143">
        <v>44533</v>
      </c>
      <c r="BD143">
        <v>0</v>
      </c>
      <c r="BE143">
        <v>1242375</v>
      </c>
      <c r="BF143">
        <v>103844</v>
      </c>
      <c r="BG143">
        <v>0</v>
      </c>
      <c r="BH143">
        <v>231356</v>
      </c>
      <c r="BI143">
        <v>167865</v>
      </c>
      <c r="BJ143">
        <v>258821</v>
      </c>
      <c r="BK143">
        <v>314812</v>
      </c>
      <c r="BL143">
        <v>287563</v>
      </c>
      <c r="BM143">
        <v>0</v>
      </c>
      <c r="BN143">
        <v>565589</v>
      </c>
      <c r="BO143">
        <v>244254</v>
      </c>
      <c r="BP143">
        <v>304475</v>
      </c>
      <c r="BQ143">
        <v>117550</v>
      </c>
      <c r="BR143">
        <v>0</v>
      </c>
      <c r="BS143">
        <v>0</v>
      </c>
      <c r="BT143">
        <v>60236</v>
      </c>
      <c r="BU143">
        <v>478462</v>
      </c>
      <c r="BV143">
        <v>133784</v>
      </c>
      <c r="BW143">
        <v>44311</v>
      </c>
      <c r="BX143">
        <v>0</v>
      </c>
      <c r="BY143">
        <v>0</v>
      </c>
      <c r="BZ143">
        <v>1285762</v>
      </c>
      <c r="CA143">
        <v>0</v>
      </c>
    </row>
    <row r="144" spans="1:79" x14ac:dyDescent="0.3">
      <c r="A144" s="155">
        <v>521</v>
      </c>
      <c r="B144" t="s">
        <v>268</v>
      </c>
      <c r="D144">
        <v>0</v>
      </c>
      <c r="E144">
        <v>0</v>
      </c>
      <c r="F144">
        <v>0</v>
      </c>
      <c r="G144">
        <v>0</v>
      </c>
      <c r="H144">
        <v>0</v>
      </c>
      <c r="I144">
        <v>0</v>
      </c>
      <c r="J144">
        <v>0</v>
      </c>
      <c r="K144">
        <v>0</v>
      </c>
      <c r="L144">
        <v>0</v>
      </c>
      <c r="M144">
        <v>0</v>
      </c>
      <c r="N144">
        <v>0</v>
      </c>
      <c r="O144">
        <v>0</v>
      </c>
      <c r="P144">
        <v>0</v>
      </c>
      <c r="Q144">
        <v>0</v>
      </c>
      <c r="R144">
        <v>0</v>
      </c>
      <c r="S144">
        <v>0</v>
      </c>
      <c r="U144">
        <v>28580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P144">
        <v>0</v>
      </c>
      <c r="AQ144">
        <v>0</v>
      </c>
      <c r="AR144">
        <v>1838</v>
      </c>
      <c r="AS144">
        <v>0</v>
      </c>
      <c r="AT144">
        <v>0</v>
      </c>
      <c r="AU144">
        <v>0</v>
      </c>
      <c r="AV144">
        <v>0</v>
      </c>
      <c r="AX144">
        <v>0</v>
      </c>
      <c r="AY144">
        <v>0</v>
      </c>
      <c r="AZ144">
        <v>0</v>
      </c>
      <c r="BA144">
        <v>0</v>
      </c>
      <c r="BB144">
        <v>99470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row>
    <row r="145" spans="1:79" x14ac:dyDescent="0.3">
      <c r="A145" s="155">
        <v>522</v>
      </c>
      <c r="B145" t="s">
        <v>269</v>
      </c>
      <c r="D145">
        <v>0</v>
      </c>
      <c r="E145">
        <v>0</v>
      </c>
      <c r="F145">
        <v>6680</v>
      </c>
      <c r="G145">
        <v>224940</v>
      </c>
      <c r="H145">
        <v>405331</v>
      </c>
      <c r="I145">
        <v>1259</v>
      </c>
      <c r="J145">
        <v>14189</v>
      </c>
      <c r="K145">
        <v>0</v>
      </c>
      <c r="L145">
        <v>581497</v>
      </c>
      <c r="M145">
        <v>0</v>
      </c>
      <c r="N145">
        <v>32008</v>
      </c>
      <c r="O145">
        <v>60441</v>
      </c>
      <c r="P145">
        <v>0</v>
      </c>
      <c r="Q145">
        <v>241018</v>
      </c>
      <c r="R145">
        <v>102174</v>
      </c>
      <c r="S145">
        <v>1614304</v>
      </c>
      <c r="U145">
        <v>424331</v>
      </c>
      <c r="V145">
        <v>0</v>
      </c>
      <c r="W145">
        <v>0</v>
      </c>
      <c r="X145">
        <v>0</v>
      </c>
      <c r="Y145">
        <v>65432</v>
      </c>
      <c r="Z145">
        <v>47872</v>
      </c>
      <c r="AA145">
        <v>22813</v>
      </c>
      <c r="AB145">
        <v>0</v>
      </c>
      <c r="AC145">
        <v>1060</v>
      </c>
      <c r="AD145">
        <v>26469</v>
      </c>
      <c r="AE145">
        <v>150228</v>
      </c>
      <c r="AF145">
        <v>0</v>
      </c>
      <c r="AG145">
        <v>0</v>
      </c>
      <c r="AH145">
        <v>0</v>
      </c>
      <c r="AI145">
        <v>8059</v>
      </c>
      <c r="AJ145">
        <v>308380</v>
      </c>
      <c r="AK145">
        <v>0</v>
      </c>
      <c r="AL145">
        <v>0</v>
      </c>
      <c r="AM145">
        <v>0</v>
      </c>
      <c r="AN145">
        <v>136338</v>
      </c>
      <c r="AP145">
        <v>0</v>
      </c>
      <c r="AQ145">
        <v>361153</v>
      </c>
      <c r="AR145">
        <v>49496</v>
      </c>
      <c r="AS145">
        <v>688</v>
      </c>
      <c r="AT145">
        <v>54028</v>
      </c>
      <c r="AU145">
        <v>482728</v>
      </c>
      <c r="AV145">
        <v>0</v>
      </c>
      <c r="AX145">
        <v>41499</v>
      </c>
      <c r="AY145">
        <v>9785</v>
      </c>
      <c r="AZ145">
        <v>0</v>
      </c>
      <c r="BA145">
        <v>0</v>
      </c>
      <c r="BB145">
        <v>9914</v>
      </c>
      <c r="BD145">
        <v>0</v>
      </c>
      <c r="BE145">
        <v>381639</v>
      </c>
      <c r="BF145">
        <v>1580</v>
      </c>
      <c r="BG145">
        <v>0</v>
      </c>
      <c r="BH145">
        <v>8147</v>
      </c>
      <c r="BI145">
        <v>21846</v>
      </c>
      <c r="BJ145">
        <v>18134</v>
      </c>
      <c r="BK145">
        <v>47228</v>
      </c>
      <c r="BL145">
        <v>37800</v>
      </c>
      <c r="BM145">
        <v>0</v>
      </c>
      <c r="BN145">
        <v>214561</v>
      </c>
      <c r="BO145">
        <v>15433</v>
      </c>
      <c r="BP145">
        <v>13560</v>
      </c>
      <c r="BQ145">
        <v>58560</v>
      </c>
      <c r="BR145">
        <v>0</v>
      </c>
      <c r="BS145">
        <v>0</v>
      </c>
      <c r="BT145">
        <v>62446</v>
      </c>
      <c r="BU145">
        <v>71750</v>
      </c>
      <c r="BV145">
        <v>15767</v>
      </c>
      <c r="BW145">
        <v>0</v>
      </c>
      <c r="BX145">
        <v>0</v>
      </c>
      <c r="BY145">
        <v>0</v>
      </c>
      <c r="BZ145">
        <v>152668</v>
      </c>
      <c r="CA145">
        <v>0</v>
      </c>
    </row>
    <row r="146" spans="1:79" x14ac:dyDescent="0.3">
      <c r="A146" s="155">
        <v>523</v>
      </c>
      <c r="B146" t="s">
        <v>270</v>
      </c>
      <c r="D146">
        <v>0</v>
      </c>
      <c r="E146">
        <v>0</v>
      </c>
      <c r="F146">
        <v>0</v>
      </c>
      <c r="G146">
        <v>92526711</v>
      </c>
      <c r="H146">
        <v>189376</v>
      </c>
      <c r="I146">
        <v>0</v>
      </c>
      <c r="J146">
        <v>0</v>
      </c>
      <c r="K146">
        <v>0</v>
      </c>
      <c r="L146">
        <v>10617996</v>
      </c>
      <c r="M146">
        <v>0</v>
      </c>
      <c r="N146">
        <v>0</v>
      </c>
      <c r="O146">
        <v>7283</v>
      </c>
      <c r="P146">
        <v>0</v>
      </c>
      <c r="Q146">
        <v>391971</v>
      </c>
      <c r="R146">
        <v>327701</v>
      </c>
      <c r="S146">
        <v>12931570</v>
      </c>
      <c r="U146">
        <v>15616450</v>
      </c>
      <c r="V146">
        <v>0</v>
      </c>
      <c r="W146">
        <v>0</v>
      </c>
      <c r="X146">
        <v>0</v>
      </c>
      <c r="Y146">
        <v>133667</v>
      </c>
      <c r="Z146">
        <v>0</v>
      </c>
      <c r="AA146">
        <v>0</v>
      </c>
      <c r="AB146">
        <v>0</v>
      </c>
      <c r="AC146">
        <v>0</v>
      </c>
      <c r="AD146">
        <v>0</v>
      </c>
      <c r="AE146">
        <v>128376</v>
      </c>
      <c r="AF146">
        <v>0</v>
      </c>
      <c r="AG146">
        <v>0</v>
      </c>
      <c r="AH146">
        <v>0</v>
      </c>
      <c r="AI146">
        <v>0</v>
      </c>
      <c r="AJ146">
        <v>0</v>
      </c>
      <c r="AK146">
        <v>73000</v>
      </c>
      <c r="AL146">
        <v>0</v>
      </c>
      <c r="AM146">
        <v>0</v>
      </c>
      <c r="AN146">
        <v>0</v>
      </c>
      <c r="AP146">
        <v>0</v>
      </c>
      <c r="AQ146">
        <v>323652</v>
      </c>
      <c r="AR146">
        <v>344070</v>
      </c>
      <c r="AS146">
        <v>11253</v>
      </c>
      <c r="AT146">
        <v>175904</v>
      </c>
      <c r="AU146">
        <v>7590571</v>
      </c>
      <c r="AV146">
        <v>74791</v>
      </c>
      <c r="AX146">
        <v>0</v>
      </c>
      <c r="AY146">
        <v>0</v>
      </c>
      <c r="AZ146">
        <v>208585</v>
      </c>
      <c r="BA146">
        <v>0</v>
      </c>
      <c r="BB146">
        <v>16683</v>
      </c>
      <c r="BD146">
        <v>0</v>
      </c>
      <c r="BE146">
        <v>9055611</v>
      </c>
      <c r="BF146">
        <v>0</v>
      </c>
      <c r="BG146">
        <v>0</v>
      </c>
      <c r="BH146">
        <v>0</v>
      </c>
      <c r="BI146">
        <v>0</v>
      </c>
      <c r="BJ146">
        <v>0</v>
      </c>
      <c r="BK146">
        <v>32113</v>
      </c>
      <c r="BL146">
        <v>0</v>
      </c>
      <c r="BM146">
        <v>0</v>
      </c>
      <c r="BN146">
        <v>5365454</v>
      </c>
      <c r="BO146">
        <v>208815</v>
      </c>
      <c r="BP146">
        <v>0</v>
      </c>
      <c r="BQ146">
        <v>246900</v>
      </c>
      <c r="BR146">
        <v>0</v>
      </c>
      <c r="BS146">
        <v>0</v>
      </c>
      <c r="BT146">
        <v>361557</v>
      </c>
      <c r="BU146">
        <v>0</v>
      </c>
      <c r="BV146">
        <v>0</v>
      </c>
      <c r="BW146">
        <v>0</v>
      </c>
      <c r="BX146">
        <v>0</v>
      </c>
      <c r="BY146">
        <v>0</v>
      </c>
      <c r="BZ146">
        <v>3851341</v>
      </c>
      <c r="CA146">
        <v>0</v>
      </c>
    </row>
    <row r="147" spans="1:79" x14ac:dyDescent="0.3">
      <c r="A147" s="155">
        <v>524</v>
      </c>
      <c r="B147" t="s">
        <v>271</v>
      </c>
      <c r="D147">
        <v>0</v>
      </c>
      <c r="E147">
        <v>0</v>
      </c>
      <c r="F147">
        <v>2238354</v>
      </c>
      <c r="G147">
        <v>86764222</v>
      </c>
      <c r="H147">
        <v>6867075</v>
      </c>
      <c r="I147">
        <v>1634428</v>
      </c>
      <c r="J147">
        <v>5722447</v>
      </c>
      <c r="K147">
        <v>2819404</v>
      </c>
      <c r="L147">
        <v>41605906</v>
      </c>
      <c r="M147">
        <v>0</v>
      </c>
      <c r="N147">
        <v>3509275</v>
      </c>
      <c r="O147">
        <v>3081622</v>
      </c>
      <c r="P147">
        <v>0</v>
      </c>
      <c r="Q147">
        <v>11002983</v>
      </c>
      <c r="R147">
        <v>16001329</v>
      </c>
      <c r="S147">
        <v>7514294</v>
      </c>
      <c r="U147">
        <v>37477357</v>
      </c>
      <c r="V147">
        <v>0</v>
      </c>
      <c r="W147">
        <v>0</v>
      </c>
      <c r="X147">
        <v>0</v>
      </c>
      <c r="Y147">
        <v>4389255</v>
      </c>
      <c r="Z147">
        <v>9100360</v>
      </c>
      <c r="AA147">
        <v>4263563</v>
      </c>
      <c r="AB147">
        <v>0</v>
      </c>
      <c r="AC147">
        <v>716350</v>
      </c>
      <c r="AD147">
        <v>6798176</v>
      </c>
      <c r="AE147">
        <v>9046258</v>
      </c>
      <c r="AF147">
        <v>699968</v>
      </c>
      <c r="AG147">
        <v>0</v>
      </c>
      <c r="AH147">
        <v>0</v>
      </c>
      <c r="AI147">
        <v>50796</v>
      </c>
      <c r="AJ147">
        <v>25607167</v>
      </c>
      <c r="AK147">
        <v>782829</v>
      </c>
      <c r="AL147">
        <v>0</v>
      </c>
      <c r="AM147">
        <v>0</v>
      </c>
      <c r="AN147">
        <v>29623015</v>
      </c>
      <c r="AP147">
        <v>0</v>
      </c>
      <c r="AQ147">
        <v>40141039</v>
      </c>
      <c r="AR147">
        <v>6129732</v>
      </c>
      <c r="AS147">
        <v>1717200</v>
      </c>
      <c r="AT147">
        <v>3393330</v>
      </c>
      <c r="AU147">
        <v>30952426</v>
      </c>
      <c r="AV147">
        <v>1234157</v>
      </c>
      <c r="AX147">
        <v>5120438</v>
      </c>
      <c r="AY147">
        <v>10376565</v>
      </c>
      <c r="AZ147">
        <v>14830871</v>
      </c>
      <c r="BA147">
        <v>20457</v>
      </c>
      <c r="BB147">
        <v>521938</v>
      </c>
      <c r="BD147">
        <v>0</v>
      </c>
      <c r="BE147">
        <v>31118887</v>
      </c>
      <c r="BF147">
        <v>2657460</v>
      </c>
      <c r="BG147">
        <v>0</v>
      </c>
      <c r="BH147">
        <v>7434500</v>
      </c>
      <c r="BI147">
        <v>3275608</v>
      </c>
      <c r="BJ147">
        <v>3965142</v>
      </c>
      <c r="BK147">
        <v>10315803</v>
      </c>
      <c r="BL147">
        <v>6457825</v>
      </c>
      <c r="BM147">
        <v>0</v>
      </c>
      <c r="BN147">
        <v>10368809</v>
      </c>
      <c r="BO147">
        <v>7491425</v>
      </c>
      <c r="BP147">
        <v>7699052</v>
      </c>
      <c r="BQ147">
        <v>2234837</v>
      </c>
      <c r="BR147">
        <v>0</v>
      </c>
      <c r="BS147">
        <v>0</v>
      </c>
      <c r="BT147">
        <v>1543169</v>
      </c>
      <c r="BU147">
        <v>10375352</v>
      </c>
      <c r="BV147">
        <v>2354879</v>
      </c>
      <c r="BW147">
        <v>511961</v>
      </c>
      <c r="BX147">
        <v>0</v>
      </c>
      <c r="BY147">
        <v>0</v>
      </c>
      <c r="BZ147">
        <v>17473108</v>
      </c>
      <c r="CA147">
        <v>0</v>
      </c>
    </row>
    <row r="148" spans="1:79" x14ac:dyDescent="0.3">
      <c r="A148" s="155">
        <v>525</v>
      </c>
      <c r="B148" t="s">
        <v>272</v>
      </c>
      <c r="D148">
        <v>0</v>
      </c>
      <c r="E148">
        <v>0</v>
      </c>
      <c r="F148">
        <v>0</v>
      </c>
      <c r="G148">
        <v>0</v>
      </c>
      <c r="H148">
        <v>0</v>
      </c>
      <c r="I148">
        <v>0</v>
      </c>
      <c r="J148">
        <v>0</v>
      </c>
      <c r="K148">
        <v>0</v>
      </c>
      <c r="L148">
        <v>0</v>
      </c>
      <c r="M148">
        <v>0</v>
      </c>
      <c r="N148">
        <v>0</v>
      </c>
      <c r="O148">
        <v>0</v>
      </c>
      <c r="P148">
        <v>0</v>
      </c>
      <c r="Q148">
        <v>0</v>
      </c>
      <c r="R148">
        <v>0</v>
      </c>
      <c r="S148">
        <v>0</v>
      </c>
      <c r="U148">
        <v>222371</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P148">
        <v>0</v>
      </c>
      <c r="AQ148">
        <v>0</v>
      </c>
      <c r="AR148">
        <v>51351</v>
      </c>
      <c r="AS148">
        <v>0</v>
      </c>
      <c r="AT148">
        <v>0</v>
      </c>
      <c r="AU148">
        <v>0</v>
      </c>
      <c r="AV148">
        <v>0</v>
      </c>
      <c r="AX148">
        <v>0</v>
      </c>
      <c r="AY148">
        <v>0</v>
      </c>
      <c r="AZ148">
        <v>0</v>
      </c>
      <c r="BA148">
        <v>0</v>
      </c>
      <c r="BB148">
        <v>4112103</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row>
    <row r="149" spans="1:79" x14ac:dyDescent="0.3">
      <c r="A149" s="155">
        <v>526</v>
      </c>
      <c r="B149" t="s">
        <v>273</v>
      </c>
      <c r="D149">
        <v>0</v>
      </c>
      <c r="E149">
        <v>0</v>
      </c>
      <c r="F149">
        <v>36941</v>
      </c>
      <c r="G149">
        <v>8891487</v>
      </c>
      <c r="H149">
        <v>4565147</v>
      </c>
      <c r="I149">
        <v>67595</v>
      </c>
      <c r="J149">
        <v>309386</v>
      </c>
      <c r="K149">
        <v>0</v>
      </c>
      <c r="L149">
        <v>3611911</v>
      </c>
      <c r="M149">
        <v>0</v>
      </c>
      <c r="N149">
        <v>392163</v>
      </c>
      <c r="O149">
        <v>1636594</v>
      </c>
      <c r="P149">
        <v>0</v>
      </c>
      <c r="Q149">
        <v>4714933</v>
      </c>
      <c r="R149">
        <v>1586890</v>
      </c>
      <c r="S149">
        <v>45218035</v>
      </c>
      <c r="U149">
        <v>5543326</v>
      </c>
      <c r="V149">
        <v>0</v>
      </c>
      <c r="W149">
        <v>0</v>
      </c>
      <c r="X149">
        <v>0</v>
      </c>
      <c r="Y149">
        <v>783693</v>
      </c>
      <c r="Z149">
        <v>989540</v>
      </c>
      <c r="AA149">
        <v>437543</v>
      </c>
      <c r="AB149">
        <v>0</v>
      </c>
      <c r="AC149">
        <v>47485</v>
      </c>
      <c r="AD149">
        <v>364245</v>
      </c>
      <c r="AE149">
        <v>935087</v>
      </c>
      <c r="AF149">
        <v>11089</v>
      </c>
      <c r="AG149">
        <v>0</v>
      </c>
      <c r="AH149">
        <v>0</v>
      </c>
      <c r="AI149">
        <v>38613</v>
      </c>
      <c r="AJ149">
        <v>3824871</v>
      </c>
      <c r="AK149">
        <v>100717</v>
      </c>
      <c r="AL149">
        <v>0</v>
      </c>
      <c r="AM149">
        <v>0</v>
      </c>
      <c r="AN149">
        <v>4251557</v>
      </c>
      <c r="AP149">
        <v>0</v>
      </c>
      <c r="AQ149">
        <v>2966926</v>
      </c>
      <c r="AR149">
        <v>571554</v>
      </c>
      <c r="AS149">
        <v>81354</v>
      </c>
      <c r="AT149">
        <v>687933</v>
      </c>
      <c r="AU149">
        <v>8246755</v>
      </c>
      <c r="AV149">
        <v>20572</v>
      </c>
      <c r="AX149">
        <v>123709</v>
      </c>
      <c r="AY149">
        <v>478391</v>
      </c>
      <c r="AZ149">
        <v>0</v>
      </c>
      <c r="BA149">
        <v>0</v>
      </c>
      <c r="BB149">
        <v>511258</v>
      </c>
      <c r="BD149">
        <v>0</v>
      </c>
      <c r="BE149">
        <v>14728137</v>
      </c>
      <c r="BF149">
        <v>197771</v>
      </c>
      <c r="BG149">
        <v>0</v>
      </c>
      <c r="BH149">
        <v>1001046</v>
      </c>
      <c r="BI149">
        <v>201259</v>
      </c>
      <c r="BJ149">
        <v>314872</v>
      </c>
      <c r="BK149">
        <v>1710964</v>
      </c>
      <c r="BL149">
        <v>435489</v>
      </c>
      <c r="BM149">
        <v>0</v>
      </c>
      <c r="BN149">
        <v>3415844</v>
      </c>
      <c r="BO149">
        <v>417598</v>
      </c>
      <c r="BP149">
        <v>53953</v>
      </c>
      <c r="BQ149">
        <v>669200</v>
      </c>
      <c r="BR149">
        <v>0</v>
      </c>
      <c r="BS149">
        <v>0</v>
      </c>
      <c r="BT149">
        <v>2253942</v>
      </c>
      <c r="BU149">
        <v>897247</v>
      </c>
      <c r="BV149">
        <v>333940</v>
      </c>
      <c r="BW149">
        <v>0</v>
      </c>
      <c r="BX149">
        <v>0</v>
      </c>
      <c r="BY149">
        <v>0</v>
      </c>
      <c r="BZ149">
        <v>1385655</v>
      </c>
      <c r="CA149">
        <v>0</v>
      </c>
    </row>
    <row r="150" spans="1:79" x14ac:dyDescent="0.3">
      <c r="A150" s="155">
        <v>527</v>
      </c>
      <c r="B150" t="s">
        <v>274</v>
      </c>
      <c r="D150">
        <v>0</v>
      </c>
      <c r="E150">
        <v>0</v>
      </c>
      <c r="F150">
        <v>0</v>
      </c>
      <c r="G150">
        <v>0</v>
      </c>
      <c r="H150">
        <v>0</v>
      </c>
      <c r="I150">
        <v>0</v>
      </c>
      <c r="J150">
        <v>0</v>
      </c>
      <c r="K150">
        <v>0</v>
      </c>
      <c r="L150">
        <v>0</v>
      </c>
      <c r="M150">
        <v>0</v>
      </c>
      <c r="N150">
        <v>0</v>
      </c>
      <c r="O150">
        <v>0</v>
      </c>
      <c r="P150">
        <v>0</v>
      </c>
      <c r="Q150">
        <v>0</v>
      </c>
      <c r="R150">
        <v>0</v>
      </c>
      <c r="S150">
        <v>39890</v>
      </c>
      <c r="U150">
        <v>15130856</v>
      </c>
      <c r="V150">
        <v>0</v>
      </c>
      <c r="W150">
        <v>0</v>
      </c>
      <c r="X150">
        <v>0</v>
      </c>
      <c r="Y150">
        <v>0</v>
      </c>
      <c r="Z150">
        <v>793338</v>
      </c>
      <c r="AA150">
        <v>57889</v>
      </c>
      <c r="AB150">
        <v>0</v>
      </c>
      <c r="AC150">
        <v>0</v>
      </c>
      <c r="AD150">
        <v>0</v>
      </c>
      <c r="AE150">
        <v>294748</v>
      </c>
      <c r="AF150">
        <v>0</v>
      </c>
      <c r="AG150">
        <v>0</v>
      </c>
      <c r="AH150">
        <v>0</v>
      </c>
      <c r="AI150">
        <v>0</v>
      </c>
      <c r="AJ150">
        <v>4431075</v>
      </c>
      <c r="AK150">
        <v>0</v>
      </c>
      <c r="AL150">
        <v>0</v>
      </c>
      <c r="AM150">
        <v>0</v>
      </c>
      <c r="AN150">
        <v>0</v>
      </c>
      <c r="AP150">
        <v>0</v>
      </c>
      <c r="AQ150">
        <v>936735</v>
      </c>
      <c r="AR150">
        <v>0</v>
      </c>
      <c r="AS150">
        <v>0</v>
      </c>
      <c r="AT150">
        <v>0</v>
      </c>
      <c r="AU150">
        <v>172796</v>
      </c>
      <c r="AV150">
        <v>0</v>
      </c>
      <c r="AX150">
        <v>0</v>
      </c>
      <c r="AY150">
        <v>0</v>
      </c>
      <c r="AZ150">
        <v>889810</v>
      </c>
      <c r="BA150">
        <v>0</v>
      </c>
      <c r="BB150">
        <v>0</v>
      </c>
      <c r="BD150">
        <v>0</v>
      </c>
      <c r="BE150">
        <v>981765</v>
      </c>
      <c r="BF150">
        <v>0</v>
      </c>
      <c r="BG150">
        <v>0</v>
      </c>
      <c r="BH150">
        <v>0</v>
      </c>
      <c r="BI150">
        <v>0</v>
      </c>
      <c r="BJ150">
        <v>0</v>
      </c>
      <c r="BK150">
        <v>19800</v>
      </c>
      <c r="BL150">
        <v>0</v>
      </c>
      <c r="BM150">
        <v>0</v>
      </c>
      <c r="BN150">
        <v>0</v>
      </c>
      <c r="BO150">
        <v>0</v>
      </c>
      <c r="BP150">
        <v>0</v>
      </c>
      <c r="BQ150">
        <v>0</v>
      </c>
      <c r="BR150">
        <v>0</v>
      </c>
      <c r="BS150">
        <v>0</v>
      </c>
      <c r="BT150">
        <v>0</v>
      </c>
      <c r="BU150">
        <v>0</v>
      </c>
      <c r="BV150">
        <v>0</v>
      </c>
      <c r="BW150">
        <v>0</v>
      </c>
      <c r="BX150">
        <v>0</v>
      </c>
      <c r="BY150">
        <v>0</v>
      </c>
      <c r="BZ150">
        <v>0</v>
      </c>
      <c r="CA150">
        <v>0</v>
      </c>
    </row>
    <row r="151" spans="1:79" x14ac:dyDescent="0.3">
      <c r="A151" s="155">
        <v>528</v>
      </c>
      <c r="B151" t="s">
        <v>257</v>
      </c>
      <c r="D151">
        <v>1349729</v>
      </c>
      <c r="E151">
        <v>6868217</v>
      </c>
      <c r="F151">
        <v>147550</v>
      </c>
      <c r="G151">
        <v>21665073</v>
      </c>
      <c r="H151">
        <v>2212237</v>
      </c>
      <c r="I151">
        <v>116702</v>
      </c>
      <c r="J151">
        <v>591892</v>
      </c>
      <c r="K151">
        <v>836644</v>
      </c>
      <c r="L151">
        <v>29899316</v>
      </c>
      <c r="M151">
        <v>26169</v>
      </c>
      <c r="N151">
        <v>297256</v>
      </c>
      <c r="O151">
        <v>943810</v>
      </c>
      <c r="P151">
        <v>17428874</v>
      </c>
      <c r="Q151">
        <v>9143443</v>
      </c>
      <c r="R151">
        <v>2474901</v>
      </c>
      <c r="S151">
        <v>7478177</v>
      </c>
      <c r="U151">
        <v>9091107</v>
      </c>
      <c r="V151">
        <v>7337</v>
      </c>
      <c r="W151">
        <v>4276200</v>
      </c>
      <c r="X151">
        <v>9407448</v>
      </c>
      <c r="Y151">
        <v>3044990</v>
      </c>
      <c r="Z151">
        <v>600053</v>
      </c>
      <c r="AA151">
        <v>3435530</v>
      </c>
      <c r="AB151">
        <v>609915</v>
      </c>
      <c r="AC151">
        <v>220527</v>
      </c>
      <c r="AD151">
        <v>505999</v>
      </c>
      <c r="AE151">
        <v>1515165</v>
      </c>
      <c r="AF151">
        <v>32304</v>
      </c>
      <c r="AG151">
        <v>8133</v>
      </c>
      <c r="AH151">
        <v>33202</v>
      </c>
      <c r="AI151">
        <v>1799657</v>
      </c>
      <c r="AJ151">
        <v>2934508</v>
      </c>
      <c r="AK151">
        <v>65028</v>
      </c>
      <c r="AL151">
        <v>9975</v>
      </c>
      <c r="AM151">
        <v>6527966</v>
      </c>
      <c r="AN151">
        <v>8478499</v>
      </c>
      <c r="AP151">
        <v>2247385</v>
      </c>
      <c r="AQ151">
        <v>9771697</v>
      </c>
      <c r="AR151">
        <v>1133842</v>
      </c>
      <c r="AS151">
        <v>76583</v>
      </c>
      <c r="AT151">
        <v>1730863</v>
      </c>
      <c r="AU151">
        <v>5065989</v>
      </c>
      <c r="AV151">
        <v>26303</v>
      </c>
      <c r="AX151">
        <v>1674998</v>
      </c>
      <c r="AY151">
        <v>1552766</v>
      </c>
      <c r="AZ151">
        <v>1234095</v>
      </c>
      <c r="BA151">
        <v>24592</v>
      </c>
      <c r="BB151">
        <v>1372009</v>
      </c>
      <c r="BD151">
        <v>0</v>
      </c>
      <c r="BE151">
        <v>9433066</v>
      </c>
      <c r="BF151">
        <v>58602</v>
      </c>
      <c r="BG151">
        <v>13562</v>
      </c>
      <c r="BH151">
        <v>1606187</v>
      </c>
      <c r="BI151">
        <v>1697013</v>
      </c>
      <c r="BJ151">
        <v>161794</v>
      </c>
      <c r="BK151">
        <v>6607398</v>
      </c>
      <c r="BL151">
        <v>2279873</v>
      </c>
      <c r="BM151">
        <v>0</v>
      </c>
      <c r="BN151">
        <v>2762615</v>
      </c>
      <c r="BO151">
        <v>680825</v>
      </c>
      <c r="BP151">
        <v>561553</v>
      </c>
      <c r="BQ151">
        <v>962833</v>
      </c>
      <c r="BR151">
        <v>691837</v>
      </c>
      <c r="BS151">
        <v>13169299</v>
      </c>
      <c r="BT151">
        <v>669859</v>
      </c>
      <c r="BU151">
        <v>1483194</v>
      </c>
      <c r="BV151">
        <v>227688</v>
      </c>
      <c r="BW151">
        <v>450726</v>
      </c>
      <c r="BX151">
        <v>1794</v>
      </c>
      <c r="BY151">
        <v>9347</v>
      </c>
      <c r="BZ151">
        <v>10432540</v>
      </c>
      <c r="CA151">
        <v>24248</v>
      </c>
    </row>
    <row r="152" spans="1:79" x14ac:dyDescent="0.3">
      <c r="A152" s="155">
        <v>529</v>
      </c>
      <c r="B152" t="s">
        <v>258</v>
      </c>
      <c r="D152">
        <v>26356</v>
      </c>
      <c r="E152">
        <v>961630</v>
      </c>
      <c r="F152">
        <v>20000</v>
      </c>
      <c r="G152">
        <v>2422892</v>
      </c>
      <c r="H152">
        <v>231629</v>
      </c>
      <c r="I152">
        <v>26966</v>
      </c>
      <c r="J152">
        <v>54353</v>
      </c>
      <c r="K152">
        <v>142462</v>
      </c>
      <c r="L152">
        <v>2880177</v>
      </c>
      <c r="M152">
        <v>4806</v>
      </c>
      <c r="N152">
        <v>38409</v>
      </c>
      <c r="O152">
        <v>67299</v>
      </c>
      <c r="P152">
        <v>1836867</v>
      </c>
      <c r="Q152">
        <v>374602</v>
      </c>
      <c r="R152">
        <v>317183</v>
      </c>
      <c r="S152">
        <v>401232</v>
      </c>
      <c r="U152">
        <v>1111678</v>
      </c>
      <c r="V152">
        <v>1458</v>
      </c>
      <c r="W152">
        <v>203736</v>
      </c>
      <c r="X152">
        <v>841217</v>
      </c>
      <c r="Y152">
        <v>118585</v>
      </c>
      <c r="Z152">
        <v>100948</v>
      </c>
      <c r="AA152">
        <v>74951</v>
      </c>
      <c r="AB152">
        <v>94716</v>
      </c>
      <c r="AC152">
        <v>928</v>
      </c>
      <c r="AD152">
        <v>32403</v>
      </c>
      <c r="AE152">
        <v>207474</v>
      </c>
      <c r="AF152">
        <v>3084</v>
      </c>
      <c r="AG152">
        <v>1974</v>
      </c>
      <c r="AH152">
        <v>5527</v>
      </c>
      <c r="AI152">
        <v>122285</v>
      </c>
      <c r="AJ152">
        <v>414579</v>
      </c>
      <c r="AK152">
        <v>14930</v>
      </c>
      <c r="AL152">
        <v>1910</v>
      </c>
      <c r="AM152">
        <v>675580</v>
      </c>
      <c r="AN152">
        <v>774368</v>
      </c>
      <c r="AP152">
        <v>300924</v>
      </c>
      <c r="AQ152">
        <v>904472</v>
      </c>
      <c r="AR152">
        <v>143449</v>
      </c>
      <c r="AS152">
        <v>15421</v>
      </c>
      <c r="AT152">
        <v>309978</v>
      </c>
      <c r="AU152">
        <v>556794</v>
      </c>
      <c r="AV152">
        <v>4203</v>
      </c>
      <c r="AX152">
        <v>187375</v>
      </c>
      <c r="AY152">
        <v>198784</v>
      </c>
      <c r="AZ152">
        <v>78845</v>
      </c>
      <c r="BA152">
        <v>4143</v>
      </c>
      <c r="BB152">
        <v>152933</v>
      </c>
      <c r="BD152">
        <v>0</v>
      </c>
      <c r="BE152">
        <v>1089567</v>
      </c>
      <c r="BF152">
        <v>13197</v>
      </c>
      <c r="BG152">
        <v>2079</v>
      </c>
      <c r="BH152">
        <v>129192</v>
      </c>
      <c r="BI152">
        <v>107941</v>
      </c>
      <c r="BJ152">
        <v>38116</v>
      </c>
      <c r="BK152">
        <v>136979</v>
      </c>
      <c r="BL152">
        <v>87481</v>
      </c>
      <c r="BM152">
        <v>0</v>
      </c>
      <c r="BN152">
        <v>243615</v>
      </c>
      <c r="BO152">
        <v>58966</v>
      </c>
      <c r="BP152">
        <v>27528</v>
      </c>
      <c r="BQ152">
        <v>95350</v>
      </c>
      <c r="BR152">
        <v>66949</v>
      </c>
      <c r="BS152">
        <v>1539627</v>
      </c>
      <c r="BT152">
        <v>117680</v>
      </c>
      <c r="BU152">
        <v>103087</v>
      </c>
      <c r="BV152">
        <v>31688</v>
      </c>
      <c r="BW152">
        <v>33250</v>
      </c>
      <c r="BX152">
        <v>238</v>
      </c>
      <c r="BY152">
        <v>1543</v>
      </c>
      <c r="BZ152">
        <v>841135</v>
      </c>
      <c r="CA152">
        <v>7040</v>
      </c>
    </row>
    <row r="153" spans="1:79" x14ac:dyDescent="0.3">
      <c r="A153" s="155">
        <v>530</v>
      </c>
      <c r="B153" t="s">
        <v>259</v>
      </c>
      <c r="D153">
        <v>409</v>
      </c>
      <c r="E153">
        <v>16583</v>
      </c>
      <c r="F153">
        <v>12120</v>
      </c>
      <c r="G153">
        <v>325504</v>
      </c>
      <c r="H153">
        <v>4005</v>
      </c>
      <c r="I153">
        <v>13967</v>
      </c>
      <c r="J153">
        <v>42861</v>
      </c>
      <c r="K153">
        <v>54941</v>
      </c>
      <c r="L153">
        <v>477018</v>
      </c>
      <c r="M153">
        <v>1559</v>
      </c>
      <c r="N153">
        <v>38837</v>
      </c>
      <c r="O153">
        <v>5358</v>
      </c>
      <c r="P153">
        <v>131237</v>
      </c>
      <c r="Q153">
        <v>25954</v>
      </c>
      <c r="R153">
        <v>25582</v>
      </c>
      <c r="S153">
        <v>42731</v>
      </c>
      <c r="U153">
        <v>212878</v>
      </c>
      <c r="V153">
        <v>391</v>
      </c>
      <c r="W153">
        <v>13773</v>
      </c>
      <c r="X153">
        <v>29980</v>
      </c>
      <c r="Y153">
        <v>8482</v>
      </c>
      <c r="Z153">
        <v>29141</v>
      </c>
      <c r="AA153">
        <v>30457</v>
      </c>
      <c r="AB153">
        <v>210</v>
      </c>
      <c r="AC153">
        <v>2390</v>
      </c>
      <c r="AD153">
        <v>5339</v>
      </c>
      <c r="AE153">
        <v>44516</v>
      </c>
      <c r="AF153">
        <v>5296</v>
      </c>
      <c r="AG153">
        <v>313</v>
      </c>
      <c r="AH153">
        <v>446</v>
      </c>
      <c r="AI153">
        <v>2907</v>
      </c>
      <c r="AJ153">
        <v>153004</v>
      </c>
      <c r="AK153">
        <v>2484</v>
      </c>
      <c r="AL153">
        <v>45</v>
      </c>
      <c r="AM153">
        <v>33616</v>
      </c>
      <c r="AN153">
        <v>276985</v>
      </c>
      <c r="AP153">
        <v>5718</v>
      </c>
      <c r="AQ153">
        <v>254074</v>
      </c>
      <c r="AR153">
        <v>8826</v>
      </c>
      <c r="AS153">
        <v>6598</v>
      </c>
      <c r="AT153">
        <v>9416</v>
      </c>
      <c r="AU153">
        <v>50338</v>
      </c>
      <c r="AV153">
        <v>745</v>
      </c>
      <c r="AX153">
        <v>18995</v>
      </c>
      <c r="AY153">
        <v>43199</v>
      </c>
      <c r="AZ153">
        <v>17947</v>
      </c>
      <c r="BA153">
        <v>2106</v>
      </c>
      <c r="BB153">
        <v>12025</v>
      </c>
      <c r="BD153">
        <v>0</v>
      </c>
      <c r="BE153">
        <v>669538</v>
      </c>
      <c r="BF153">
        <v>5276</v>
      </c>
      <c r="BG153">
        <v>818</v>
      </c>
      <c r="BH153">
        <v>22121</v>
      </c>
      <c r="BI153">
        <v>33900</v>
      </c>
      <c r="BJ153">
        <v>16456</v>
      </c>
      <c r="BK153">
        <v>11327</v>
      </c>
      <c r="BL153">
        <v>8156</v>
      </c>
      <c r="BM153">
        <v>0</v>
      </c>
      <c r="BN153">
        <v>18172</v>
      </c>
      <c r="BO153">
        <v>31256</v>
      </c>
      <c r="BP153">
        <v>10741</v>
      </c>
      <c r="BQ153">
        <v>6319</v>
      </c>
      <c r="BR153">
        <v>3127</v>
      </c>
      <c r="BS153">
        <v>88898</v>
      </c>
      <c r="BT153">
        <v>89789</v>
      </c>
      <c r="BU153">
        <v>11210</v>
      </c>
      <c r="BV153">
        <v>13078</v>
      </c>
      <c r="BW153">
        <v>1277</v>
      </c>
      <c r="BX153">
        <v>65</v>
      </c>
      <c r="BY153">
        <v>1269</v>
      </c>
      <c r="BZ153">
        <v>33158</v>
      </c>
      <c r="CA153">
        <v>2167</v>
      </c>
    </row>
    <row r="154" spans="1:79" x14ac:dyDescent="0.3">
      <c r="A154" s="155">
        <v>531</v>
      </c>
      <c r="B154" t="s">
        <v>260</v>
      </c>
      <c r="D154">
        <v>0</v>
      </c>
      <c r="E154">
        <v>0</v>
      </c>
      <c r="F154">
        <v>0</v>
      </c>
      <c r="G154">
        <v>0</v>
      </c>
      <c r="H154">
        <v>0</v>
      </c>
      <c r="I154">
        <v>511</v>
      </c>
      <c r="J154">
        <v>0</v>
      </c>
      <c r="K154">
        <v>0</v>
      </c>
      <c r="L154">
        <v>0</v>
      </c>
      <c r="M154">
        <v>0</v>
      </c>
      <c r="N154">
        <v>0</v>
      </c>
      <c r="O154">
        <v>0</v>
      </c>
      <c r="P154">
        <v>0</v>
      </c>
      <c r="Q154">
        <v>0</v>
      </c>
      <c r="R154">
        <v>0</v>
      </c>
      <c r="S154">
        <v>0</v>
      </c>
      <c r="U154">
        <v>0</v>
      </c>
      <c r="V154">
        <v>0</v>
      </c>
      <c r="W154">
        <v>0</v>
      </c>
      <c r="X154">
        <v>7013</v>
      </c>
      <c r="Y154">
        <v>0</v>
      </c>
      <c r="Z154">
        <v>0</v>
      </c>
      <c r="AA154">
        <v>0</v>
      </c>
      <c r="AB154">
        <v>0</v>
      </c>
      <c r="AC154">
        <v>0</v>
      </c>
      <c r="AD154">
        <v>0</v>
      </c>
      <c r="AE154">
        <v>0</v>
      </c>
      <c r="AF154">
        <v>0</v>
      </c>
      <c r="AG154">
        <v>0</v>
      </c>
      <c r="AH154">
        <v>0</v>
      </c>
      <c r="AI154">
        <v>0</v>
      </c>
      <c r="AJ154">
        <v>0</v>
      </c>
      <c r="AK154">
        <v>0</v>
      </c>
      <c r="AL154">
        <v>0</v>
      </c>
      <c r="AM154">
        <v>0</v>
      </c>
      <c r="AN154">
        <v>0</v>
      </c>
      <c r="AP154">
        <v>0</v>
      </c>
      <c r="AQ154">
        <v>0</v>
      </c>
      <c r="AR154">
        <v>0</v>
      </c>
      <c r="AS154">
        <v>0</v>
      </c>
      <c r="AT154">
        <v>0</v>
      </c>
      <c r="AU154">
        <v>0</v>
      </c>
      <c r="AV154">
        <v>5</v>
      </c>
      <c r="AX154">
        <v>0</v>
      </c>
      <c r="AY154">
        <v>0</v>
      </c>
      <c r="AZ154">
        <v>0</v>
      </c>
      <c r="BA154">
        <v>0</v>
      </c>
      <c r="BB154">
        <v>0</v>
      </c>
      <c r="BD154">
        <v>0</v>
      </c>
      <c r="BE154">
        <v>0</v>
      </c>
      <c r="BF154">
        <v>0</v>
      </c>
      <c r="BG154">
        <v>0</v>
      </c>
      <c r="BH154">
        <v>0</v>
      </c>
      <c r="BI154">
        <v>1227</v>
      </c>
      <c r="BJ154">
        <v>0</v>
      </c>
      <c r="BK154">
        <v>0</v>
      </c>
      <c r="BL154">
        <v>0</v>
      </c>
      <c r="BM154">
        <v>0</v>
      </c>
      <c r="BN154">
        <v>0</v>
      </c>
      <c r="BO154">
        <v>0</v>
      </c>
      <c r="BP154">
        <v>0</v>
      </c>
      <c r="BQ154">
        <v>0</v>
      </c>
      <c r="BR154">
        <v>0</v>
      </c>
      <c r="BS154">
        <v>0</v>
      </c>
      <c r="BT154">
        <v>3797</v>
      </c>
      <c r="BU154">
        <v>0</v>
      </c>
      <c r="BV154">
        <v>0</v>
      </c>
      <c r="BW154">
        <v>0</v>
      </c>
      <c r="BX154">
        <v>0</v>
      </c>
      <c r="BY154">
        <v>0</v>
      </c>
      <c r="BZ154">
        <v>7435</v>
      </c>
      <c r="CA154">
        <v>0</v>
      </c>
    </row>
    <row r="155" spans="1:79" x14ac:dyDescent="0.3">
      <c r="A155" s="155">
        <v>532</v>
      </c>
      <c r="B155" t="s">
        <v>927</v>
      </c>
      <c r="D155">
        <v>3311146</v>
      </c>
      <c r="E155">
        <v>11368064</v>
      </c>
      <c r="F155">
        <v>359447</v>
      </c>
      <c r="G155">
        <v>41617637</v>
      </c>
      <c r="H155">
        <v>4948384</v>
      </c>
      <c r="I155">
        <v>270150</v>
      </c>
      <c r="J155">
        <v>1303178</v>
      </c>
      <c r="K155">
        <v>1957540</v>
      </c>
      <c r="L155">
        <v>40051545</v>
      </c>
      <c r="M155">
        <v>82771</v>
      </c>
      <c r="N155">
        <v>831445</v>
      </c>
      <c r="O155">
        <v>1480093</v>
      </c>
      <c r="P155">
        <v>34171113</v>
      </c>
      <c r="Q155">
        <v>20293421</v>
      </c>
      <c r="R155">
        <v>7944277</v>
      </c>
      <c r="S155">
        <v>17188786</v>
      </c>
      <c r="U155">
        <v>21555111</v>
      </c>
      <c r="V155">
        <v>29184</v>
      </c>
      <c r="W155">
        <v>9862217</v>
      </c>
      <c r="X155">
        <v>17812349</v>
      </c>
      <c r="Y155">
        <v>5792324</v>
      </c>
      <c r="Z155">
        <v>1750161</v>
      </c>
      <c r="AA155">
        <v>5642852</v>
      </c>
      <c r="AB155">
        <v>1321566</v>
      </c>
      <c r="AC155">
        <v>389912</v>
      </c>
      <c r="AD155">
        <v>1166914</v>
      </c>
      <c r="AE155">
        <v>3859070</v>
      </c>
      <c r="AF155">
        <v>122794</v>
      </c>
      <c r="AG155">
        <v>43000</v>
      </c>
      <c r="AH155">
        <v>117135</v>
      </c>
      <c r="AI155">
        <v>2583722</v>
      </c>
      <c r="AJ155">
        <v>7410841</v>
      </c>
      <c r="AK155">
        <v>225083</v>
      </c>
      <c r="AL155">
        <v>24268</v>
      </c>
      <c r="AM155">
        <v>19449565</v>
      </c>
      <c r="AN155">
        <v>17849980</v>
      </c>
      <c r="AP155">
        <v>4337403</v>
      </c>
      <c r="AQ155">
        <v>22963618</v>
      </c>
      <c r="AR155">
        <v>2977458</v>
      </c>
      <c r="AS155">
        <v>739972</v>
      </c>
      <c r="AT155">
        <v>4574759</v>
      </c>
      <c r="AU155">
        <v>14194758</v>
      </c>
      <c r="AV155">
        <v>129719</v>
      </c>
      <c r="AX155">
        <v>3549037</v>
      </c>
      <c r="AY155">
        <v>4120487</v>
      </c>
      <c r="AZ155">
        <v>4272503</v>
      </c>
      <c r="BA155">
        <v>55229</v>
      </c>
      <c r="BB155">
        <v>2430436</v>
      </c>
      <c r="BD155">
        <v>72957</v>
      </c>
      <c r="BE155">
        <v>27640746</v>
      </c>
      <c r="BF155">
        <v>207430</v>
      </c>
      <c r="BG155">
        <v>51967</v>
      </c>
      <c r="BH155">
        <v>2812543</v>
      </c>
      <c r="BI155">
        <v>2684796</v>
      </c>
      <c r="BJ155">
        <v>649606</v>
      </c>
      <c r="BK155">
        <v>9426613</v>
      </c>
      <c r="BL155">
        <v>4639312</v>
      </c>
      <c r="BM155">
        <v>36442</v>
      </c>
      <c r="BN155">
        <v>7780618</v>
      </c>
      <c r="BO155">
        <v>1764238</v>
      </c>
      <c r="BP155">
        <v>1331289</v>
      </c>
      <c r="BQ155">
        <v>2738714</v>
      </c>
      <c r="BR155">
        <v>1367261</v>
      </c>
      <c r="BS155">
        <v>23339975</v>
      </c>
      <c r="BT155">
        <v>2140686</v>
      </c>
      <c r="BU155">
        <v>2736879</v>
      </c>
      <c r="BV155">
        <v>1157270</v>
      </c>
      <c r="BW155">
        <v>755051</v>
      </c>
      <c r="BX155">
        <v>31175</v>
      </c>
      <c r="BY155">
        <v>52367</v>
      </c>
      <c r="BZ155">
        <v>19263615</v>
      </c>
      <c r="CA155">
        <v>84272</v>
      </c>
    </row>
    <row r="156" spans="1:79" x14ac:dyDescent="0.3">
      <c r="A156" s="155">
        <v>533</v>
      </c>
      <c r="B156" t="s">
        <v>928</v>
      </c>
      <c r="D156">
        <v>963191</v>
      </c>
      <c r="E156">
        <v>0</v>
      </c>
      <c r="F156">
        <v>0</v>
      </c>
      <c r="G156">
        <v>1918750</v>
      </c>
      <c r="H156">
        <v>0</v>
      </c>
      <c r="I156">
        <v>0</v>
      </c>
      <c r="J156">
        <v>0</v>
      </c>
      <c r="K156">
        <v>0</v>
      </c>
      <c r="L156">
        <v>0</v>
      </c>
      <c r="M156">
        <v>0</v>
      </c>
      <c r="N156">
        <v>0</v>
      </c>
      <c r="O156">
        <v>0</v>
      </c>
      <c r="P156">
        <v>481858</v>
      </c>
      <c r="Q156">
        <v>505613</v>
      </c>
      <c r="R156">
        <v>906885</v>
      </c>
      <c r="S156">
        <v>1346052</v>
      </c>
      <c r="U156">
        <v>0</v>
      </c>
      <c r="V156">
        <v>0</v>
      </c>
      <c r="W156">
        <v>0</v>
      </c>
      <c r="X156">
        <v>0</v>
      </c>
      <c r="Y156">
        <v>25262</v>
      </c>
      <c r="Z156">
        <v>229290</v>
      </c>
      <c r="AA156">
        <v>148383</v>
      </c>
      <c r="AB156">
        <v>0</v>
      </c>
      <c r="AC156">
        <v>0</v>
      </c>
      <c r="AD156">
        <v>0</v>
      </c>
      <c r="AE156">
        <v>0</v>
      </c>
      <c r="AF156">
        <v>0</v>
      </c>
      <c r="AG156">
        <v>0</v>
      </c>
      <c r="AH156">
        <v>0</v>
      </c>
      <c r="AI156">
        <v>176870</v>
      </c>
      <c r="AJ156">
        <v>0</v>
      </c>
      <c r="AK156">
        <v>0</v>
      </c>
      <c r="AL156">
        <v>0</v>
      </c>
      <c r="AM156">
        <v>700000</v>
      </c>
      <c r="AN156">
        <v>0</v>
      </c>
      <c r="AP156">
        <v>0</v>
      </c>
      <c r="AQ156">
        <v>1277487</v>
      </c>
      <c r="AR156">
        <v>0</v>
      </c>
      <c r="AS156">
        <v>151100</v>
      </c>
      <c r="AT156">
        <v>0</v>
      </c>
      <c r="AU156">
        <v>819539</v>
      </c>
      <c r="AV156">
        <v>0</v>
      </c>
      <c r="AX156">
        <v>0</v>
      </c>
      <c r="AY156">
        <v>0</v>
      </c>
      <c r="AZ156">
        <v>93218</v>
      </c>
      <c r="BA156">
        <v>0</v>
      </c>
      <c r="BB156">
        <v>0</v>
      </c>
      <c r="BD156">
        <v>0</v>
      </c>
      <c r="BE156">
        <v>735000</v>
      </c>
      <c r="BF156">
        <v>0</v>
      </c>
      <c r="BG156">
        <v>0</v>
      </c>
      <c r="BH156">
        <v>0</v>
      </c>
      <c r="BI156">
        <v>0</v>
      </c>
      <c r="BJ156">
        <v>0</v>
      </c>
      <c r="BK156">
        <v>146847</v>
      </c>
      <c r="BL156">
        <v>0</v>
      </c>
      <c r="BM156">
        <v>0</v>
      </c>
      <c r="BN156">
        <v>345900</v>
      </c>
      <c r="BO156">
        <v>0</v>
      </c>
      <c r="BP156">
        <v>0</v>
      </c>
      <c r="BQ156">
        <v>0</v>
      </c>
      <c r="BR156">
        <v>0</v>
      </c>
      <c r="BS156">
        <v>832042</v>
      </c>
      <c r="BT156">
        <v>0</v>
      </c>
      <c r="BU156">
        <v>0</v>
      </c>
      <c r="BV156">
        <v>0</v>
      </c>
      <c r="BW156">
        <v>0</v>
      </c>
      <c r="BX156">
        <v>0</v>
      </c>
      <c r="BY156">
        <v>0</v>
      </c>
      <c r="BZ156">
        <v>430500</v>
      </c>
      <c r="CA156">
        <v>0</v>
      </c>
    </row>
    <row r="157" spans="1:79" x14ac:dyDescent="0.3">
      <c r="A157" s="155">
        <v>534</v>
      </c>
      <c r="B157" t="s">
        <v>929</v>
      </c>
      <c r="D157">
        <v>0</v>
      </c>
      <c r="E157">
        <v>0</v>
      </c>
      <c r="F157">
        <v>0</v>
      </c>
      <c r="G157">
        <v>0</v>
      </c>
      <c r="H157">
        <v>0</v>
      </c>
      <c r="I157">
        <v>0</v>
      </c>
      <c r="J157">
        <v>0</v>
      </c>
      <c r="K157">
        <v>0</v>
      </c>
      <c r="L157">
        <v>0</v>
      </c>
      <c r="M157">
        <v>0</v>
      </c>
      <c r="N157">
        <v>0</v>
      </c>
      <c r="O157">
        <v>0</v>
      </c>
      <c r="P157">
        <v>0</v>
      </c>
      <c r="Q157">
        <v>0</v>
      </c>
      <c r="R157">
        <v>0</v>
      </c>
      <c r="S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P157">
        <v>0</v>
      </c>
      <c r="AQ157">
        <v>0</v>
      </c>
      <c r="AR157">
        <v>0</v>
      </c>
      <c r="AS157">
        <v>0</v>
      </c>
      <c r="AT157">
        <v>0</v>
      </c>
      <c r="AU157">
        <v>0</v>
      </c>
      <c r="AV157">
        <v>0</v>
      </c>
      <c r="AX157">
        <v>0</v>
      </c>
      <c r="AY157">
        <v>0</v>
      </c>
      <c r="AZ157">
        <v>0</v>
      </c>
      <c r="BA157">
        <v>0</v>
      </c>
      <c r="BB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row>
    <row r="158" spans="1:79" x14ac:dyDescent="0.3">
      <c r="A158" s="155">
        <v>535</v>
      </c>
      <c r="B158" t="s">
        <v>244</v>
      </c>
      <c r="D158">
        <v>0</v>
      </c>
      <c r="E158">
        <v>3083688</v>
      </c>
      <c r="F158">
        <v>0</v>
      </c>
      <c r="G158">
        <v>5147061</v>
      </c>
      <c r="H158">
        <v>0</v>
      </c>
      <c r="I158">
        <v>0</v>
      </c>
      <c r="J158">
        <v>0</v>
      </c>
      <c r="K158">
        <v>0</v>
      </c>
      <c r="L158">
        <v>10434394</v>
      </c>
      <c r="M158">
        <v>0</v>
      </c>
      <c r="N158">
        <v>0</v>
      </c>
      <c r="O158">
        <v>0</v>
      </c>
      <c r="P158">
        <v>31174</v>
      </c>
      <c r="Q158">
        <v>782386</v>
      </c>
      <c r="R158">
        <v>0</v>
      </c>
      <c r="S158">
        <v>0</v>
      </c>
      <c r="U158">
        <v>127328</v>
      </c>
      <c r="V158">
        <v>0</v>
      </c>
      <c r="W158">
        <v>0</v>
      </c>
      <c r="X158">
        <v>0</v>
      </c>
      <c r="Y158">
        <v>0</v>
      </c>
      <c r="Z158">
        <v>0</v>
      </c>
      <c r="AA158">
        <v>2871</v>
      </c>
      <c r="AB158">
        <v>0</v>
      </c>
      <c r="AC158">
        <v>0</v>
      </c>
      <c r="AD158">
        <v>0</v>
      </c>
      <c r="AE158">
        <v>0</v>
      </c>
      <c r="AF158">
        <v>0</v>
      </c>
      <c r="AG158">
        <v>0</v>
      </c>
      <c r="AH158">
        <v>0</v>
      </c>
      <c r="AI158">
        <v>0</v>
      </c>
      <c r="AJ158">
        <v>0</v>
      </c>
      <c r="AK158">
        <v>0</v>
      </c>
      <c r="AL158">
        <v>0</v>
      </c>
      <c r="AM158">
        <v>0</v>
      </c>
      <c r="AN158">
        <v>0</v>
      </c>
      <c r="AP158">
        <v>0</v>
      </c>
      <c r="AQ158">
        <v>297152</v>
      </c>
      <c r="AR158">
        <v>0</v>
      </c>
      <c r="AS158">
        <v>0</v>
      </c>
      <c r="AT158">
        <v>0</v>
      </c>
      <c r="AU158">
        <v>0</v>
      </c>
      <c r="AV158">
        <v>0</v>
      </c>
      <c r="AX158">
        <v>0</v>
      </c>
      <c r="AY158">
        <v>0</v>
      </c>
      <c r="AZ158">
        <v>0</v>
      </c>
      <c r="BA158">
        <v>0</v>
      </c>
      <c r="BB158">
        <v>0</v>
      </c>
      <c r="BD158">
        <v>0</v>
      </c>
      <c r="BE158">
        <v>179408</v>
      </c>
      <c r="BF158">
        <v>0</v>
      </c>
      <c r="BG158">
        <v>0</v>
      </c>
      <c r="BH158">
        <v>0</v>
      </c>
      <c r="BI158">
        <v>0</v>
      </c>
      <c r="BJ158">
        <v>0</v>
      </c>
      <c r="BK158">
        <v>0</v>
      </c>
      <c r="BL158">
        <v>0</v>
      </c>
      <c r="BM158">
        <v>0</v>
      </c>
      <c r="BN158">
        <v>0</v>
      </c>
      <c r="BO158">
        <v>0</v>
      </c>
      <c r="BP158">
        <v>0</v>
      </c>
      <c r="BQ158">
        <v>0</v>
      </c>
      <c r="BR158">
        <v>1006761</v>
      </c>
      <c r="BS158">
        <v>0</v>
      </c>
      <c r="BT158">
        <v>1</v>
      </c>
      <c r="BU158">
        <v>0</v>
      </c>
      <c r="BV158">
        <v>0</v>
      </c>
      <c r="BW158">
        <v>0</v>
      </c>
      <c r="BX158">
        <v>1</v>
      </c>
      <c r="BY158">
        <v>0</v>
      </c>
      <c r="BZ158">
        <v>0</v>
      </c>
      <c r="CA158">
        <v>0</v>
      </c>
    </row>
    <row r="159" spans="1:79" x14ac:dyDescent="0.3">
      <c r="A159" s="155">
        <v>536</v>
      </c>
      <c r="B159" t="s">
        <v>190</v>
      </c>
      <c r="D159">
        <v>0</v>
      </c>
      <c r="E159">
        <v>2716979</v>
      </c>
      <c r="F159">
        <v>29413</v>
      </c>
      <c r="G159">
        <v>5734600</v>
      </c>
      <c r="H159">
        <v>266392</v>
      </c>
      <c r="I159">
        <v>105667</v>
      </c>
      <c r="J159">
        <v>12554</v>
      </c>
      <c r="K159">
        <v>4483</v>
      </c>
      <c r="L159">
        <v>6301648</v>
      </c>
      <c r="M159">
        <v>41428</v>
      </c>
      <c r="N159">
        <v>191735</v>
      </c>
      <c r="O159">
        <v>108715</v>
      </c>
      <c r="P159">
        <v>403139</v>
      </c>
      <c r="Q159">
        <v>3759126</v>
      </c>
      <c r="R159">
        <v>255739</v>
      </c>
      <c r="S159">
        <v>322613</v>
      </c>
      <c r="U159">
        <v>0</v>
      </c>
      <c r="V159">
        <v>101493</v>
      </c>
      <c r="W159">
        <v>4965061</v>
      </c>
      <c r="X159">
        <v>1181203</v>
      </c>
      <c r="Y159">
        <v>371562</v>
      </c>
      <c r="Z159">
        <v>284125</v>
      </c>
      <c r="AA159">
        <v>3668</v>
      </c>
      <c r="AB159">
        <v>135023</v>
      </c>
      <c r="AC159">
        <v>39343</v>
      </c>
      <c r="AD159">
        <v>262246</v>
      </c>
      <c r="AE159">
        <v>424556</v>
      </c>
      <c r="AF159">
        <v>18047</v>
      </c>
      <c r="AG159">
        <v>7885</v>
      </c>
      <c r="AH159">
        <v>107064</v>
      </c>
      <c r="AI159">
        <v>0</v>
      </c>
      <c r="AJ159">
        <v>24741</v>
      </c>
      <c r="AK159">
        <v>46147</v>
      </c>
      <c r="AL159">
        <v>0</v>
      </c>
      <c r="AM159">
        <v>2088768</v>
      </c>
      <c r="AN159">
        <v>0</v>
      </c>
      <c r="AP159">
        <v>710067</v>
      </c>
      <c r="AQ159">
        <v>416446</v>
      </c>
      <c r="AR159">
        <v>191006</v>
      </c>
      <c r="AS159">
        <v>21679</v>
      </c>
      <c r="AT159">
        <v>170603</v>
      </c>
      <c r="AU159">
        <v>278938</v>
      </c>
      <c r="AV159">
        <v>5668</v>
      </c>
      <c r="AX159">
        <v>651904</v>
      </c>
      <c r="AY159">
        <v>525874</v>
      </c>
      <c r="AZ159">
        <v>51054</v>
      </c>
      <c r="BA159">
        <v>27627</v>
      </c>
      <c r="BB159">
        <v>566476</v>
      </c>
      <c r="BD159">
        <v>1209</v>
      </c>
      <c r="BE159">
        <v>247519</v>
      </c>
      <c r="BF159">
        <v>30695</v>
      </c>
      <c r="BG159">
        <v>27932</v>
      </c>
      <c r="BH159">
        <v>50181</v>
      </c>
      <c r="BI159">
        <v>75641</v>
      </c>
      <c r="BJ159">
        <v>178435</v>
      </c>
      <c r="BK159">
        <v>169115</v>
      </c>
      <c r="BL159">
        <v>93417</v>
      </c>
      <c r="BM159">
        <v>0</v>
      </c>
      <c r="BN159">
        <v>524935</v>
      </c>
      <c r="BO159">
        <v>175386</v>
      </c>
      <c r="BP159">
        <v>166891</v>
      </c>
      <c r="BQ159">
        <v>195081</v>
      </c>
      <c r="BR159">
        <v>111981</v>
      </c>
      <c r="BS159">
        <v>575736</v>
      </c>
      <c r="BT159">
        <v>45321</v>
      </c>
      <c r="BU159">
        <v>436797</v>
      </c>
      <c r="BV159">
        <v>0</v>
      </c>
      <c r="BW159">
        <v>115959</v>
      </c>
      <c r="BX159">
        <v>20018</v>
      </c>
      <c r="BY159">
        <v>19525</v>
      </c>
      <c r="BZ159">
        <v>1436696</v>
      </c>
      <c r="CA159">
        <v>43638</v>
      </c>
    </row>
    <row r="160" spans="1:79" x14ac:dyDescent="0.3">
      <c r="A160" s="155">
        <v>537</v>
      </c>
      <c r="B160" t="s">
        <v>280</v>
      </c>
      <c r="D160">
        <v>0</v>
      </c>
      <c r="E160">
        <v>0</v>
      </c>
      <c r="F160">
        <v>1</v>
      </c>
      <c r="G160">
        <v>1</v>
      </c>
      <c r="H160">
        <v>0</v>
      </c>
      <c r="I160">
        <v>2</v>
      </c>
      <c r="J160">
        <v>2</v>
      </c>
      <c r="K160">
        <v>2</v>
      </c>
      <c r="L160">
        <v>2</v>
      </c>
      <c r="M160">
        <v>0</v>
      </c>
      <c r="N160">
        <v>2</v>
      </c>
      <c r="O160">
        <v>2</v>
      </c>
      <c r="P160">
        <v>0</v>
      </c>
      <c r="Q160">
        <v>1</v>
      </c>
      <c r="R160">
        <v>2</v>
      </c>
      <c r="S160">
        <v>2</v>
      </c>
      <c r="U160">
        <v>1</v>
      </c>
      <c r="V160">
        <v>0</v>
      </c>
      <c r="W160">
        <v>0</v>
      </c>
      <c r="X160">
        <v>1</v>
      </c>
      <c r="Y160">
        <v>1</v>
      </c>
      <c r="Z160">
        <v>2</v>
      </c>
      <c r="AA160">
        <v>1</v>
      </c>
      <c r="AB160">
        <v>0</v>
      </c>
      <c r="AC160">
        <v>0</v>
      </c>
      <c r="AD160">
        <v>1</v>
      </c>
      <c r="AE160">
        <v>2</v>
      </c>
      <c r="AF160">
        <v>1</v>
      </c>
      <c r="AG160">
        <v>0</v>
      </c>
      <c r="AH160">
        <v>0</v>
      </c>
      <c r="AI160">
        <v>2</v>
      </c>
      <c r="AJ160">
        <v>2</v>
      </c>
      <c r="AK160">
        <v>1</v>
      </c>
      <c r="AL160">
        <v>2</v>
      </c>
      <c r="AM160">
        <v>2</v>
      </c>
      <c r="AN160">
        <v>2</v>
      </c>
      <c r="AP160">
        <v>0</v>
      </c>
      <c r="AQ160">
        <v>2</v>
      </c>
      <c r="AR160">
        <v>2</v>
      </c>
      <c r="AS160">
        <v>1</v>
      </c>
      <c r="AT160">
        <v>1</v>
      </c>
      <c r="AU160">
        <v>2</v>
      </c>
      <c r="AV160">
        <v>2</v>
      </c>
      <c r="AX160">
        <v>2</v>
      </c>
      <c r="AY160">
        <v>1</v>
      </c>
      <c r="AZ160">
        <v>0</v>
      </c>
      <c r="BA160">
        <v>2</v>
      </c>
      <c r="BB160">
        <v>1</v>
      </c>
      <c r="BD160">
        <v>2</v>
      </c>
      <c r="BE160">
        <v>1</v>
      </c>
      <c r="BF160">
        <v>2</v>
      </c>
      <c r="BG160">
        <v>0</v>
      </c>
      <c r="BH160">
        <v>1</v>
      </c>
      <c r="BI160">
        <v>2</v>
      </c>
      <c r="BJ160">
        <v>2</v>
      </c>
      <c r="BK160">
        <v>2</v>
      </c>
      <c r="BL160">
        <v>2</v>
      </c>
      <c r="BM160">
        <v>2</v>
      </c>
      <c r="BN160">
        <v>1</v>
      </c>
      <c r="BO160">
        <v>1</v>
      </c>
      <c r="BP160">
        <v>1</v>
      </c>
      <c r="BQ160">
        <v>2</v>
      </c>
      <c r="BR160">
        <v>2</v>
      </c>
      <c r="BS160">
        <v>2</v>
      </c>
      <c r="BT160">
        <v>2</v>
      </c>
      <c r="BU160">
        <v>1</v>
      </c>
      <c r="BV160">
        <v>2</v>
      </c>
      <c r="BW160">
        <v>2</v>
      </c>
      <c r="BX160">
        <v>2</v>
      </c>
      <c r="BY160">
        <v>0</v>
      </c>
      <c r="BZ160">
        <v>2</v>
      </c>
      <c r="CA160">
        <v>0</v>
      </c>
    </row>
    <row r="161" spans="1:79" x14ac:dyDescent="0.3">
      <c r="A161" s="155">
        <v>538</v>
      </c>
      <c r="B161" t="s">
        <v>279</v>
      </c>
      <c r="D161">
        <v>0</v>
      </c>
      <c r="E161">
        <v>0</v>
      </c>
      <c r="F161">
        <v>2</v>
      </c>
      <c r="G161">
        <v>1</v>
      </c>
      <c r="H161">
        <v>0</v>
      </c>
      <c r="I161">
        <v>2</v>
      </c>
      <c r="J161">
        <v>2</v>
      </c>
      <c r="K161">
        <v>2</v>
      </c>
      <c r="L161">
        <v>2</v>
      </c>
      <c r="M161">
        <v>0</v>
      </c>
      <c r="N161">
        <v>2</v>
      </c>
      <c r="O161">
        <v>2</v>
      </c>
      <c r="P161">
        <v>0</v>
      </c>
      <c r="Q161">
        <v>1</v>
      </c>
      <c r="R161">
        <v>2</v>
      </c>
      <c r="S161">
        <v>2</v>
      </c>
      <c r="U161">
        <v>2</v>
      </c>
      <c r="V161">
        <v>0</v>
      </c>
      <c r="W161">
        <v>0</v>
      </c>
      <c r="X161">
        <v>1</v>
      </c>
      <c r="Y161">
        <v>2</v>
      </c>
      <c r="Z161">
        <v>2</v>
      </c>
      <c r="AA161">
        <v>2</v>
      </c>
      <c r="AB161">
        <v>0</v>
      </c>
      <c r="AC161">
        <v>0</v>
      </c>
      <c r="AD161">
        <v>2</v>
      </c>
      <c r="AE161">
        <v>2</v>
      </c>
      <c r="AF161">
        <v>2</v>
      </c>
      <c r="AG161">
        <v>0</v>
      </c>
      <c r="AH161">
        <v>0</v>
      </c>
      <c r="AI161">
        <v>2</v>
      </c>
      <c r="AJ161">
        <v>2</v>
      </c>
      <c r="AK161">
        <v>2</v>
      </c>
      <c r="AL161">
        <v>2</v>
      </c>
      <c r="AM161">
        <v>2</v>
      </c>
      <c r="AN161">
        <v>2</v>
      </c>
      <c r="AP161">
        <v>0</v>
      </c>
      <c r="AQ161">
        <v>1</v>
      </c>
      <c r="AR161">
        <v>2</v>
      </c>
      <c r="AS161">
        <v>1</v>
      </c>
      <c r="AT161">
        <v>1</v>
      </c>
      <c r="AU161">
        <v>2</v>
      </c>
      <c r="AV161">
        <v>0</v>
      </c>
      <c r="AX161">
        <v>2</v>
      </c>
      <c r="AY161">
        <v>1</v>
      </c>
      <c r="AZ161">
        <v>2</v>
      </c>
      <c r="BA161">
        <v>2</v>
      </c>
      <c r="BB161">
        <v>1</v>
      </c>
      <c r="BD161">
        <v>2</v>
      </c>
      <c r="BE161">
        <v>1</v>
      </c>
      <c r="BF161">
        <v>2</v>
      </c>
      <c r="BG161">
        <v>0</v>
      </c>
      <c r="BH161">
        <v>2</v>
      </c>
      <c r="BI161">
        <v>1</v>
      </c>
      <c r="BJ161">
        <v>2</v>
      </c>
      <c r="BK161">
        <v>1</v>
      </c>
      <c r="BL161">
        <v>1</v>
      </c>
      <c r="BM161">
        <v>2</v>
      </c>
      <c r="BN161">
        <v>1</v>
      </c>
      <c r="BO161">
        <v>1</v>
      </c>
      <c r="BP161">
        <v>1</v>
      </c>
      <c r="BQ161">
        <v>2</v>
      </c>
      <c r="BR161">
        <v>2</v>
      </c>
      <c r="BS161">
        <v>2</v>
      </c>
      <c r="BT161">
        <v>1</v>
      </c>
      <c r="BU161">
        <v>2</v>
      </c>
      <c r="BV161">
        <v>2</v>
      </c>
      <c r="BW161">
        <v>2</v>
      </c>
      <c r="BX161">
        <v>2</v>
      </c>
      <c r="BY161">
        <v>0</v>
      </c>
      <c r="BZ161">
        <v>1</v>
      </c>
      <c r="CA161">
        <v>0</v>
      </c>
    </row>
    <row r="162" spans="1:79" x14ac:dyDescent="0.3">
      <c r="A162" s="155">
        <v>540</v>
      </c>
      <c r="B162" t="s">
        <v>253</v>
      </c>
      <c r="D162">
        <v>0</v>
      </c>
      <c r="E162">
        <v>0</v>
      </c>
      <c r="F162">
        <v>0</v>
      </c>
      <c r="G162">
        <v>5401419</v>
      </c>
      <c r="H162">
        <v>1040285</v>
      </c>
      <c r="I162">
        <v>14140</v>
      </c>
      <c r="J162">
        <v>315000</v>
      </c>
      <c r="K162">
        <v>56700</v>
      </c>
      <c r="L162">
        <v>0</v>
      </c>
      <c r="M162">
        <v>38981</v>
      </c>
      <c r="N162">
        <v>0</v>
      </c>
      <c r="O162">
        <v>0</v>
      </c>
      <c r="P162">
        <v>0</v>
      </c>
      <c r="Q162">
        <v>1953126</v>
      </c>
      <c r="R162">
        <v>0</v>
      </c>
      <c r="S162">
        <v>120000</v>
      </c>
      <c r="U162">
        <v>749963</v>
      </c>
      <c r="V162">
        <v>9200</v>
      </c>
      <c r="W162">
        <v>0</v>
      </c>
      <c r="X162">
        <v>347437</v>
      </c>
      <c r="Y162">
        <v>0</v>
      </c>
      <c r="Z162">
        <v>0</v>
      </c>
      <c r="AA162">
        <v>0</v>
      </c>
      <c r="AB162">
        <v>0</v>
      </c>
      <c r="AC162">
        <v>0</v>
      </c>
      <c r="AD162">
        <v>0</v>
      </c>
      <c r="AE162">
        <v>30800</v>
      </c>
      <c r="AF162">
        <v>35712</v>
      </c>
      <c r="AG162">
        <v>16947</v>
      </c>
      <c r="AH162">
        <v>0</v>
      </c>
      <c r="AI162">
        <v>122100</v>
      </c>
      <c r="AJ162">
        <v>542415</v>
      </c>
      <c r="AK162">
        <v>0</v>
      </c>
      <c r="AL162">
        <v>0</v>
      </c>
      <c r="AM162">
        <v>0</v>
      </c>
      <c r="AN162">
        <v>0</v>
      </c>
      <c r="AP162">
        <v>425954</v>
      </c>
      <c r="AQ162">
        <v>2355903</v>
      </c>
      <c r="AR162">
        <v>0</v>
      </c>
      <c r="AS162">
        <v>0</v>
      </c>
      <c r="AT162">
        <v>0</v>
      </c>
      <c r="AU162">
        <v>0</v>
      </c>
      <c r="AV162">
        <v>0</v>
      </c>
      <c r="AX162">
        <v>0</v>
      </c>
      <c r="AY162">
        <v>0</v>
      </c>
      <c r="AZ162">
        <v>0</v>
      </c>
      <c r="BA162">
        <v>0</v>
      </c>
      <c r="BB162">
        <v>0</v>
      </c>
      <c r="BD162">
        <v>56360</v>
      </c>
      <c r="BE162">
        <v>1310395</v>
      </c>
      <c r="BF162">
        <v>0</v>
      </c>
      <c r="BG162">
        <v>0</v>
      </c>
      <c r="BH162">
        <v>91341</v>
      </c>
      <c r="BI162">
        <v>158290</v>
      </c>
      <c r="BJ162">
        <v>0</v>
      </c>
      <c r="BK162">
        <v>0</v>
      </c>
      <c r="BL162">
        <v>1597537</v>
      </c>
      <c r="BM162">
        <v>0</v>
      </c>
      <c r="BN162">
        <v>592755</v>
      </c>
      <c r="BO162">
        <v>140000</v>
      </c>
      <c r="BP162">
        <v>534678</v>
      </c>
      <c r="BQ162">
        <v>490518</v>
      </c>
      <c r="BR162">
        <v>0</v>
      </c>
      <c r="BS162">
        <v>469654</v>
      </c>
      <c r="BT162">
        <v>110000</v>
      </c>
      <c r="BU162">
        <v>0</v>
      </c>
      <c r="BV162">
        <v>0</v>
      </c>
      <c r="BW162">
        <v>0</v>
      </c>
      <c r="BX162">
        <v>0</v>
      </c>
      <c r="BY162">
        <v>20000</v>
      </c>
      <c r="BZ162">
        <v>1950000</v>
      </c>
      <c r="CA162">
        <v>0</v>
      </c>
    </row>
    <row r="163" spans="1:79" x14ac:dyDescent="0.3">
      <c r="A163" s="155">
        <v>541</v>
      </c>
      <c r="B163" t="s">
        <v>310</v>
      </c>
      <c r="D163">
        <v>0</v>
      </c>
      <c r="E163">
        <v>0</v>
      </c>
      <c r="F163">
        <v>56240</v>
      </c>
      <c r="G163">
        <v>5797305</v>
      </c>
      <c r="H163">
        <v>-1069415</v>
      </c>
      <c r="I163">
        <v>9248</v>
      </c>
      <c r="J163">
        <v>199917</v>
      </c>
      <c r="K163">
        <v>121973</v>
      </c>
      <c r="L163">
        <v>2851875</v>
      </c>
      <c r="M163">
        <v>0</v>
      </c>
      <c r="N163">
        <v>153893</v>
      </c>
      <c r="O163">
        <v>113997</v>
      </c>
      <c r="P163">
        <v>0</v>
      </c>
      <c r="Q163">
        <v>-169103</v>
      </c>
      <c r="R163">
        <v>209340</v>
      </c>
      <c r="S163">
        <v>16828</v>
      </c>
      <c r="U163">
        <v>2254681</v>
      </c>
      <c r="V163">
        <v>0</v>
      </c>
      <c r="W163">
        <v>0</v>
      </c>
      <c r="X163">
        <v>53</v>
      </c>
      <c r="Y163">
        <v>227726</v>
      </c>
      <c r="Z163">
        <v>364529</v>
      </c>
      <c r="AA163">
        <v>659293</v>
      </c>
      <c r="AB163">
        <v>0</v>
      </c>
      <c r="AC163">
        <v>-136772</v>
      </c>
      <c r="AD163">
        <v>125364</v>
      </c>
      <c r="AE163">
        <v>200420</v>
      </c>
      <c r="AF163">
        <v>-29757</v>
      </c>
      <c r="AG163">
        <v>0</v>
      </c>
      <c r="AH163">
        <v>0</v>
      </c>
      <c r="AI163">
        <v>18096</v>
      </c>
      <c r="AJ163">
        <v>-466176</v>
      </c>
      <c r="AK163">
        <v>-200788</v>
      </c>
      <c r="AL163">
        <v>0</v>
      </c>
      <c r="AM163">
        <v>2074878</v>
      </c>
      <c r="AN163">
        <v>1630408</v>
      </c>
      <c r="AP163">
        <v>0</v>
      </c>
      <c r="AQ163">
        <v>-339228</v>
      </c>
      <c r="AR163">
        <v>-470365</v>
      </c>
      <c r="AS163">
        <v>2449</v>
      </c>
      <c r="AT163">
        <v>-360675</v>
      </c>
      <c r="AU163">
        <v>-883884</v>
      </c>
      <c r="AV163">
        <v>115790</v>
      </c>
      <c r="AX163">
        <v>324587</v>
      </c>
      <c r="AY163">
        <v>389989</v>
      </c>
      <c r="AZ163">
        <v>405135</v>
      </c>
      <c r="BA163">
        <v>-13641</v>
      </c>
      <c r="BB163">
        <v>-96798</v>
      </c>
      <c r="BD163">
        <v>0</v>
      </c>
      <c r="BE163">
        <v>2629539</v>
      </c>
      <c r="BF163">
        <v>-32704</v>
      </c>
      <c r="BG163">
        <v>0</v>
      </c>
      <c r="BH163">
        <v>-36534</v>
      </c>
      <c r="BI163">
        <v>268697</v>
      </c>
      <c r="BJ163">
        <v>0</v>
      </c>
      <c r="BK163">
        <v>101738</v>
      </c>
      <c r="BL163">
        <v>212956</v>
      </c>
      <c r="BM163">
        <v>0</v>
      </c>
      <c r="BN163">
        <v>201678</v>
      </c>
      <c r="BO163">
        <v>-7323</v>
      </c>
      <c r="BP163">
        <v>160029</v>
      </c>
      <c r="BQ163">
        <v>190732</v>
      </c>
      <c r="BR163">
        <v>0</v>
      </c>
      <c r="BS163">
        <v>0</v>
      </c>
      <c r="BT163">
        <v>45337</v>
      </c>
      <c r="BU163">
        <v>124717</v>
      </c>
      <c r="BV163">
        <v>273648</v>
      </c>
      <c r="BW163">
        <v>208549</v>
      </c>
      <c r="BX163">
        <v>0</v>
      </c>
      <c r="BY163">
        <v>0</v>
      </c>
      <c r="BZ163">
        <v>439561</v>
      </c>
      <c r="CA163">
        <v>0</v>
      </c>
    </row>
    <row r="164" spans="1:79" x14ac:dyDescent="0.3">
      <c r="A164" s="155">
        <v>542</v>
      </c>
      <c r="B164" t="s">
        <v>930</v>
      </c>
      <c r="D164">
        <v>0</v>
      </c>
      <c r="E164">
        <v>0</v>
      </c>
      <c r="F164">
        <v>0</v>
      </c>
      <c r="G164">
        <v>657403</v>
      </c>
      <c r="H164">
        <v>1979755</v>
      </c>
      <c r="I164">
        <v>0</v>
      </c>
      <c r="J164">
        <v>0</v>
      </c>
      <c r="K164">
        <v>0</v>
      </c>
      <c r="L164">
        <v>0</v>
      </c>
      <c r="M164">
        <v>0</v>
      </c>
      <c r="N164">
        <v>0</v>
      </c>
      <c r="O164">
        <v>0</v>
      </c>
      <c r="P164">
        <v>0</v>
      </c>
      <c r="Q164">
        <v>0</v>
      </c>
      <c r="R164">
        <v>0</v>
      </c>
      <c r="S164">
        <v>0</v>
      </c>
      <c r="U164">
        <v>0</v>
      </c>
      <c r="V164">
        <v>0</v>
      </c>
      <c r="W164">
        <v>0</v>
      </c>
      <c r="X164">
        <v>0</v>
      </c>
      <c r="Y164">
        <v>0</v>
      </c>
      <c r="Z164">
        <v>0</v>
      </c>
      <c r="AA164">
        <v>0</v>
      </c>
      <c r="AB164">
        <v>0</v>
      </c>
      <c r="AC164">
        <v>0</v>
      </c>
      <c r="AD164">
        <v>0</v>
      </c>
      <c r="AE164">
        <v>0</v>
      </c>
      <c r="AF164">
        <v>6829</v>
      </c>
      <c r="AG164">
        <v>0</v>
      </c>
      <c r="AH164">
        <v>0</v>
      </c>
      <c r="AI164">
        <v>10000</v>
      </c>
      <c r="AJ164">
        <v>0</v>
      </c>
      <c r="AK164">
        <v>0</v>
      </c>
      <c r="AL164">
        <v>0</v>
      </c>
      <c r="AM164">
        <v>0</v>
      </c>
      <c r="AN164">
        <v>0</v>
      </c>
      <c r="AP164">
        <v>0</v>
      </c>
      <c r="AQ164">
        <v>614075</v>
      </c>
      <c r="AR164">
        <v>0</v>
      </c>
      <c r="AS164">
        <v>0</v>
      </c>
      <c r="AT164">
        <v>0</v>
      </c>
      <c r="AU164">
        <v>0</v>
      </c>
      <c r="AV164">
        <v>0</v>
      </c>
      <c r="AX164">
        <v>0</v>
      </c>
      <c r="AY164">
        <v>0</v>
      </c>
      <c r="AZ164">
        <v>0</v>
      </c>
      <c r="BA164">
        <v>0</v>
      </c>
      <c r="BB164">
        <v>0</v>
      </c>
      <c r="BD164">
        <v>0</v>
      </c>
      <c r="BE164">
        <v>0</v>
      </c>
      <c r="BF164">
        <v>0</v>
      </c>
      <c r="BG164">
        <v>0</v>
      </c>
      <c r="BH164">
        <v>0</v>
      </c>
      <c r="BI164">
        <v>319000</v>
      </c>
      <c r="BJ164">
        <v>0</v>
      </c>
      <c r="BK164">
        <v>170200</v>
      </c>
      <c r="BL164">
        <v>1527572</v>
      </c>
      <c r="BM164">
        <v>0</v>
      </c>
      <c r="BN164">
        <v>332951</v>
      </c>
      <c r="BO164">
        <v>35000</v>
      </c>
      <c r="BP164">
        <v>0</v>
      </c>
      <c r="BQ164">
        <v>0</v>
      </c>
      <c r="BR164">
        <v>0</v>
      </c>
      <c r="BS164">
        <v>0</v>
      </c>
      <c r="BT164">
        <v>0</v>
      </c>
      <c r="BU164">
        <v>0</v>
      </c>
      <c r="BV164">
        <v>0</v>
      </c>
      <c r="BW164">
        <v>0</v>
      </c>
      <c r="BX164">
        <v>0</v>
      </c>
      <c r="BY164">
        <v>0</v>
      </c>
      <c r="BZ164">
        <v>1633407</v>
      </c>
      <c r="CA164">
        <v>0</v>
      </c>
    </row>
    <row r="165" spans="1:79" x14ac:dyDescent="0.3">
      <c r="A165" s="155">
        <v>544</v>
      </c>
      <c r="B165" t="s">
        <v>52</v>
      </c>
      <c r="D165">
        <v>0</v>
      </c>
      <c r="E165">
        <v>0</v>
      </c>
      <c r="F165">
        <v>0</v>
      </c>
      <c r="G165">
        <v>0</v>
      </c>
      <c r="H165">
        <v>0</v>
      </c>
      <c r="I165">
        <v>0</v>
      </c>
      <c r="J165">
        <v>0.01</v>
      </c>
      <c r="K165">
        <v>0</v>
      </c>
      <c r="L165">
        <v>0</v>
      </c>
      <c r="M165">
        <v>0</v>
      </c>
      <c r="N165">
        <v>0</v>
      </c>
      <c r="O165">
        <v>0</v>
      </c>
      <c r="P165">
        <v>0</v>
      </c>
      <c r="Q165">
        <v>0</v>
      </c>
      <c r="R165">
        <v>0</v>
      </c>
      <c r="S165">
        <v>0</v>
      </c>
      <c r="U165">
        <v>0</v>
      </c>
      <c r="V165">
        <v>0</v>
      </c>
      <c r="W165">
        <v>0</v>
      </c>
      <c r="X165">
        <v>0</v>
      </c>
      <c r="Y165">
        <v>0</v>
      </c>
      <c r="Z165">
        <v>0</v>
      </c>
      <c r="AA165">
        <v>0.06</v>
      </c>
      <c r="AB165">
        <v>0</v>
      </c>
      <c r="AC165">
        <v>0</v>
      </c>
      <c r="AD165">
        <v>0</v>
      </c>
      <c r="AE165">
        <v>0</v>
      </c>
      <c r="AF165">
        <v>0</v>
      </c>
      <c r="AG165">
        <v>0</v>
      </c>
      <c r="AH165">
        <v>0</v>
      </c>
      <c r="AI165">
        <v>0</v>
      </c>
      <c r="AJ165">
        <v>0</v>
      </c>
      <c r="AK165">
        <v>0</v>
      </c>
      <c r="AL165">
        <v>0</v>
      </c>
      <c r="AM165">
        <v>0</v>
      </c>
      <c r="AN165">
        <v>0</v>
      </c>
      <c r="AP165">
        <v>0</v>
      </c>
      <c r="AQ165">
        <v>0</v>
      </c>
      <c r="AR165">
        <v>0</v>
      </c>
      <c r="AS165">
        <v>0</v>
      </c>
      <c r="AT165">
        <v>0</v>
      </c>
      <c r="AU165">
        <v>0</v>
      </c>
      <c r="AV165">
        <v>0</v>
      </c>
      <c r="AX165">
        <v>0</v>
      </c>
      <c r="AY165">
        <v>0</v>
      </c>
      <c r="AZ165">
        <v>0</v>
      </c>
      <c r="BA165">
        <v>0</v>
      </c>
      <c r="BB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row>
    <row r="166" spans="1:79" x14ac:dyDescent="0.3">
      <c r="A166" s="155">
        <v>545</v>
      </c>
      <c r="B166" t="s">
        <v>53</v>
      </c>
      <c r="D166">
        <v>0</v>
      </c>
      <c r="E166">
        <v>0</v>
      </c>
      <c r="F166">
        <v>0</v>
      </c>
      <c r="G166">
        <v>0</v>
      </c>
      <c r="H166">
        <v>0</v>
      </c>
      <c r="I166">
        <v>0</v>
      </c>
      <c r="J166">
        <v>0.01</v>
      </c>
      <c r="K166">
        <v>0</v>
      </c>
      <c r="L166">
        <v>0</v>
      </c>
      <c r="M166">
        <v>0</v>
      </c>
      <c r="N166">
        <v>0</v>
      </c>
      <c r="O166">
        <v>0</v>
      </c>
      <c r="P166">
        <v>0</v>
      </c>
      <c r="Q166">
        <v>0</v>
      </c>
      <c r="R166">
        <v>4.7999999999999996E-3</v>
      </c>
      <c r="S166">
        <v>0</v>
      </c>
      <c r="U166">
        <v>0.04</v>
      </c>
      <c r="V166">
        <v>0</v>
      </c>
      <c r="W166">
        <v>0</v>
      </c>
      <c r="X166">
        <v>0</v>
      </c>
      <c r="Y166">
        <v>1</v>
      </c>
      <c r="Z166">
        <v>0</v>
      </c>
      <c r="AA166">
        <v>0.11</v>
      </c>
      <c r="AB166">
        <v>0</v>
      </c>
      <c r="AC166">
        <v>0</v>
      </c>
      <c r="AD166">
        <v>0</v>
      </c>
      <c r="AE166">
        <v>0</v>
      </c>
      <c r="AF166">
        <v>0</v>
      </c>
      <c r="AG166">
        <v>0</v>
      </c>
      <c r="AH166">
        <v>0</v>
      </c>
      <c r="AI166">
        <v>0</v>
      </c>
      <c r="AJ166">
        <v>0</v>
      </c>
      <c r="AK166">
        <v>0</v>
      </c>
      <c r="AL166">
        <v>0</v>
      </c>
      <c r="AM166">
        <v>0.04</v>
      </c>
      <c r="AN166">
        <v>0</v>
      </c>
      <c r="AP166">
        <v>0</v>
      </c>
      <c r="AQ166">
        <v>0</v>
      </c>
      <c r="AR166">
        <v>0</v>
      </c>
      <c r="AS166">
        <v>0</v>
      </c>
      <c r="AT166">
        <v>0</v>
      </c>
      <c r="AU166">
        <v>0</v>
      </c>
      <c r="AV166">
        <v>0</v>
      </c>
      <c r="AX166">
        <v>0</v>
      </c>
      <c r="AY166">
        <v>0</v>
      </c>
      <c r="AZ166">
        <v>0</v>
      </c>
      <c r="BA166">
        <v>0</v>
      </c>
      <c r="BB166">
        <v>0</v>
      </c>
      <c r="BD166">
        <v>0</v>
      </c>
      <c r="BE166">
        <v>0</v>
      </c>
      <c r="BF166">
        <v>0</v>
      </c>
      <c r="BG166">
        <v>0</v>
      </c>
      <c r="BH166">
        <v>0</v>
      </c>
      <c r="BI166">
        <v>0</v>
      </c>
      <c r="BJ166">
        <v>0</v>
      </c>
      <c r="BK166">
        <v>0</v>
      </c>
      <c r="BL166">
        <v>0</v>
      </c>
      <c r="BM166">
        <v>0</v>
      </c>
      <c r="BN166">
        <v>0</v>
      </c>
      <c r="BO166">
        <v>0</v>
      </c>
      <c r="BP166">
        <v>0</v>
      </c>
      <c r="BQ166">
        <v>0</v>
      </c>
      <c r="BR166">
        <v>0</v>
      </c>
      <c r="BS166">
        <v>1.4999999999999999E-2</v>
      </c>
      <c r="BT166">
        <v>0</v>
      </c>
      <c r="BU166">
        <v>0</v>
      </c>
      <c r="BV166">
        <v>0</v>
      </c>
      <c r="BW166">
        <v>0</v>
      </c>
      <c r="BX166">
        <v>0</v>
      </c>
      <c r="BY166">
        <v>0</v>
      </c>
      <c r="BZ166">
        <v>0</v>
      </c>
      <c r="CA166">
        <v>0</v>
      </c>
    </row>
    <row r="167" spans="1:79" x14ac:dyDescent="0.3">
      <c r="A167" s="155">
        <v>546</v>
      </c>
      <c r="B167" t="s">
        <v>931</v>
      </c>
      <c r="D167">
        <v>0</v>
      </c>
      <c r="E167">
        <v>0</v>
      </c>
      <c r="F167">
        <v>0</v>
      </c>
      <c r="G167">
        <v>0</v>
      </c>
      <c r="H167">
        <v>0</v>
      </c>
      <c r="I167">
        <v>0</v>
      </c>
      <c r="J167">
        <v>0</v>
      </c>
      <c r="K167">
        <v>0</v>
      </c>
      <c r="L167">
        <v>0</v>
      </c>
      <c r="M167">
        <v>0</v>
      </c>
      <c r="N167">
        <v>0</v>
      </c>
      <c r="O167">
        <v>0</v>
      </c>
      <c r="P167">
        <v>0</v>
      </c>
      <c r="Q167">
        <v>0</v>
      </c>
      <c r="R167">
        <v>0</v>
      </c>
      <c r="S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P167">
        <v>0</v>
      </c>
      <c r="AQ167">
        <v>0</v>
      </c>
      <c r="AR167">
        <v>0</v>
      </c>
      <c r="AS167">
        <v>0</v>
      </c>
      <c r="AT167">
        <v>0</v>
      </c>
      <c r="AU167">
        <v>0</v>
      </c>
      <c r="AV167">
        <v>0</v>
      </c>
      <c r="AX167">
        <v>0</v>
      </c>
      <c r="AY167">
        <v>0</v>
      </c>
      <c r="AZ167">
        <v>0</v>
      </c>
      <c r="BA167">
        <v>0</v>
      </c>
      <c r="BB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row>
    <row r="168" spans="1:79" x14ac:dyDescent="0.3">
      <c r="A168" s="155">
        <v>547</v>
      </c>
      <c r="B168" t="s">
        <v>932</v>
      </c>
      <c r="D168">
        <v>2</v>
      </c>
      <c r="E168">
        <v>2</v>
      </c>
      <c r="F168">
        <v>2</v>
      </c>
      <c r="G168">
        <v>1</v>
      </c>
      <c r="H168">
        <v>3</v>
      </c>
      <c r="I168">
        <v>3</v>
      </c>
      <c r="J168">
        <v>2</v>
      </c>
      <c r="K168">
        <v>3</v>
      </c>
      <c r="L168">
        <v>3</v>
      </c>
      <c r="M168">
        <v>0</v>
      </c>
      <c r="N168">
        <v>3</v>
      </c>
      <c r="O168">
        <v>2</v>
      </c>
      <c r="P168">
        <v>3</v>
      </c>
      <c r="Q168">
        <v>3</v>
      </c>
      <c r="R168">
        <v>3</v>
      </c>
      <c r="S168">
        <v>3</v>
      </c>
      <c r="U168">
        <v>3</v>
      </c>
      <c r="V168">
        <v>2</v>
      </c>
      <c r="W168">
        <v>3</v>
      </c>
      <c r="X168">
        <v>3</v>
      </c>
      <c r="Y168">
        <v>3</v>
      </c>
      <c r="Z168">
        <v>2</v>
      </c>
      <c r="AA168">
        <v>4</v>
      </c>
      <c r="AB168">
        <v>2</v>
      </c>
      <c r="AC168">
        <v>0</v>
      </c>
      <c r="AD168">
        <v>2</v>
      </c>
      <c r="AE168">
        <v>2</v>
      </c>
      <c r="AF168">
        <v>2</v>
      </c>
      <c r="AG168">
        <v>2</v>
      </c>
      <c r="AH168">
        <v>2</v>
      </c>
      <c r="AI168">
        <v>2</v>
      </c>
      <c r="AJ168">
        <v>3</v>
      </c>
      <c r="AK168">
        <v>2</v>
      </c>
      <c r="AL168">
        <v>2</v>
      </c>
      <c r="AM168">
        <v>2</v>
      </c>
      <c r="AN168">
        <v>3</v>
      </c>
      <c r="AP168">
        <v>2</v>
      </c>
      <c r="AQ168">
        <v>3</v>
      </c>
      <c r="AR168">
        <v>2</v>
      </c>
      <c r="AS168">
        <v>3</v>
      </c>
      <c r="AT168">
        <v>3</v>
      </c>
      <c r="AU168">
        <v>3</v>
      </c>
      <c r="AV168">
        <v>2</v>
      </c>
      <c r="AX168">
        <v>2</v>
      </c>
      <c r="AY168">
        <v>1</v>
      </c>
      <c r="AZ168">
        <v>3</v>
      </c>
      <c r="BA168">
        <v>2</v>
      </c>
      <c r="BB168">
        <v>4</v>
      </c>
      <c r="BD168">
        <v>0</v>
      </c>
      <c r="BE168">
        <v>3</v>
      </c>
      <c r="BF168">
        <v>2</v>
      </c>
      <c r="BG168">
        <v>2</v>
      </c>
      <c r="BH168">
        <v>3</v>
      </c>
      <c r="BI168">
        <v>3</v>
      </c>
      <c r="BJ168">
        <v>2</v>
      </c>
      <c r="BK168">
        <v>3</v>
      </c>
      <c r="BL168">
        <v>3</v>
      </c>
      <c r="BM168">
        <v>2</v>
      </c>
      <c r="BN168">
        <v>3</v>
      </c>
      <c r="BO168">
        <v>2</v>
      </c>
      <c r="BP168">
        <v>2</v>
      </c>
      <c r="BQ168">
        <v>2</v>
      </c>
      <c r="BR168">
        <v>2</v>
      </c>
      <c r="BS168">
        <v>2</v>
      </c>
      <c r="BT168">
        <v>2</v>
      </c>
      <c r="BU168">
        <v>3</v>
      </c>
      <c r="BV168">
        <v>2</v>
      </c>
      <c r="BW168">
        <v>2</v>
      </c>
      <c r="BX168">
        <v>2</v>
      </c>
      <c r="BY168">
        <v>2</v>
      </c>
      <c r="BZ168">
        <v>3</v>
      </c>
      <c r="CA168">
        <v>2</v>
      </c>
    </row>
    <row r="169" spans="1:79" x14ac:dyDescent="0.3">
      <c r="A169" s="155">
        <v>554</v>
      </c>
      <c r="B169" t="s">
        <v>320</v>
      </c>
      <c r="E169">
        <v>2865248</v>
      </c>
      <c r="G169">
        <v>10808143</v>
      </c>
      <c r="L169">
        <v>2261576</v>
      </c>
      <c r="O169">
        <v>1419813</v>
      </c>
      <c r="P169">
        <v>504814</v>
      </c>
      <c r="Q169">
        <v>100950</v>
      </c>
      <c r="U169">
        <v>2568200</v>
      </c>
      <c r="AJ169">
        <v>1574411</v>
      </c>
      <c r="AN169">
        <v>5271581</v>
      </c>
      <c r="AQ169">
        <v>808034</v>
      </c>
      <c r="BE169">
        <v>4306600</v>
      </c>
      <c r="BH169">
        <v>67737</v>
      </c>
      <c r="BN169">
        <v>1061070</v>
      </c>
      <c r="BS169">
        <v>654323</v>
      </c>
    </row>
    <row r="170" spans="1:79" x14ac:dyDescent="0.3">
      <c r="A170" s="155">
        <v>555</v>
      </c>
      <c r="B170" t="s">
        <v>321</v>
      </c>
      <c r="E170">
        <v>2358652</v>
      </c>
      <c r="G170">
        <v>7300066</v>
      </c>
      <c r="L170">
        <v>709155</v>
      </c>
      <c r="O170">
        <v>1334689</v>
      </c>
      <c r="P170">
        <v>0</v>
      </c>
      <c r="Q170">
        <v>0</v>
      </c>
      <c r="U170">
        <v>1292783</v>
      </c>
      <c r="AJ170">
        <v>1195253</v>
      </c>
      <c r="AN170">
        <v>4232997</v>
      </c>
      <c r="AQ170">
        <v>414417</v>
      </c>
      <c r="BE170">
        <v>3092539</v>
      </c>
      <c r="BH170">
        <v>0</v>
      </c>
      <c r="BN170">
        <v>625973</v>
      </c>
      <c r="BS170">
        <v>0</v>
      </c>
    </row>
    <row r="171" spans="1:79" x14ac:dyDescent="0.3">
      <c r="A171" s="155">
        <v>556</v>
      </c>
      <c r="B171" t="s">
        <v>322</v>
      </c>
      <c r="E171">
        <v>326756</v>
      </c>
      <c r="G171">
        <v>2751136</v>
      </c>
      <c r="L171">
        <v>558155</v>
      </c>
      <c r="O171">
        <v>0</v>
      </c>
      <c r="P171">
        <v>645811</v>
      </c>
      <c r="Q171">
        <v>900856</v>
      </c>
      <c r="U171">
        <v>550476</v>
      </c>
      <c r="AJ171">
        <v>421546</v>
      </c>
      <c r="AN171">
        <v>1016009</v>
      </c>
      <c r="AQ171">
        <v>331041</v>
      </c>
      <c r="BE171">
        <v>1719052</v>
      </c>
      <c r="BH171">
        <v>1656366</v>
      </c>
      <c r="BN171">
        <v>463550</v>
      </c>
      <c r="BS171">
        <v>1055245</v>
      </c>
    </row>
    <row r="172" spans="1:79" x14ac:dyDescent="0.3">
      <c r="A172" s="155">
        <v>557</v>
      </c>
      <c r="B172" t="s">
        <v>323</v>
      </c>
      <c r="E172">
        <v>0</v>
      </c>
      <c r="G172">
        <v>1023956</v>
      </c>
      <c r="L172">
        <v>469172</v>
      </c>
      <c r="O172">
        <v>0</v>
      </c>
      <c r="P172">
        <v>633845</v>
      </c>
      <c r="Q172">
        <v>565097</v>
      </c>
      <c r="U172">
        <v>291164</v>
      </c>
      <c r="AJ172">
        <v>0</v>
      </c>
      <c r="AN172">
        <v>513370</v>
      </c>
      <c r="AQ172">
        <v>0</v>
      </c>
      <c r="BE172">
        <v>1149730</v>
      </c>
      <c r="BH172">
        <v>1276780</v>
      </c>
      <c r="BN172">
        <v>0</v>
      </c>
      <c r="BS172">
        <v>831495</v>
      </c>
    </row>
    <row r="173" spans="1:79" x14ac:dyDescent="0.3">
      <c r="A173" s="155">
        <v>558</v>
      </c>
      <c r="B173" t="s">
        <v>933</v>
      </c>
      <c r="D173">
        <v>0</v>
      </c>
      <c r="E173">
        <v>0</v>
      </c>
      <c r="F173">
        <v>0</v>
      </c>
      <c r="G173">
        <v>0</v>
      </c>
      <c r="H173">
        <v>0</v>
      </c>
      <c r="I173">
        <v>0</v>
      </c>
      <c r="J173">
        <v>0</v>
      </c>
      <c r="K173">
        <v>0</v>
      </c>
      <c r="L173">
        <v>0</v>
      </c>
      <c r="M173">
        <v>0</v>
      </c>
      <c r="N173">
        <v>0</v>
      </c>
      <c r="O173">
        <v>0</v>
      </c>
      <c r="P173">
        <v>0</v>
      </c>
      <c r="Q173">
        <v>0</v>
      </c>
      <c r="R173">
        <v>0</v>
      </c>
      <c r="S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P173">
        <v>0</v>
      </c>
      <c r="AQ173">
        <v>0</v>
      </c>
      <c r="AR173">
        <v>0</v>
      </c>
      <c r="AS173">
        <v>0</v>
      </c>
      <c r="AT173">
        <v>0</v>
      </c>
      <c r="AU173">
        <v>0</v>
      </c>
      <c r="AV173">
        <v>0</v>
      </c>
      <c r="AX173">
        <v>0</v>
      </c>
      <c r="AY173">
        <v>0</v>
      </c>
      <c r="AZ173">
        <v>0</v>
      </c>
      <c r="BA173">
        <v>0</v>
      </c>
      <c r="BB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row>
    <row r="174" spans="1:79" x14ac:dyDescent="0.3">
      <c r="A174" s="155">
        <v>559</v>
      </c>
      <c r="B174" t="s">
        <v>934</v>
      </c>
      <c r="D174">
        <v>0</v>
      </c>
      <c r="E174">
        <v>0</v>
      </c>
      <c r="F174">
        <v>0</v>
      </c>
      <c r="G174">
        <v>0</v>
      </c>
      <c r="H174">
        <v>0</v>
      </c>
      <c r="I174">
        <v>0</v>
      </c>
      <c r="J174">
        <v>0</v>
      </c>
      <c r="K174">
        <v>0</v>
      </c>
      <c r="L174">
        <v>0</v>
      </c>
      <c r="M174">
        <v>0</v>
      </c>
      <c r="N174">
        <v>0</v>
      </c>
      <c r="O174">
        <v>0</v>
      </c>
      <c r="P174">
        <v>0</v>
      </c>
      <c r="Q174">
        <v>0</v>
      </c>
      <c r="R174">
        <v>0</v>
      </c>
      <c r="S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P174">
        <v>0</v>
      </c>
      <c r="AQ174">
        <v>0</v>
      </c>
      <c r="AR174">
        <v>0</v>
      </c>
      <c r="AS174">
        <v>0</v>
      </c>
      <c r="AT174">
        <v>0</v>
      </c>
      <c r="AU174">
        <v>0</v>
      </c>
      <c r="AV174">
        <v>0</v>
      </c>
      <c r="AX174">
        <v>0</v>
      </c>
      <c r="AY174">
        <v>0</v>
      </c>
      <c r="AZ174">
        <v>0</v>
      </c>
      <c r="BA174">
        <v>0</v>
      </c>
      <c r="BB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row>
    <row r="175" spans="1:79" x14ac:dyDescent="0.3">
      <c r="A175" s="155">
        <v>560</v>
      </c>
      <c r="B175" t="s">
        <v>935</v>
      </c>
      <c r="D175">
        <v>0</v>
      </c>
      <c r="E175">
        <v>0</v>
      </c>
      <c r="F175">
        <v>0</v>
      </c>
      <c r="G175">
        <v>0</v>
      </c>
      <c r="H175">
        <v>0</v>
      </c>
      <c r="I175">
        <v>0</v>
      </c>
      <c r="J175">
        <v>0</v>
      </c>
      <c r="K175">
        <v>0</v>
      </c>
      <c r="L175">
        <v>0</v>
      </c>
      <c r="M175">
        <v>0</v>
      </c>
      <c r="N175">
        <v>0</v>
      </c>
      <c r="O175">
        <v>0</v>
      </c>
      <c r="P175">
        <v>0</v>
      </c>
      <c r="Q175">
        <v>0</v>
      </c>
      <c r="R175">
        <v>0</v>
      </c>
      <c r="S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P175">
        <v>0</v>
      </c>
      <c r="AQ175">
        <v>0</v>
      </c>
      <c r="AR175">
        <v>0</v>
      </c>
      <c r="AS175">
        <v>0</v>
      </c>
      <c r="AT175">
        <v>0</v>
      </c>
      <c r="AU175">
        <v>0</v>
      </c>
      <c r="AV175">
        <v>0</v>
      </c>
      <c r="AX175">
        <v>0</v>
      </c>
      <c r="AY175">
        <v>0</v>
      </c>
      <c r="AZ175">
        <v>0</v>
      </c>
      <c r="BA175">
        <v>0</v>
      </c>
      <c r="BB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row>
    <row r="176" spans="1:79" x14ac:dyDescent="0.3">
      <c r="A176" s="155">
        <v>561</v>
      </c>
      <c r="B176" t="s">
        <v>936</v>
      </c>
      <c r="D176">
        <v>0</v>
      </c>
      <c r="E176">
        <v>0</v>
      </c>
      <c r="F176">
        <v>0</v>
      </c>
      <c r="G176">
        <v>0</v>
      </c>
      <c r="H176">
        <v>0</v>
      </c>
      <c r="I176">
        <v>0</v>
      </c>
      <c r="J176">
        <v>0</v>
      </c>
      <c r="K176">
        <v>0</v>
      </c>
      <c r="L176">
        <v>0</v>
      </c>
      <c r="M176">
        <v>0</v>
      </c>
      <c r="N176">
        <v>0</v>
      </c>
      <c r="O176">
        <v>0</v>
      </c>
      <c r="P176">
        <v>0</v>
      </c>
      <c r="Q176">
        <v>0</v>
      </c>
      <c r="R176">
        <v>0</v>
      </c>
      <c r="S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P176">
        <v>0</v>
      </c>
      <c r="AQ176">
        <v>0</v>
      </c>
      <c r="AR176">
        <v>0</v>
      </c>
      <c r="AS176">
        <v>0</v>
      </c>
      <c r="AT176">
        <v>0</v>
      </c>
      <c r="AU176">
        <v>0</v>
      </c>
      <c r="AV176">
        <v>0</v>
      </c>
      <c r="AX176">
        <v>0</v>
      </c>
      <c r="AY176">
        <v>0</v>
      </c>
      <c r="AZ176">
        <v>0</v>
      </c>
      <c r="BA176">
        <v>0</v>
      </c>
      <c r="BB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row>
    <row r="177" spans="1:79" x14ac:dyDescent="0.3">
      <c r="A177" s="155">
        <v>562</v>
      </c>
      <c r="B177" t="s">
        <v>937</v>
      </c>
      <c r="D177">
        <v>0</v>
      </c>
      <c r="E177">
        <v>0</v>
      </c>
      <c r="F177">
        <v>0</v>
      </c>
      <c r="G177">
        <v>0</v>
      </c>
      <c r="H177">
        <v>0</v>
      </c>
      <c r="I177">
        <v>0</v>
      </c>
      <c r="J177">
        <v>0</v>
      </c>
      <c r="K177">
        <v>0</v>
      </c>
      <c r="L177">
        <v>0</v>
      </c>
      <c r="M177">
        <v>0</v>
      </c>
      <c r="N177">
        <v>0</v>
      </c>
      <c r="O177">
        <v>0</v>
      </c>
      <c r="P177">
        <v>0</v>
      </c>
      <c r="Q177">
        <v>0</v>
      </c>
      <c r="R177">
        <v>0</v>
      </c>
      <c r="S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P177">
        <v>0</v>
      </c>
      <c r="AQ177">
        <v>0</v>
      </c>
      <c r="AR177">
        <v>0</v>
      </c>
      <c r="AS177">
        <v>0</v>
      </c>
      <c r="AT177">
        <v>0</v>
      </c>
      <c r="AU177">
        <v>0</v>
      </c>
      <c r="AV177">
        <v>0</v>
      </c>
      <c r="AX177">
        <v>0</v>
      </c>
      <c r="AY177">
        <v>0</v>
      </c>
      <c r="AZ177">
        <v>0</v>
      </c>
      <c r="BA177">
        <v>0</v>
      </c>
      <c r="BB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row>
    <row r="178" spans="1:79" x14ac:dyDescent="0.3">
      <c r="A178" s="155">
        <v>563</v>
      </c>
      <c r="B178" t="s">
        <v>938</v>
      </c>
      <c r="D178">
        <v>0</v>
      </c>
      <c r="E178">
        <v>0</v>
      </c>
      <c r="F178">
        <v>0</v>
      </c>
      <c r="G178">
        <v>0</v>
      </c>
      <c r="H178">
        <v>0</v>
      </c>
      <c r="I178">
        <v>0</v>
      </c>
      <c r="J178">
        <v>0</v>
      </c>
      <c r="K178">
        <v>0</v>
      </c>
      <c r="L178">
        <v>0</v>
      </c>
      <c r="M178">
        <v>0</v>
      </c>
      <c r="N178">
        <v>0</v>
      </c>
      <c r="O178">
        <v>0</v>
      </c>
      <c r="P178">
        <v>0</v>
      </c>
      <c r="Q178">
        <v>0</v>
      </c>
      <c r="R178">
        <v>0</v>
      </c>
      <c r="S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P178">
        <v>0</v>
      </c>
      <c r="AQ178">
        <v>0</v>
      </c>
      <c r="AR178">
        <v>0</v>
      </c>
      <c r="AS178">
        <v>0</v>
      </c>
      <c r="AT178">
        <v>0</v>
      </c>
      <c r="AU178">
        <v>0</v>
      </c>
      <c r="AV178">
        <v>0</v>
      </c>
      <c r="AX178">
        <v>0</v>
      </c>
      <c r="AY178">
        <v>0</v>
      </c>
      <c r="AZ178">
        <v>0</v>
      </c>
      <c r="BA178">
        <v>0</v>
      </c>
      <c r="BB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row>
    <row r="179" spans="1:79" x14ac:dyDescent="0.3">
      <c r="A179" s="155">
        <v>564</v>
      </c>
      <c r="B179" t="s">
        <v>939</v>
      </c>
      <c r="D179">
        <v>0</v>
      </c>
      <c r="E179">
        <v>0</v>
      </c>
      <c r="F179">
        <v>0</v>
      </c>
      <c r="G179">
        <v>0</v>
      </c>
      <c r="H179">
        <v>0</v>
      </c>
      <c r="I179">
        <v>0</v>
      </c>
      <c r="J179">
        <v>0</v>
      </c>
      <c r="K179">
        <v>0</v>
      </c>
      <c r="L179">
        <v>0</v>
      </c>
      <c r="M179">
        <v>0</v>
      </c>
      <c r="N179">
        <v>0</v>
      </c>
      <c r="O179">
        <v>0</v>
      </c>
      <c r="P179">
        <v>0</v>
      </c>
      <c r="Q179">
        <v>0</v>
      </c>
      <c r="R179">
        <v>0</v>
      </c>
      <c r="S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P179">
        <v>0</v>
      </c>
      <c r="AQ179">
        <v>0</v>
      </c>
      <c r="AR179">
        <v>0</v>
      </c>
      <c r="AS179">
        <v>0</v>
      </c>
      <c r="AT179">
        <v>0</v>
      </c>
      <c r="AU179">
        <v>0</v>
      </c>
      <c r="AV179">
        <v>0</v>
      </c>
      <c r="AX179">
        <v>0</v>
      </c>
      <c r="AY179">
        <v>0</v>
      </c>
      <c r="AZ179">
        <v>0</v>
      </c>
      <c r="BA179">
        <v>0</v>
      </c>
      <c r="BB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row>
    <row r="180" spans="1:79" x14ac:dyDescent="0.3">
      <c r="A180" s="155">
        <v>565</v>
      </c>
      <c r="B180" t="s">
        <v>940</v>
      </c>
      <c r="D180">
        <v>0</v>
      </c>
      <c r="E180">
        <v>0</v>
      </c>
      <c r="F180">
        <v>0</v>
      </c>
      <c r="G180">
        <v>0</v>
      </c>
      <c r="H180">
        <v>0</v>
      </c>
      <c r="I180">
        <v>0</v>
      </c>
      <c r="J180">
        <v>0</v>
      </c>
      <c r="K180">
        <v>0</v>
      </c>
      <c r="L180">
        <v>0</v>
      </c>
      <c r="M180">
        <v>0</v>
      </c>
      <c r="N180">
        <v>0</v>
      </c>
      <c r="O180">
        <v>0</v>
      </c>
      <c r="P180">
        <v>0</v>
      </c>
      <c r="Q180">
        <v>0</v>
      </c>
      <c r="R180">
        <v>0</v>
      </c>
      <c r="S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P180">
        <v>0</v>
      </c>
      <c r="AQ180">
        <v>0</v>
      </c>
      <c r="AR180">
        <v>0</v>
      </c>
      <c r="AS180">
        <v>0</v>
      </c>
      <c r="AT180">
        <v>0</v>
      </c>
      <c r="AU180">
        <v>0</v>
      </c>
      <c r="AV180">
        <v>0</v>
      </c>
      <c r="AX180">
        <v>0</v>
      </c>
      <c r="AY180">
        <v>0</v>
      </c>
      <c r="AZ180">
        <v>0</v>
      </c>
      <c r="BA180">
        <v>0</v>
      </c>
      <c r="BB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row>
    <row r="181" spans="1:79" x14ac:dyDescent="0.3">
      <c r="A181" s="155">
        <v>566</v>
      </c>
      <c r="B181" t="s">
        <v>941</v>
      </c>
      <c r="D181">
        <v>0</v>
      </c>
      <c r="E181">
        <v>0</v>
      </c>
      <c r="F181">
        <v>0</v>
      </c>
      <c r="G181">
        <v>0</v>
      </c>
      <c r="H181">
        <v>0</v>
      </c>
      <c r="I181">
        <v>0</v>
      </c>
      <c r="J181">
        <v>0</v>
      </c>
      <c r="K181">
        <v>0</v>
      </c>
      <c r="L181">
        <v>0</v>
      </c>
      <c r="M181">
        <v>0</v>
      </c>
      <c r="N181">
        <v>0</v>
      </c>
      <c r="O181">
        <v>0</v>
      </c>
      <c r="P181">
        <v>0</v>
      </c>
      <c r="Q181">
        <v>0</v>
      </c>
      <c r="R181">
        <v>0</v>
      </c>
      <c r="S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P181">
        <v>0</v>
      </c>
      <c r="AQ181">
        <v>0</v>
      </c>
      <c r="AR181">
        <v>0</v>
      </c>
      <c r="AS181">
        <v>0</v>
      </c>
      <c r="AT181">
        <v>0</v>
      </c>
      <c r="AU181">
        <v>0</v>
      </c>
      <c r="AV181">
        <v>0</v>
      </c>
      <c r="AX181">
        <v>0</v>
      </c>
      <c r="AY181">
        <v>0</v>
      </c>
      <c r="AZ181">
        <v>0</v>
      </c>
      <c r="BA181">
        <v>0</v>
      </c>
      <c r="BB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row>
    <row r="182" spans="1:79" x14ac:dyDescent="0.3">
      <c r="A182" s="155">
        <v>567</v>
      </c>
      <c r="B182" t="s">
        <v>942</v>
      </c>
      <c r="D182">
        <v>0</v>
      </c>
      <c r="E182">
        <v>0</v>
      </c>
      <c r="F182">
        <v>0</v>
      </c>
      <c r="G182">
        <v>0</v>
      </c>
      <c r="H182">
        <v>0</v>
      </c>
      <c r="I182">
        <v>0</v>
      </c>
      <c r="J182">
        <v>0</v>
      </c>
      <c r="K182">
        <v>0</v>
      </c>
      <c r="L182">
        <v>0</v>
      </c>
      <c r="M182">
        <v>0</v>
      </c>
      <c r="N182">
        <v>0</v>
      </c>
      <c r="O182">
        <v>0</v>
      </c>
      <c r="P182">
        <v>0</v>
      </c>
      <c r="Q182">
        <v>0</v>
      </c>
      <c r="R182">
        <v>0</v>
      </c>
      <c r="S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P182">
        <v>0</v>
      </c>
      <c r="AQ182">
        <v>0</v>
      </c>
      <c r="AR182">
        <v>0</v>
      </c>
      <c r="AS182">
        <v>0</v>
      </c>
      <c r="AT182">
        <v>0</v>
      </c>
      <c r="AU182">
        <v>0</v>
      </c>
      <c r="AV182">
        <v>0</v>
      </c>
      <c r="AX182">
        <v>0</v>
      </c>
      <c r="AY182">
        <v>0</v>
      </c>
      <c r="AZ182">
        <v>0</v>
      </c>
      <c r="BA182">
        <v>0</v>
      </c>
      <c r="BB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row>
    <row r="183" spans="1:79" x14ac:dyDescent="0.3">
      <c r="A183" s="155">
        <v>568</v>
      </c>
      <c r="B183" t="s">
        <v>943</v>
      </c>
      <c r="D183">
        <v>0</v>
      </c>
      <c r="E183">
        <v>0</v>
      </c>
      <c r="F183">
        <v>0</v>
      </c>
      <c r="G183">
        <v>0</v>
      </c>
      <c r="H183">
        <v>0</v>
      </c>
      <c r="I183">
        <v>0</v>
      </c>
      <c r="J183">
        <v>0</v>
      </c>
      <c r="K183">
        <v>0</v>
      </c>
      <c r="L183">
        <v>0</v>
      </c>
      <c r="M183">
        <v>0</v>
      </c>
      <c r="N183">
        <v>0</v>
      </c>
      <c r="O183">
        <v>0</v>
      </c>
      <c r="P183">
        <v>0</v>
      </c>
      <c r="Q183">
        <v>0</v>
      </c>
      <c r="R183">
        <v>0</v>
      </c>
      <c r="S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P183">
        <v>0</v>
      </c>
      <c r="AQ183">
        <v>0</v>
      </c>
      <c r="AR183">
        <v>0</v>
      </c>
      <c r="AS183">
        <v>0</v>
      </c>
      <c r="AT183">
        <v>0</v>
      </c>
      <c r="AU183">
        <v>0</v>
      </c>
      <c r="AV183">
        <v>0</v>
      </c>
      <c r="AX183">
        <v>0</v>
      </c>
      <c r="AY183">
        <v>0</v>
      </c>
      <c r="AZ183">
        <v>0</v>
      </c>
      <c r="BA183">
        <v>0</v>
      </c>
      <c r="BB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row>
    <row r="184" spans="1:79" x14ac:dyDescent="0.3">
      <c r="A184" s="155">
        <v>569</v>
      </c>
      <c r="B184" t="s">
        <v>944</v>
      </c>
      <c r="D184">
        <v>0</v>
      </c>
      <c r="E184">
        <v>0</v>
      </c>
      <c r="F184">
        <v>0</v>
      </c>
      <c r="G184">
        <v>0</v>
      </c>
      <c r="H184">
        <v>0</v>
      </c>
      <c r="I184">
        <v>0</v>
      </c>
      <c r="J184">
        <v>0</v>
      </c>
      <c r="K184">
        <v>0</v>
      </c>
      <c r="L184">
        <v>0</v>
      </c>
      <c r="M184">
        <v>0</v>
      </c>
      <c r="N184">
        <v>0</v>
      </c>
      <c r="O184">
        <v>0</v>
      </c>
      <c r="P184">
        <v>0</v>
      </c>
      <c r="Q184">
        <v>0</v>
      </c>
      <c r="R184">
        <v>0</v>
      </c>
      <c r="S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P184">
        <v>0</v>
      </c>
      <c r="AQ184">
        <v>0</v>
      </c>
      <c r="AR184">
        <v>0</v>
      </c>
      <c r="AS184">
        <v>0</v>
      </c>
      <c r="AT184">
        <v>0</v>
      </c>
      <c r="AU184">
        <v>0</v>
      </c>
      <c r="AV184">
        <v>0</v>
      </c>
      <c r="AX184">
        <v>0</v>
      </c>
      <c r="AY184">
        <v>0</v>
      </c>
      <c r="AZ184">
        <v>0</v>
      </c>
      <c r="BA184">
        <v>0</v>
      </c>
      <c r="BB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row>
    <row r="185" spans="1:79" x14ac:dyDescent="0.3">
      <c r="A185" s="155">
        <v>571</v>
      </c>
      <c r="B185" t="s">
        <v>671</v>
      </c>
      <c r="D185">
        <v>0</v>
      </c>
      <c r="E185">
        <v>0</v>
      </c>
      <c r="F185">
        <v>0</v>
      </c>
      <c r="G185">
        <v>0</v>
      </c>
      <c r="H185">
        <v>0</v>
      </c>
      <c r="I185">
        <v>0</v>
      </c>
      <c r="J185">
        <v>0</v>
      </c>
      <c r="K185">
        <v>0</v>
      </c>
      <c r="L185">
        <v>0</v>
      </c>
      <c r="M185">
        <v>0</v>
      </c>
      <c r="N185">
        <v>0</v>
      </c>
      <c r="O185">
        <v>0</v>
      </c>
      <c r="P185">
        <v>0</v>
      </c>
      <c r="Q185">
        <v>0</v>
      </c>
      <c r="R185">
        <v>0</v>
      </c>
      <c r="S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P185">
        <v>0</v>
      </c>
      <c r="AQ185">
        <v>0</v>
      </c>
      <c r="AR185">
        <v>0</v>
      </c>
      <c r="AS185">
        <v>0</v>
      </c>
      <c r="AT185">
        <v>0</v>
      </c>
      <c r="AU185">
        <v>0</v>
      </c>
      <c r="AV185">
        <v>0</v>
      </c>
      <c r="AX185">
        <v>0</v>
      </c>
      <c r="AY185">
        <v>0</v>
      </c>
      <c r="AZ185">
        <v>0</v>
      </c>
      <c r="BA185">
        <v>0</v>
      </c>
      <c r="BB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row>
    <row r="186" spans="1:79" x14ac:dyDescent="0.3">
      <c r="A186" s="155">
        <v>572</v>
      </c>
      <c r="B186" t="s">
        <v>672</v>
      </c>
      <c r="D186">
        <v>0</v>
      </c>
      <c r="E186">
        <v>0</v>
      </c>
      <c r="F186">
        <v>0</v>
      </c>
      <c r="G186">
        <v>0</v>
      </c>
      <c r="H186">
        <v>0</v>
      </c>
      <c r="I186">
        <v>0</v>
      </c>
      <c r="J186">
        <v>0</v>
      </c>
      <c r="K186">
        <v>0</v>
      </c>
      <c r="L186">
        <v>0</v>
      </c>
      <c r="M186">
        <v>0</v>
      </c>
      <c r="N186">
        <v>0</v>
      </c>
      <c r="O186">
        <v>0</v>
      </c>
      <c r="P186">
        <v>0</v>
      </c>
      <c r="Q186">
        <v>0</v>
      </c>
      <c r="R186">
        <v>0</v>
      </c>
      <c r="S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P186">
        <v>0</v>
      </c>
      <c r="AQ186">
        <v>0</v>
      </c>
      <c r="AR186">
        <v>0</v>
      </c>
      <c r="AS186">
        <v>0</v>
      </c>
      <c r="AT186">
        <v>0</v>
      </c>
      <c r="AU186">
        <v>0</v>
      </c>
      <c r="AV186">
        <v>0</v>
      </c>
      <c r="AX186">
        <v>0</v>
      </c>
      <c r="AY186">
        <v>0</v>
      </c>
      <c r="AZ186">
        <v>0</v>
      </c>
      <c r="BA186">
        <v>0</v>
      </c>
      <c r="BB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row>
    <row r="187" spans="1:79" x14ac:dyDescent="0.3">
      <c r="A187" s="155">
        <v>573</v>
      </c>
      <c r="B187" t="s">
        <v>789</v>
      </c>
      <c r="D187">
        <v>0</v>
      </c>
      <c r="E187">
        <v>0</v>
      </c>
      <c r="F187">
        <v>0</v>
      </c>
      <c r="G187">
        <v>0</v>
      </c>
      <c r="H187">
        <v>0</v>
      </c>
      <c r="I187">
        <v>0</v>
      </c>
      <c r="J187">
        <v>0</v>
      </c>
      <c r="K187">
        <v>0</v>
      </c>
      <c r="L187">
        <v>0</v>
      </c>
      <c r="M187">
        <v>0</v>
      </c>
      <c r="N187">
        <v>0</v>
      </c>
      <c r="O187">
        <v>0</v>
      </c>
      <c r="P187">
        <v>0</v>
      </c>
      <c r="Q187">
        <v>0</v>
      </c>
      <c r="R187">
        <v>0</v>
      </c>
      <c r="S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P187">
        <v>0</v>
      </c>
      <c r="AQ187">
        <v>0</v>
      </c>
      <c r="AR187">
        <v>0</v>
      </c>
      <c r="AS187">
        <v>0</v>
      </c>
      <c r="AT187">
        <v>0</v>
      </c>
      <c r="AU187">
        <v>0</v>
      </c>
      <c r="AV187">
        <v>0</v>
      </c>
      <c r="AX187">
        <v>0</v>
      </c>
      <c r="AY187">
        <v>0</v>
      </c>
      <c r="AZ187">
        <v>0</v>
      </c>
      <c r="BA187">
        <v>0</v>
      </c>
      <c r="BB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row>
    <row r="188" spans="1:79" x14ac:dyDescent="0.3">
      <c r="A188" s="155">
        <v>575</v>
      </c>
      <c r="B188" t="s">
        <v>302</v>
      </c>
      <c r="D188">
        <v>0</v>
      </c>
      <c r="E188">
        <v>0</v>
      </c>
      <c r="F188">
        <v>0</v>
      </c>
      <c r="G188">
        <v>341960</v>
      </c>
      <c r="H188">
        <v>0</v>
      </c>
      <c r="I188">
        <v>27196</v>
      </c>
      <c r="J188">
        <v>3796</v>
      </c>
      <c r="K188">
        <v>252269</v>
      </c>
      <c r="L188">
        <v>0</v>
      </c>
      <c r="M188">
        <v>0</v>
      </c>
      <c r="N188">
        <v>0</v>
      </c>
      <c r="O188">
        <v>0</v>
      </c>
      <c r="P188">
        <v>0</v>
      </c>
      <c r="Q188">
        <v>0</v>
      </c>
      <c r="R188">
        <v>0</v>
      </c>
      <c r="S188">
        <v>0</v>
      </c>
      <c r="U188">
        <v>0</v>
      </c>
      <c r="V188">
        <v>0</v>
      </c>
      <c r="W188">
        <v>0</v>
      </c>
      <c r="X188">
        <v>0</v>
      </c>
      <c r="Y188">
        <v>0</v>
      </c>
      <c r="Z188">
        <v>0</v>
      </c>
      <c r="AA188">
        <v>406609</v>
      </c>
      <c r="AB188">
        <v>0</v>
      </c>
      <c r="AC188">
        <v>0</v>
      </c>
      <c r="AD188">
        <v>62158</v>
      </c>
      <c r="AE188">
        <v>0</v>
      </c>
      <c r="AF188">
        <v>0</v>
      </c>
      <c r="AG188">
        <v>0</v>
      </c>
      <c r="AH188">
        <v>0</v>
      </c>
      <c r="AI188">
        <v>1550</v>
      </c>
      <c r="AJ188">
        <v>0</v>
      </c>
      <c r="AK188">
        <v>0</v>
      </c>
      <c r="AL188">
        <v>0</v>
      </c>
      <c r="AM188">
        <v>0</v>
      </c>
      <c r="AN188">
        <v>0</v>
      </c>
      <c r="AP188">
        <v>0</v>
      </c>
      <c r="AQ188">
        <v>0</v>
      </c>
      <c r="AR188">
        <v>0</v>
      </c>
      <c r="AS188">
        <v>0</v>
      </c>
      <c r="AT188">
        <v>0</v>
      </c>
      <c r="AU188">
        <v>0</v>
      </c>
      <c r="AV188">
        <v>0</v>
      </c>
      <c r="AX188">
        <v>0</v>
      </c>
      <c r="AY188">
        <v>8</v>
      </c>
      <c r="AZ188">
        <v>50000</v>
      </c>
      <c r="BA188">
        <v>0</v>
      </c>
      <c r="BB188">
        <v>0</v>
      </c>
      <c r="BD188">
        <v>0</v>
      </c>
      <c r="BE188">
        <v>0</v>
      </c>
      <c r="BF188">
        <v>0</v>
      </c>
      <c r="BG188">
        <v>0</v>
      </c>
      <c r="BH188">
        <v>0</v>
      </c>
      <c r="BI188">
        <v>0</v>
      </c>
      <c r="BJ188">
        <v>0</v>
      </c>
      <c r="BK188">
        <v>0</v>
      </c>
      <c r="BL188">
        <v>0</v>
      </c>
      <c r="BM188">
        <v>0</v>
      </c>
      <c r="BN188">
        <v>32369</v>
      </c>
      <c r="BO188">
        <v>0</v>
      </c>
      <c r="BP188">
        <v>0</v>
      </c>
      <c r="BQ188">
        <v>0</v>
      </c>
      <c r="BR188">
        <v>0</v>
      </c>
      <c r="BS188">
        <v>0</v>
      </c>
      <c r="BT188">
        <v>0</v>
      </c>
      <c r="BU188">
        <v>15773</v>
      </c>
      <c r="BV188">
        <v>6033</v>
      </c>
      <c r="BW188">
        <v>46830</v>
      </c>
      <c r="BX188">
        <v>0</v>
      </c>
      <c r="BY188">
        <v>0</v>
      </c>
      <c r="BZ188">
        <v>0</v>
      </c>
      <c r="CA188">
        <v>0</v>
      </c>
    </row>
    <row r="189" spans="1:79" x14ac:dyDescent="0.3">
      <c r="A189" s="155">
        <v>576</v>
      </c>
      <c r="B189" t="s">
        <v>303</v>
      </c>
      <c r="D189">
        <v>0</v>
      </c>
      <c r="E189">
        <v>0</v>
      </c>
      <c r="F189">
        <v>0</v>
      </c>
      <c r="G189">
        <v>0</v>
      </c>
      <c r="H189">
        <v>0</v>
      </c>
      <c r="I189">
        <v>0</v>
      </c>
      <c r="J189">
        <v>0</v>
      </c>
      <c r="K189">
        <v>0</v>
      </c>
      <c r="L189">
        <v>0</v>
      </c>
      <c r="M189">
        <v>0</v>
      </c>
      <c r="N189">
        <v>0</v>
      </c>
      <c r="O189">
        <v>0</v>
      </c>
      <c r="P189">
        <v>0</v>
      </c>
      <c r="Q189">
        <v>0</v>
      </c>
      <c r="R189">
        <v>0</v>
      </c>
      <c r="S189">
        <v>0</v>
      </c>
      <c r="U189">
        <v>0</v>
      </c>
      <c r="V189">
        <v>0</v>
      </c>
      <c r="W189">
        <v>0</v>
      </c>
      <c r="X189">
        <v>0</v>
      </c>
      <c r="Y189">
        <v>0</v>
      </c>
      <c r="Z189">
        <v>156995</v>
      </c>
      <c r="AA189">
        <v>0</v>
      </c>
      <c r="AB189">
        <v>0</v>
      </c>
      <c r="AC189">
        <v>0</v>
      </c>
      <c r="AD189">
        <v>0</v>
      </c>
      <c r="AE189">
        <v>0</v>
      </c>
      <c r="AF189">
        <v>0</v>
      </c>
      <c r="AG189">
        <v>0</v>
      </c>
      <c r="AH189">
        <v>0</v>
      </c>
      <c r="AI189">
        <v>0</v>
      </c>
      <c r="AJ189">
        <v>0</v>
      </c>
      <c r="AK189">
        <v>2123</v>
      </c>
      <c r="AL189">
        <v>0</v>
      </c>
      <c r="AM189">
        <v>0</v>
      </c>
      <c r="AN189">
        <v>0</v>
      </c>
      <c r="AP189">
        <v>0</v>
      </c>
      <c r="AQ189">
        <v>3445979</v>
      </c>
      <c r="AR189">
        <v>0</v>
      </c>
      <c r="AS189">
        <v>0</v>
      </c>
      <c r="AT189">
        <v>0</v>
      </c>
      <c r="AU189">
        <v>2394830</v>
      </c>
      <c r="AV189">
        <v>51096</v>
      </c>
      <c r="AX189">
        <v>0</v>
      </c>
      <c r="AY189">
        <v>0</v>
      </c>
      <c r="AZ189">
        <v>0</v>
      </c>
      <c r="BA189">
        <v>0</v>
      </c>
      <c r="BB189">
        <v>0</v>
      </c>
      <c r="BD189">
        <v>0</v>
      </c>
      <c r="BE189">
        <v>2212000</v>
      </c>
      <c r="BF189">
        <v>0</v>
      </c>
      <c r="BG189">
        <v>0</v>
      </c>
      <c r="BH189">
        <v>0</v>
      </c>
      <c r="BI189">
        <v>0</v>
      </c>
      <c r="BJ189">
        <v>0</v>
      </c>
      <c r="BK189">
        <v>0</v>
      </c>
      <c r="BL189">
        <v>0</v>
      </c>
      <c r="BM189">
        <v>0</v>
      </c>
      <c r="BN189">
        <v>0</v>
      </c>
      <c r="BO189">
        <v>127203</v>
      </c>
      <c r="BP189">
        <v>0</v>
      </c>
      <c r="BQ189">
        <v>0</v>
      </c>
      <c r="BR189">
        <v>0</v>
      </c>
      <c r="BS189">
        <v>0</v>
      </c>
      <c r="BT189">
        <v>0</v>
      </c>
      <c r="BU189">
        <v>0</v>
      </c>
      <c r="BV189">
        <v>0</v>
      </c>
      <c r="BW189">
        <v>0</v>
      </c>
      <c r="BX189">
        <v>0</v>
      </c>
      <c r="BY189">
        <v>0</v>
      </c>
      <c r="BZ189">
        <v>0</v>
      </c>
      <c r="CA189">
        <v>0</v>
      </c>
    </row>
    <row r="190" spans="1:79" x14ac:dyDescent="0.3">
      <c r="A190" s="155">
        <v>577</v>
      </c>
      <c r="B190" t="s">
        <v>945</v>
      </c>
      <c r="D190">
        <v>2</v>
      </c>
      <c r="E190">
        <v>2</v>
      </c>
      <c r="F190">
        <v>2</v>
      </c>
      <c r="G190">
        <v>2</v>
      </c>
      <c r="H190">
        <v>2</v>
      </c>
      <c r="J190">
        <v>2</v>
      </c>
      <c r="K190">
        <v>2</v>
      </c>
      <c r="L190">
        <v>2</v>
      </c>
      <c r="N190">
        <v>2</v>
      </c>
      <c r="O190">
        <v>2</v>
      </c>
      <c r="P190">
        <v>2</v>
      </c>
      <c r="Q190">
        <v>2</v>
      </c>
      <c r="R190">
        <v>2</v>
      </c>
      <c r="S190">
        <v>2</v>
      </c>
      <c r="U190">
        <v>2</v>
      </c>
      <c r="W190">
        <v>2</v>
      </c>
      <c r="X190">
        <v>2</v>
      </c>
      <c r="Y190">
        <v>2</v>
      </c>
      <c r="Z190">
        <v>2</v>
      </c>
      <c r="AA190">
        <v>2</v>
      </c>
      <c r="AD190">
        <v>2</v>
      </c>
      <c r="AE190">
        <v>2</v>
      </c>
      <c r="AF190">
        <v>2</v>
      </c>
      <c r="AI190">
        <v>2</v>
      </c>
      <c r="AJ190">
        <v>2</v>
      </c>
      <c r="AK190">
        <v>2</v>
      </c>
      <c r="AM190">
        <v>2</v>
      </c>
      <c r="AN190">
        <v>2</v>
      </c>
      <c r="AP190">
        <v>2</v>
      </c>
      <c r="AQ190">
        <v>2</v>
      </c>
      <c r="AR190">
        <v>2</v>
      </c>
      <c r="AS190">
        <v>2</v>
      </c>
      <c r="AT190">
        <v>2</v>
      </c>
      <c r="AU190">
        <v>2</v>
      </c>
      <c r="AV190">
        <v>2</v>
      </c>
      <c r="AX190">
        <v>2</v>
      </c>
      <c r="AY190">
        <v>2</v>
      </c>
      <c r="AZ190">
        <v>2</v>
      </c>
      <c r="BA190">
        <v>2</v>
      </c>
      <c r="BB190">
        <v>2</v>
      </c>
      <c r="BE190">
        <v>2</v>
      </c>
      <c r="BF190">
        <v>2</v>
      </c>
      <c r="BH190">
        <v>2</v>
      </c>
      <c r="BI190">
        <v>2</v>
      </c>
      <c r="BK190">
        <v>2</v>
      </c>
      <c r="BM190">
        <v>2</v>
      </c>
      <c r="BN190">
        <v>2</v>
      </c>
      <c r="BO190">
        <v>2</v>
      </c>
      <c r="BP190">
        <v>2</v>
      </c>
      <c r="BQ190">
        <v>2</v>
      </c>
      <c r="BR190">
        <v>2</v>
      </c>
      <c r="BS190">
        <v>2</v>
      </c>
      <c r="BT190">
        <v>2</v>
      </c>
      <c r="BU190">
        <v>2</v>
      </c>
      <c r="BV190">
        <v>2</v>
      </c>
      <c r="BX190">
        <v>2</v>
      </c>
      <c r="BY190">
        <v>2</v>
      </c>
      <c r="BZ190">
        <v>2</v>
      </c>
      <c r="CA190">
        <v>2</v>
      </c>
    </row>
    <row r="191" spans="1:79" x14ac:dyDescent="0.3">
      <c r="A191" s="155">
        <v>578</v>
      </c>
      <c r="B191" t="s">
        <v>946</v>
      </c>
      <c r="D191">
        <v>0</v>
      </c>
      <c r="E191">
        <v>0</v>
      </c>
      <c r="F191">
        <v>0</v>
      </c>
      <c r="G191">
        <v>0</v>
      </c>
      <c r="H191">
        <v>0</v>
      </c>
      <c r="I191">
        <v>0</v>
      </c>
      <c r="J191">
        <v>0</v>
      </c>
      <c r="K191">
        <v>252269</v>
      </c>
      <c r="L191">
        <v>0</v>
      </c>
      <c r="M191">
        <v>0</v>
      </c>
      <c r="N191">
        <v>0</v>
      </c>
      <c r="O191">
        <v>0</v>
      </c>
      <c r="P191">
        <v>0</v>
      </c>
      <c r="Q191">
        <v>0</v>
      </c>
      <c r="R191">
        <v>0</v>
      </c>
      <c r="S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P191">
        <v>0</v>
      </c>
      <c r="AQ191">
        <v>0</v>
      </c>
      <c r="AR191">
        <v>0</v>
      </c>
      <c r="AS191">
        <v>0</v>
      </c>
      <c r="AT191">
        <v>0</v>
      </c>
      <c r="AU191">
        <v>0</v>
      </c>
      <c r="AV191">
        <v>0</v>
      </c>
      <c r="AX191">
        <v>0</v>
      </c>
      <c r="AY191">
        <v>0</v>
      </c>
      <c r="AZ191">
        <v>0</v>
      </c>
      <c r="BA191">
        <v>0</v>
      </c>
      <c r="BB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row>
    <row r="192" spans="1:79" x14ac:dyDescent="0.3">
      <c r="A192" s="155">
        <v>579</v>
      </c>
      <c r="B192" t="s">
        <v>947</v>
      </c>
      <c r="D192">
        <v>0</v>
      </c>
      <c r="E192">
        <v>0</v>
      </c>
      <c r="F192">
        <v>0</v>
      </c>
      <c r="G192">
        <v>0</v>
      </c>
      <c r="H192">
        <v>0</v>
      </c>
      <c r="I192">
        <v>0</v>
      </c>
      <c r="J192">
        <v>0</v>
      </c>
      <c r="K192">
        <v>0</v>
      </c>
      <c r="L192">
        <v>0</v>
      </c>
      <c r="M192">
        <v>0</v>
      </c>
      <c r="N192">
        <v>0</v>
      </c>
      <c r="O192">
        <v>0</v>
      </c>
      <c r="P192">
        <v>0</v>
      </c>
      <c r="Q192">
        <v>0</v>
      </c>
      <c r="R192">
        <v>0</v>
      </c>
      <c r="S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P192">
        <v>0</v>
      </c>
      <c r="AQ192">
        <v>0</v>
      </c>
      <c r="AR192">
        <v>0</v>
      </c>
      <c r="AS192">
        <v>0</v>
      </c>
      <c r="AT192">
        <v>0</v>
      </c>
      <c r="AU192">
        <v>0</v>
      </c>
      <c r="AV192">
        <v>0</v>
      </c>
      <c r="AX192">
        <v>0</v>
      </c>
      <c r="AY192">
        <v>0</v>
      </c>
      <c r="AZ192">
        <v>0</v>
      </c>
      <c r="BA192">
        <v>0</v>
      </c>
      <c r="BB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row>
    <row r="193" spans="1:79" x14ac:dyDescent="0.3">
      <c r="A193" s="155">
        <v>580</v>
      </c>
      <c r="B193" t="s">
        <v>948</v>
      </c>
      <c r="D193">
        <v>0</v>
      </c>
      <c r="E193">
        <v>0</v>
      </c>
      <c r="F193">
        <v>0</v>
      </c>
      <c r="G193">
        <v>0</v>
      </c>
      <c r="H193">
        <v>0</v>
      </c>
      <c r="I193">
        <v>0</v>
      </c>
      <c r="J193">
        <v>0</v>
      </c>
      <c r="K193">
        <v>0</v>
      </c>
      <c r="L193">
        <v>0</v>
      </c>
      <c r="M193">
        <v>0</v>
      </c>
      <c r="N193">
        <v>0</v>
      </c>
      <c r="O193">
        <v>0</v>
      </c>
      <c r="P193">
        <v>0</v>
      </c>
      <c r="Q193">
        <v>0</v>
      </c>
      <c r="R193">
        <v>0</v>
      </c>
      <c r="S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P193">
        <v>0</v>
      </c>
      <c r="AQ193">
        <v>0</v>
      </c>
      <c r="AR193">
        <v>0</v>
      </c>
      <c r="AS193">
        <v>0</v>
      </c>
      <c r="AT193">
        <v>0</v>
      </c>
      <c r="AU193">
        <v>0</v>
      </c>
      <c r="AV193">
        <v>0</v>
      </c>
      <c r="AX193">
        <v>0</v>
      </c>
      <c r="AY193">
        <v>0</v>
      </c>
      <c r="AZ193">
        <v>0</v>
      </c>
      <c r="BA193">
        <v>0</v>
      </c>
      <c r="BB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row>
    <row r="194" spans="1:79" x14ac:dyDescent="0.3">
      <c r="A194" s="155">
        <v>581</v>
      </c>
      <c r="B194" t="s">
        <v>949</v>
      </c>
      <c r="D194">
        <v>0</v>
      </c>
      <c r="E194">
        <v>0</v>
      </c>
      <c r="F194">
        <v>0</v>
      </c>
      <c r="G194">
        <v>0</v>
      </c>
      <c r="H194">
        <v>0</v>
      </c>
      <c r="I194">
        <v>0</v>
      </c>
      <c r="J194">
        <v>0</v>
      </c>
      <c r="K194">
        <v>0</v>
      </c>
      <c r="L194">
        <v>0</v>
      </c>
      <c r="M194">
        <v>0</v>
      </c>
      <c r="N194">
        <v>0</v>
      </c>
      <c r="O194">
        <v>0</v>
      </c>
      <c r="P194">
        <v>0</v>
      </c>
      <c r="Q194">
        <v>0</v>
      </c>
      <c r="R194">
        <v>0</v>
      </c>
      <c r="S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P194">
        <v>0</v>
      </c>
      <c r="AQ194">
        <v>0</v>
      </c>
      <c r="AR194">
        <v>0</v>
      </c>
      <c r="AS194">
        <v>0</v>
      </c>
      <c r="AT194">
        <v>0</v>
      </c>
      <c r="AU194">
        <v>2394830</v>
      </c>
      <c r="AV194">
        <v>0</v>
      </c>
      <c r="AX194">
        <v>0</v>
      </c>
      <c r="AY194">
        <v>0</v>
      </c>
      <c r="AZ194">
        <v>0</v>
      </c>
      <c r="BA194">
        <v>0</v>
      </c>
      <c r="BB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row>
    <row r="195" spans="1:79" x14ac:dyDescent="0.3">
      <c r="A195" s="155">
        <v>585</v>
      </c>
      <c r="B195" t="s">
        <v>950</v>
      </c>
      <c r="D195">
        <v>0</v>
      </c>
      <c r="E195">
        <v>0</v>
      </c>
      <c r="F195">
        <v>0</v>
      </c>
      <c r="G195">
        <v>0</v>
      </c>
      <c r="H195">
        <v>0</v>
      </c>
      <c r="I195">
        <v>0</v>
      </c>
      <c r="J195">
        <v>0</v>
      </c>
      <c r="K195">
        <v>0</v>
      </c>
      <c r="L195">
        <v>0</v>
      </c>
      <c r="M195">
        <v>0</v>
      </c>
      <c r="N195">
        <v>0</v>
      </c>
      <c r="O195">
        <v>0</v>
      </c>
      <c r="P195">
        <v>0</v>
      </c>
      <c r="Q195">
        <v>0</v>
      </c>
      <c r="R195">
        <v>0</v>
      </c>
      <c r="S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P195">
        <v>0</v>
      </c>
      <c r="AQ195">
        <v>0</v>
      </c>
      <c r="AR195">
        <v>0</v>
      </c>
      <c r="AS195">
        <v>0</v>
      </c>
      <c r="AT195">
        <v>0</v>
      </c>
      <c r="AU195">
        <v>0</v>
      </c>
      <c r="AV195">
        <v>0</v>
      </c>
      <c r="AX195">
        <v>0</v>
      </c>
      <c r="AY195">
        <v>0</v>
      </c>
      <c r="AZ195">
        <v>0</v>
      </c>
      <c r="BA195">
        <v>0</v>
      </c>
      <c r="BB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row>
    <row r="196" spans="1:79" x14ac:dyDescent="0.3">
      <c r="A196" s="155">
        <v>586</v>
      </c>
      <c r="B196" t="s">
        <v>951</v>
      </c>
      <c r="D196">
        <v>0</v>
      </c>
      <c r="E196">
        <v>0</v>
      </c>
      <c r="F196">
        <v>0</v>
      </c>
      <c r="G196">
        <v>0</v>
      </c>
      <c r="H196">
        <v>0</v>
      </c>
      <c r="I196">
        <v>0</v>
      </c>
      <c r="J196">
        <v>0</v>
      </c>
      <c r="K196">
        <v>272949</v>
      </c>
      <c r="L196">
        <v>0</v>
      </c>
      <c r="M196">
        <v>0</v>
      </c>
      <c r="N196">
        <v>0</v>
      </c>
      <c r="O196">
        <v>0</v>
      </c>
      <c r="P196">
        <v>0</v>
      </c>
      <c r="Q196">
        <v>0</v>
      </c>
      <c r="R196">
        <v>0</v>
      </c>
      <c r="S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P196">
        <v>0</v>
      </c>
      <c r="AQ196">
        <v>0</v>
      </c>
      <c r="AR196">
        <v>0</v>
      </c>
      <c r="AS196">
        <v>0</v>
      </c>
      <c r="AT196">
        <v>0</v>
      </c>
      <c r="AU196">
        <v>0</v>
      </c>
      <c r="AV196">
        <v>0</v>
      </c>
      <c r="AX196">
        <v>0</v>
      </c>
      <c r="AY196">
        <v>0</v>
      </c>
      <c r="AZ196">
        <v>0</v>
      </c>
      <c r="BA196">
        <v>0</v>
      </c>
      <c r="BB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row>
    <row r="197" spans="1:79" x14ac:dyDescent="0.3">
      <c r="A197" s="155">
        <v>587</v>
      </c>
      <c r="B197" t="s">
        <v>952</v>
      </c>
      <c r="D197">
        <v>0</v>
      </c>
      <c r="E197">
        <v>0</v>
      </c>
      <c r="F197">
        <v>0</v>
      </c>
      <c r="G197">
        <v>0</v>
      </c>
      <c r="H197">
        <v>0</v>
      </c>
      <c r="I197">
        <v>0</v>
      </c>
      <c r="J197">
        <v>0</v>
      </c>
      <c r="K197">
        <v>0</v>
      </c>
      <c r="L197">
        <v>0</v>
      </c>
      <c r="M197">
        <v>0</v>
      </c>
      <c r="N197">
        <v>0</v>
      </c>
      <c r="O197">
        <v>0</v>
      </c>
      <c r="P197">
        <v>0</v>
      </c>
      <c r="Q197">
        <v>0</v>
      </c>
      <c r="R197">
        <v>0</v>
      </c>
      <c r="S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P197">
        <v>0</v>
      </c>
      <c r="AQ197">
        <v>0</v>
      </c>
      <c r="AR197">
        <v>0</v>
      </c>
      <c r="AS197">
        <v>0</v>
      </c>
      <c r="AT197">
        <v>0</v>
      </c>
      <c r="AU197">
        <v>0</v>
      </c>
      <c r="AV197">
        <v>0</v>
      </c>
      <c r="AX197">
        <v>0</v>
      </c>
      <c r="AY197">
        <v>0</v>
      </c>
      <c r="AZ197">
        <v>0</v>
      </c>
      <c r="BA197">
        <v>0</v>
      </c>
      <c r="BB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row>
    <row r="198" spans="1:79" x14ac:dyDescent="0.3">
      <c r="A198" s="155">
        <v>588</v>
      </c>
      <c r="B198" t="s">
        <v>953</v>
      </c>
      <c r="D198">
        <v>0</v>
      </c>
      <c r="E198">
        <v>0</v>
      </c>
      <c r="F198">
        <v>0</v>
      </c>
      <c r="G198">
        <v>0</v>
      </c>
      <c r="H198">
        <v>0</v>
      </c>
      <c r="I198">
        <v>0</v>
      </c>
      <c r="J198">
        <v>0</v>
      </c>
      <c r="K198">
        <v>0</v>
      </c>
      <c r="L198">
        <v>0</v>
      </c>
      <c r="M198">
        <v>0</v>
      </c>
      <c r="N198">
        <v>0</v>
      </c>
      <c r="O198">
        <v>0</v>
      </c>
      <c r="P198">
        <v>0</v>
      </c>
      <c r="Q198">
        <v>0</v>
      </c>
      <c r="R198">
        <v>0</v>
      </c>
      <c r="S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P198">
        <v>0</v>
      </c>
      <c r="AQ198">
        <v>0</v>
      </c>
      <c r="AR198">
        <v>0</v>
      </c>
      <c r="AS198">
        <v>0</v>
      </c>
      <c r="AT198">
        <v>0</v>
      </c>
      <c r="AU198">
        <v>0</v>
      </c>
      <c r="AV198">
        <v>0</v>
      </c>
      <c r="AX198">
        <v>0</v>
      </c>
      <c r="AY198">
        <v>0</v>
      </c>
      <c r="AZ198">
        <v>0</v>
      </c>
      <c r="BA198">
        <v>0</v>
      </c>
      <c r="BB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row>
    <row r="199" spans="1:79" x14ac:dyDescent="0.3">
      <c r="A199" s="155">
        <v>589</v>
      </c>
      <c r="B199" t="s">
        <v>954</v>
      </c>
      <c r="D199">
        <v>0</v>
      </c>
      <c r="E199">
        <v>0</v>
      </c>
      <c r="F199">
        <v>0</v>
      </c>
      <c r="G199">
        <v>0</v>
      </c>
      <c r="H199">
        <v>0</v>
      </c>
      <c r="I199">
        <v>0</v>
      </c>
      <c r="J199">
        <v>0</v>
      </c>
      <c r="K199">
        <v>0</v>
      </c>
      <c r="L199">
        <v>0</v>
      </c>
      <c r="M199">
        <v>0</v>
      </c>
      <c r="N199">
        <v>0</v>
      </c>
      <c r="O199">
        <v>0</v>
      </c>
      <c r="P199">
        <v>0</v>
      </c>
      <c r="Q199">
        <v>0</v>
      </c>
      <c r="R199">
        <v>0</v>
      </c>
      <c r="S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P199">
        <v>0</v>
      </c>
      <c r="AQ199">
        <v>0</v>
      </c>
      <c r="AR199">
        <v>0</v>
      </c>
      <c r="AS199">
        <v>0</v>
      </c>
      <c r="AT199">
        <v>0</v>
      </c>
      <c r="AU199">
        <v>0</v>
      </c>
      <c r="AV199">
        <v>0</v>
      </c>
      <c r="AX199">
        <v>0</v>
      </c>
      <c r="AY199">
        <v>0</v>
      </c>
      <c r="AZ199">
        <v>0</v>
      </c>
      <c r="BA199">
        <v>0</v>
      </c>
      <c r="BB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row>
    <row r="200" spans="1:79" x14ac:dyDescent="0.3">
      <c r="A200" s="155">
        <v>590</v>
      </c>
      <c r="B200" t="s">
        <v>1668</v>
      </c>
      <c r="G200" t="s">
        <v>430</v>
      </c>
      <c r="H200" t="s">
        <v>430</v>
      </c>
      <c r="V200" t="s">
        <v>324</v>
      </c>
      <c r="AC200" t="s">
        <v>1734</v>
      </c>
      <c r="AH200" t="s">
        <v>324</v>
      </c>
      <c r="AP200" t="s">
        <v>324</v>
      </c>
      <c r="AR200" t="s">
        <v>324</v>
      </c>
      <c r="AT200" t="s">
        <v>430</v>
      </c>
      <c r="BQ200" t="s">
        <v>1734</v>
      </c>
      <c r="BY200" t="s">
        <v>430</v>
      </c>
      <c r="CA200" t="s">
        <v>430</v>
      </c>
    </row>
    <row r="201" spans="1:79" x14ac:dyDescent="0.3">
      <c r="A201" s="155">
        <v>591</v>
      </c>
      <c r="B201" t="s">
        <v>329</v>
      </c>
      <c r="D201">
        <v>0</v>
      </c>
      <c r="E201">
        <v>574074</v>
      </c>
      <c r="F201">
        <v>305939</v>
      </c>
      <c r="G201">
        <v>32453654</v>
      </c>
      <c r="H201">
        <v>3440530</v>
      </c>
      <c r="I201">
        <v>0</v>
      </c>
      <c r="J201">
        <v>929294</v>
      </c>
      <c r="K201">
        <v>924241</v>
      </c>
      <c r="L201">
        <v>30065791</v>
      </c>
      <c r="M201">
        <v>0</v>
      </c>
      <c r="N201">
        <v>706953</v>
      </c>
      <c r="O201">
        <v>1519177</v>
      </c>
      <c r="P201">
        <v>1519176</v>
      </c>
      <c r="Q201">
        <v>4427489</v>
      </c>
      <c r="R201">
        <v>6023606</v>
      </c>
      <c r="S201">
        <v>22219126</v>
      </c>
      <c r="U201">
        <v>61178635</v>
      </c>
      <c r="V201">
        <v>0</v>
      </c>
      <c r="W201">
        <v>0</v>
      </c>
      <c r="X201">
        <v>6527</v>
      </c>
      <c r="Y201">
        <v>2140591</v>
      </c>
      <c r="Z201">
        <v>4784515</v>
      </c>
      <c r="AA201">
        <v>1678192</v>
      </c>
      <c r="AB201">
        <v>0</v>
      </c>
      <c r="AC201">
        <v>95604</v>
      </c>
      <c r="AD201">
        <v>1234818</v>
      </c>
      <c r="AE201">
        <v>7888023</v>
      </c>
      <c r="AF201">
        <v>72538</v>
      </c>
      <c r="AG201">
        <v>0</v>
      </c>
      <c r="AH201">
        <v>0</v>
      </c>
      <c r="AI201">
        <v>429498</v>
      </c>
      <c r="AJ201">
        <v>22279799</v>
      </c>
      <c r="AK201">
        <v>210373</v>
      </c>
      <c r="AL201">
        <v>0</v>
      </c>
      <c r="AM201">
        <v>5338601</v>
      </c>
      <c r="AN201">
        <v>7866224</v>
      </c>
      <c r="AP201">
        <v>0</v>
      </c>
      <c r="AQ201">
        <v>67420935</v>
      </c>
      <c r="AR201">
        <v>1781990</v>
      </c>
      <c r="AS201">
        <v>409023</v>
      </c>
      <c r="AT201">
        <v>3035242</v>
      </c>
      <c r="AU201">
        <v>14330225</v>
      </c>
      <c r="AV201">
        <v>343064</v>
      </c>
      <c r="AX201">
        <v>1239236</v>
      </c>
      <c r="AY201">
        <v>2153705</v>
      </c>
      <c r="AZ201">
        <v>9930024</v>
      </c>
      <c r="BA201">
        <v>28800</v>
      </c>
      <c r="BB201">
        <v>1484848</v>
      </c>
      <c r="BD201">
        <v>0</v>
      </c>
      <c r="BE201">
        <v>41416207</v>
      </c>
      <c r="BF201">
        <v>831592</v>
      </c>
      <c r="BG201">
        <v>0</v>
      </c>
      <c r="BH201">
        <v>1673534</v>
      </c>
      <c r="BI201">
        <v>838851</v>
      </c>
      <c r="BJ201">
        <v>649149</v>
      </c>
      <c r="BK201">
        <v>10033758</v>
      </c>
      <c r="BL201">
        <v>1979961</v>
      </c>
      <c r="BM201">
        <v>0</v>
      </c>
      <c r="BN201">
        <v>4161977</v>
      </c>
      <c r="BO201">
        <v>1033759</v>
      </c>
      <c r="BP201">
        <v>840001</v>
      </c>
      <c r="BQ201">
        <v>1475861</v>
      </c>
      <c r="BR201">
        <v>0</v>
      </c>
      <c r="BS201">
        <v>0</v>
      </c>
      <c r="BT201">
        <v>906889</v>
      </c>
      <c r="BU201">
        <v>2598077</v>
      </c>
      <c r="BV201">
        <v>534678</v>
      </c>
      <c r="BW201">
        <v>1372501</v>
      </c>
      <c r="BX201">
        <v>0</v>
      </c>
      <c r="BY201">
        <v>0</v>
      </c>
      <c r="BZ201">
        <v>7656961</v>
      </c>
      <c r="CA201">
        <v>0</v>
      </c>
    </row>
    <row r="202" spans="1:79" x14ac:dyDescent="0.3">
      <c r="A202" s="155">
        <v>592</v>
      </c>
      <c r="B202" t="s">
        <v>330</v>
      </c>
      <c r="D202">
        <v>0</v>
      </c>
      <c r="E202">
        <v>944551</v>
      </c>
      <c r="F202">
        <v>-20754</v>
      </c>
      <c r="G202">
        <v>3459712</v>
      </c>
      <c r="H202">
        <v>316099</v>
      </c>
      <c r="I202">
        <v>0</v>
      </c>
      <c r="J202">
        <v>160068</v>
      </c>
      <c r="K202">
        <v>233443</v>
      </c>
      <c r="L202">
        <v>4930392</v>
      </c>
      <c r="M202">
        <v>0</v>
      </c>
      <c r="N202">
        <v>-122255</v>
      </c>
      <c r="O202">
        <v>170364</v>
      </c>
      <c r="P202">
        <v>-111787</v>
      </c>
      <c r="Q202">
        <v>1035334</v>
      </c>
      <c r="R202">
        <v>598032</v>
      </c>
      <c r="S202">
        <v>162667</v>
      </c>
      <c r="U202">
        <v>8881573</v>
      </c>
      <c r="V202">
        <v>0</v>
      </c>
      <c r="W202">
        <v>0</v>
      </c>
      <c r="X202">
        <v>133</v>
      </c>
      <c r="Y202">
        <v>401881</v>
      </c>
      <c r="Z202">
        <v>94489</v>
      </c>
      <c r="AA202">
        <v>699400</v>
      </c>
      <c r="AB202">
        <v>0</v>
      </c>
      <c r="AC202">
        <v>36111</v>
      </c>
      <c r="AD202">
        <v>115702</v>
      </c>
      <c r="AE202">
        <v>643853</v>
      </c>
      <c r="AF202">
        <v>-29757</v>
      </c>
      <c r="AG202">
        <v>0</v>
      </c>
      <c r="AH202">
        <v>0</v>
      </c>
      <c r="AI202">
        <v>-1494109</v>
      </c>
      <c r="AJ202">
        <v>3534201</v>
      </c>
      <c r="AK202">
        <v>-90485</v>
      </c>
      <c r="AL202">
        <v>0</v>
      </c>
      <c r="AM202">
        <v>-52417044</v>
      </c>
      <c r="AN202">
        <v>1883457</v>
      </c>
      <c r="AP202">
        <v>0</v>
      </c>
      <c r="AQ202">
        <v>11285199</v>
      </c>
      <c r="AR202">
        <v>-281103</v>
      </c>
      <c r="AS202">
        <v>-115101</v>
      </c>
      <c r="AT202">
        <v>4298</v>
      </c>
      <c r="AU202">
        <v>1863692</v>
      </c>
      <c r="AV202">
        <v>69888</v>
      </c>
      <c r="AX202">
        <v>697113</v>
      </c>
      <c r="AY202">
        <v>-80280</v>
      </c>
      <c r="AZ202">
        <v>-474486</v>
      </c>
      <c r="BA202">
        <v>-13641</v>
      </c>
      <c r="BB202">
        <v>76698</v>
      </c>
      <c r="BD202">
        <v>0</v>
      </c>
      <c r="BE202">
        <v>1157223</v>
      </c>
      <c r="BF202">
        <v>-171716</v>
      </c>
      <c r="BG202">
        <v>0</v>
      </c>
      <c r="BH202">
        <v>-112952</v>
      </c>
      <c r="BI202">
        <v>247214</v>
      </c>
      <c r="BJ202">
        <v>-152485</v>
      </c>
      <c r="BK202">
        <v>2144797</v>
      </c>
      <c r="BL202">
        <v>115605</v>
      </c>
      <c r="BM202">
        <v>0</v>
      </c>
      <c r="BN202">
        <v>-432999</v>
      </c>
      <c r="BO202">
        <v>65592</v>
      </c>
      <c r="BP202">
        <v>-89226</v>
      </c>
      <c r="BQ202">
        <v>1672714</v>
      </c>
      <c r="BR202">
        <v>0</v>
      </c>
      <c r="BS202">
        <v>0</v>
      </c>
      <c r="BT202">
        <v>-142540</v>
      </c>
      <c r="BU202">
        <v>-73024</v>
      </c>
      <c r="BV202">
        <v>315042</v>
      </c>
      <c r="BW202">
        <v>236862</v>
      </c>
      <c r="BX202">
        <v>0</v>
      </c>
      <c r="BY202">
        <v>0</v>
      </c>
      <c r="BZ202">
        <v>4316567</v>
      </c>
      <c r="CA202">
        <v>0</v>
      </c>
    </row>
    <row r="203" spans="1:79" x14ac:dyDescent="0.3">
      <c r="A203" s="155">
        <v>593</v>
      </c>
      <c r="B203" t="s">
        <v>955</v>
      </c>
      <c r="D203">
        <v>0</v>
      </c>
      <c r="E203">
        <v>0</v>
      </c>
      <c r="F203">
        <v>0</v>
      </c>
      <c r="G203">
        <v>0</v>
      </c>
      <c r="H203">
        <v>0</v>
      </c>
      <c r="I203">
        <v>0</v>
      </c>
      <c r="J203">
        <v>0</v>
      </c>
      <c r="K203">
        <v>0</v>
      </c>
      <c r="L203">
        <v>0</v>
      </c>
      <c r="M203">
        <v>0</v>
      </c>
      <c r="N203">
        <v>0</v>
      </c>
      <c r="O203">
        <v>0</v>
      </c>
      <c r="P203">
        <v>0</v>
      </c>
      <c r="Q203">
        <v>0</v>
      </c>
      <c r="R203">
        <v>0</v>
      </c>
      <c r="S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P203">
        <v>0</v>
      </c>
      <c r="AQ203">
        <v>0</v>
      </c>
      <c r="AR203">
        <v>0</v>
      </c>
      <c r="AS203">
        <v>0</v>
      </c>
      <c r="AT203">
        <v>0</v>
      </c>
      <c r="AU203">
        <v>0</v>
      </c>
      <c r="AV203">
        <v>0</v>
      </c>
      <c r="AX203">
        <v>0</v>
      </c>
      <c r="AY203">
        <v>0</v>
      </c>
      <c r="AZ203">
        <v>0</v>
      </c>
      <c r="BA203">
        <v>0</v>
      </c>
      <c r="BB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row>
    <row r="204" spans="1:79" x14ac:dyDescent="0.3">
      <c r="A204" s="155">
        <v>594</v>
      </c>
      <c r="B204" t="s">
        <v>956</v>
      </c>
      <c r="D204">
        <v>0</v>
      </c>
      <c r="E204">
        <v>0</v>
      </c>
      <c r="F204">
        <v>0</v>
      </c>
      <c r="G204">
        <v>0</v>
      </c>
      <c r="H204">
        <v>0</v>
      </c>
      <c r="I204">
        <v>0</v>
      </c>
      <c r="J204">
        <v>0</v>
      </c>
      <c r="K204">
        <v>0</v>
      </c>
      <c r="L204">
        <v>0</v>
      </c>
      <c r="M204">
        <v>0</v>
      </c>
      <c r="N204">
        <v>0</v>
      </c>
      <c r="O204">
        <v>0</v>
      </c>
      <c r="P204">
        <v>0</v>
      </c>
      <c r="Q204">
        <v>0</v>
      </c>
      <c r="R204">
        <v>0</v>
      </c>
      <c r="S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P204">
        <v>0</v>
      </c>
      <c r="AQ204">
        <v>0</v>
      </c>
      <c r="AR204">
        <v>0</v>
      </c>
      <c r="AS204">
        <v>0</v>
      </c>
      <c r="AT204">
        <v>0</v>
      </c>
      <c r="AU204">
        <v>0</v>
      </c>
      <c r="AV204">
        <v>0</v>
      </c>
      <c r="AX204">
        <v>0</v>
      </c>
      <c r="AY204">
        <v>0</v>
      </c>
      <c r="AZ204">
        <v>0</v>
      </c>
      <c r="BA204">
        <v>0</v>
      </c>
      <c r="BB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row>
    <row r="205" spans="1:79" x14ac:dyDescent="0.3">
      <c r="A205" s="155">
        <v>596</v>
      </c>
      <c r="B205" t="s">
        <v>335</v>
      </c>
      <c r="D205">
        <v>52</v>
      </c>
      <c r="E205">
        <v>0</v>
      </c>
      <c r="F205">
        <v>52</v>
      </c>
      <c r="G205">
        <v>52</v>
      </c>
      <c r="H205">
        <v>52</v>
      </c>
      <c r="I205">
        <v>52</v>
      </c>
      <c r="J205">
        <v>52</v>
      </c>
      <c r="K205">
        <v>52</v>
      </c>
      <c r="L205">
        <v>52</v>
      </c>
      <c r="M205">
        <v>0</v>
      </c>
      <c r="N205">
        <v>52</v>
      </c>
      <c r="O205">
        <v>52</v>
      </c>
      <c r="P205">
        <v>52</v>
      </c>
      <c r="Q205">
        <v>52</v>
      </c>
      <c r="R205">
        <v>52</v>
      </c>
      <c r="S205">
        <v>52</v>
      </c>
      <c r="U205">
        <v>52</v>
      </c>
      <c r="V205">
        <v>0</v>
      </c>
      <c r="W205">
        <v>0</v>
      </c>
      <c r="X205">
        <v>52</v>
      </c>
      <c r="Y205">
        <v>52</v>
      </c>
      <c r="Z205">
        <v>52</v>
      </c>
      <c r="AA205">
        <v>52</v>
      </c>
      <c r="AB205">
        <v>0</v>
      </c>
      <c r="AC205">
        <v>52</v>
      </c>
      <c r="AD205">
        <v>52</v>
      </c>
      <c r="AE205">
        <v>52</v>
      </c>
      <c r="AF205">
        <v>52</v>
      </c>
      <c r="AG205">
        <v>0</v>
      </c>
      <c r="AH205">
        <v>52</v>
      </c>
      <c r="AI205">
        <v>51</v>
      </c>
      <c r="AJ205">
        <v>52</v>
      </c>
      <c r="AK205">
        <v>52</v>
      </c>
      <c r="AL205">
        <v>0</v>
      </c>
      <c r="AM205">
        <v>51</v>
      </c>
      <c r="AN205">
        <v>52</v>
      </c>
      <c r="AP205">
        <v>0</v>
      </c>
      <c r="AQ205">
        <v>52</v>
      </c>
      <c r="AR205">
        <v>52</v>
      </c>
      <c r="AS205">
        <v>52</v>
      </c>
      <c r="AT205">
        <v>52</v>
      </c>
      <c r="AU205">
        <v>52</v>
      </c>
      <c r="AV205">
        <v>52</v>
      </c>
      <c r="AX205">
        <v>52</v>
      </c>
      <c r="AY205">
        <v>52</v>
      </c>
      <c r="AZ205">
        <v>52</v>
      </c>
      <c r="BA205">
        <v>52</v>
      </c>
      <c r="BB205">
        <v>52</v>
      </c>
      <c r="BD205">
        <v>52</v>
      </c>
      <c r="BE205">
        <v>52</v>
      </c>
      <c r="BF205">
        <v>52</v>
      </c>
      <c r="BG205">
        <v>52</v>
      </c>
      <c r="BH205">
        <v>52</v>
      </c>
      <c r="BI205">
        <v>52</v>
      </c>
      <c r="BJ205">
        <v>52</v>
      </c>
      <c r="BK205">
        <v>52</v>
      </c>
      <c r="BL205">
        <v>52</v>
      </c>
      <c r="BM205">
        <v>0</v>
      </c>
      <c r="BN205">
        <v>52</v>
      </c>
      <c r="BO205">
        <v>52</v>
      </c>
      <c r="BP205">
        <v>52</v>
      </c>
      <c r="BQ205">
        <v>52</v>
      </c>
      <c r="BR205">
        <v>52</v>
      </c>
      <c r="BS205">
        <v>52</v>
      </c>
      <c r="BT205">
        <v>52</v>
      </c>
      <c r="BU205">
        <v>52</v>
      </c>
      <c r="BV205">
        <v>52</v>
      </c>
      <c r="BW205">
        <v>52</v>
      </c>
      <c r="BX205">
        <v>52</v>
      </c>
      <c r="BY205">
        <v>0</v>
      </c>
      <c r="BZ205">
        <v>52</v>
      </c>
      <c r="CA205">
        <v>52</v>
      </c>
    </row>
    <row r="206" spans="1:79" x14ac:dyDescent="0.3">
      <c r="A206" s="155">
        <v>597</v>
      </c>
      <c r="B206" t="s">
        <v>338</v>
      </c>
      <c r="D206">
        <v>595</v>
      </c>
      <c r="E206">
        <v>38536</v>
      </c>
      <c r="F206">
        <v>624</v>
      </c>
      <c r="G206">
        <v>82039</v>
      </c>
      <c r="H206">
        <v>34272</v>
      </c>
      <c r="I206">
        <v>174</v>
      </c>
      <c r="J206">
        <v>28307</v>
      </c>
      <c r="K206">
        <v>651</v>
      </c>
      <c r="L206">
        <v>145323</v>
      </c>
      <c r="M206">
        <v>0</v>
      </c>
      <c r="N206">
        <v>2047</v>
      </c>
      <c r="O206">
        <v>40</v>
      </c>
      <c r="P206">
        <v>38775</v>
      </c>
      <c r="Q206">
        <v>-97023</v>
      </c>
      <c r="R206">
        <v>4819</v>
      </c>
      <c r="S206">
        <v>59672</v>
      </c>
      <c r="U206">
        <v>58248</v>
      </c>
      <c r="V206">
        <v>278</v>
      </c>
      <c r="W206">
        <v>3622</v>
      </c>
      <c r="X206">
        <v>38384</v>
      </c>
      <c r="Y206">
        <v>4264</v>
      </c>
      <c r="Z206">
        <v>3664</v>
      </c>
      <c r="AA206">
        <v>5439</v>
      </c>
      <c r="AB206">
        <v>2697</v>
      </c>
      <c r="AC206">
        <v>180</v>
      </c>
      <c r="AD206">
        <v>1848</v>
      </c>
      <c r="AE206">
        <v>7637</v>
      </c>
      <c r="AF206">
        <v>719</v>
      </c>
      <c r="AG206">
        <v>50</v>
      </c>
      <c r="AH206">
        <v>0</v>
      </c>
      <c r="AI206">
        <v>1789</v>
      </c>
      <c r="AJ206">
        <v>2841</v>
      </c>
      <c r="AK206">
        <v>2796</v>
      </c>
      <c r="AL206">
        <v>1094</v>
      </c>
      <c r="AM206">
        <v>11075</v>
      </c>
      <c r="AN206">
        <v>6818</v>
      </c>
      <c r="AP206">
        <v>0</v>
      </c>
      <c r="AQ206">
        <v>72852</v>
      </c>
      <c r="AR206">
        <v>536</v>
      </c>
      <c r="AS206">
        <v>647</v>
      </c>
      <c r="AT206">
        <v>1161</v>
      </c>
      <c r="AU206">
        <v>129369</v>
      </c>
      <c r="AV206">
        <v>3444</v>
      </c>
      <c r="AX206">
        <v>5726</v>
      </c>
      <c r="AY206">
        <v>935</v>
      </c>
      <c r="AZ206">
        <v>1602</v>
      </c>
      <c r="BA206">
        <v>6</v>
      </c>
      <c r="BB206">
        <v>2244</v>
      </c>
      <c r="BD206">
        <v>74</v>
      </c>
      <c r="BE206">
        <v>28644</v>
      </c>
      <c r="BF206">
        <v>3156</v>
      </c>
      <c r="BG206">
        <v>0</v>
      </c>
      <c r="BH206">
        <v>4695</v>
      </c>
      <c r="BI206">
        <v>9177</v>
      </c>
      <c r="BJ206">
        <v>23</v>
      </c>
      <c r="BK206">
        <v>0</v>
      </c>
      <c r="BL206">
        <v>144941</v>
      </c>
      <c r="BM206">
        <v>0</v>
      </c>
      <c r="BN206">
        <v>6874</v>
      </c>
      <c r="BO206">
        <v>1325</v>
      </c>
      <c r="BP206">
        <v>3056</v>
      </c>
      <c r="BQ206">
        <v>630</v>
      </c>
      <c r="BR206">
        <v>2996</v>
      </c>
      <c r="BS206">
        <v>3357</v>
      </c>
      <c r="BT206">
        <v>0</v>
      </c>
      <c r="BU206">
        <v>26294</v>
      </c>
      <c r="BV206">
        <v>0</v>
      </c>
      <c r="BW206">
        <v>9507</v>
      </c>
      <c r="BX206">
        <v>0</v>
      </c>
      <c r="BY206">
        <v>26</v>
      </c>
      <c r="BZ206">
        <v>84099</v>
      </c>
      <c r="CA206">
        <v>2</v>
      </c>
    </row>
    <row r="207" spans="1:79" x14ac:dyDescent="0.3">
      <c r="A207" s="155">
        <v>598</v>
      </c>
      <c r="B207" t="s">
        <v>343</v>
      </c>
      <c r="D207">
        <v>4956</v>
      </c>
      <c r="E207">
        <v>0</v>
      </c>
      <c r="F207">
        <v>0</v>
      </c>
      <c r="G207">
        <v>278448</v>
      </c>
      <c r="H207">
        <v>0</v>
      </c>
      <c r="I207">
        <v>0</v>
      </c>
      <c r="J207">
        <v>15069</v>
      </c>
      <c r="K207">
        <v>3120</v>
      </c>
      <c r="L207">
        <v>466485</v>
      </c>
      <c r="M207">
        <v>0</v>
      </c>
      <c r="N207">
        <v>0</v>
      </c>
      <c r="O207">
        <v>0</v>
      </c>
      <c r="P207">
        <v>158262</v>
      </c>
      <c r="Q207">
        <v>48631</v>
      </c>
      <c r="R207">
        <v>21694</v>
      </c>
      <c r="S207">
        <v>34923</v>
      </c>
      <c r="U207">
        <v>255655</v>
      </c>
      <c r="V207">
        <v>0</v>
      </c>
      <c r="W207">
        <v>69802</v>
      </c>
      <c r="X207">
        <v>56984</v>
      </c>
      <c r="Y207">
        <v>21556</v>
      </c>
      <c r="Z207">
        <v>0</v>
      </c>
      <c r="AA207">
        <v>19712</v>
      </c>
      <c r="AB207">
        <v>0</v>
      </c>
      <c r="AC207">
        <v>0</v>
      </c>
      <c r="AD207">
        <v>0</v>
      </c>
      <c r="AE207">
        <v>6994</v>
      </c>
      <c r="AF207">
        <v>0</v>
      </c>
      <c r="AG207">
        <v>0</v>
      </c>
      <c r="AH207">
        <v>0</v>
      </c>
      <c r="AI207">
        <v>0</v>
      </c>
      <c r="AJ207">
        <v>67959</v>
      </c>
      <c r="AK207">
        <v>0</v>
      </c>
      <c r="AL207">
        <v>0</v>
      </c>
      <c r="AM207">
        <v>0</v>
      </c>
      <c r="AN207">
        <v>69447</v>
      </c>
      <c r="AP207">
        <v>0</v>
      </c>
      <c r="AQ207">
        <v>178757</v>
      </c>
      <c r="AR207">
        <v>10503</v>
      </c>
      <c r="AS207">
        <v>0</v>
      </c>
      <c r="AT207">
        <v>0</v>
      </c>
      <c r="AU207">
        <v>98325</v>
      </c>
      <c r="AV207">
        <v>0</v>
      </c>
      <c r="AX207">
        <v>0</v>
      </c>
      <c r="AY207">
        <v>16551</v>
      </c>
      <c r="AZ207">
        <v>15727</v>
      </c>
      <c r="BA207">
        <v>0</v>
      </c>
      <c r="BB207">
        <v>22644</v>
      </c>
      <c r="BD207">
        <v>0</v>
      </c>
      <c r="BE207">
        <v>263537</v>
      </c>
      <c r="BF207">
        <v>0</v>
      </c>
      <c r="BG207">
        <v>0</v>
      </c>
      <c r="BH207">
        <v>9251</v>
      </c>
      <c r="BI207">
        <v>35512</v>
      </c>
      <c r="BJ207">
        <v>0</v>
      </c>
      <c r="BK207">
        <v>2728</v>
      </c>
      <c r="BL207">
        <v>15779</v>
      </c>
      <c r="BM207">
        <v>0</v>
      </c>
      <c r="BN207">
        <v>40166</v>
      </c>
      <c r="BO207">
        <v>0</v>
      </c>
      <c r="BP207">
        <v>26285</v>
      </c>
      <c r="BQ207">
        <v>0</v>
      </c>
      <c r="BR207">
        <v>0</v>
      </c>
      <c r="BS207">
        <v>100751</v>
      </c>
      <c r="BT207">
        <v>12379</v>
      </c>
      <c r="BU207">
        <v>24120</v>
      </c>
      <c r="BV207">
        <v>0</v>
      </c>
      <c r="BW207">
        <v>0</v>
      </c>
      <c r="BX207">
        <v>0</v>
      </c>
      <c r="BY207">
        <v>0</v>
      </c>
      <c r="BZ207">
        <v>0</v>
      </c>
      <c r="CA207">
        <v>0</v>
      </c>
    </row>
    <row r="208" spans="1:79" x14ac:dyDescent="0.3">
      <c r="A208" s="155">
        <v>599</v>
      </c>
      <c r="B208" t="s">
        <v>342</v>
      </c>
      <c r="D208">
        <v>86695</v>
      </c>
      <c r="E208">
        <v>0</v>
      </c>
      <c r="F208">
        <v>0</v>
      </c>
      <c r="G208">
        <v>5031351</v>
      </c>
      <c r="H208">
        <v>0</v>
      </c>
      <c r="I208">
        <v>0</v>
      </c>
      <c r="J208">
        <v>227691</v>
      </c>
      <c r="K208">
        <v>224178</v>
      </c>
      <c r="L208">
        <v>9940974</v>
      </c>
      <c r="M208">
        <v>0</v>
      </c>
      <c r="N208">
        <v>146192</v>
      </c>
      <c r="O208">
        <v>171336</v>
      </c>
      <c r="P208">
        <v>3950303</v>
      </c>
      <c r="Q208">
        <v>1470254</v>
      </c>
      <c r="R208">
        <v>649895</v>
      </c>
      <c r="S208">
        <v>1737355</v>
      </c>
      <c r="U208">
        <v>4275963</v>
      </c>
      <c r="V208">
        <v>0</v>
      </c>
      <c r="W208">
        <v>1074599</v>
      </c>
      <c r="X208">
        <v>1680872</v>
      </c>
      <c r="Y208">
        <v>510073</v>
      </c>
      <c r="Z208">
        <v>0</v>
      </c>
      <c r="AA208">
        <v>354197</v>
      </c>
      <c r="AB208">
        <v>0</v>
      </c>
      <c r="AC208">
        <v>0</v>
      </c>
      <c r="AD208">
        <v>90666</v>
      </c>
      <c r="AE208">
        <v>271134</v>
      </c>
      <c r="AF208">
        <v>0</v>
      </c>
      <c r="AG208">
        <v>0</v>
      </c>
      <c r="AH208">
        <v>0</v>
      </c>
      <c r="AI208">
        <v>166589</v>
      </c>
      <c r="AJ208">
        <v>1786134</v>
      </c>
      <c r="AK208">
        <v>0</v>
      </c>
      <c r="AL208">
        <v>0</v>
      </c>
      <c r="AM208">
        <v>1118457</v>
      </c>
      <c r="AN208">
        <v>2380585</v>
      </c>
      <c r="AP208">
        <v>0</v>
      </c>
      <c r="AQ208">
        <v>3240246</v>
      </c>
      <c r="AR208">
        <v>297415</v>
      </c>
      <c r="AS208">
        <v>64240</v>
      </c>
      <c r="AT208">
        <v>496222</v>
      </c>
      <c r="AU208">
        <v>1430885</v>
      </c>
      <c r="AV208">
        <v>0</v>
      </c>
      <c r="AX208">
        <v>475663</v>
      </c>
      <c r="AY208">
        <v>794235</v>
      </c>
      <c r="AZ208">
        <v>878926</v>
      </c>
      <c r="BA208">
        <v>0</v>
      </c>
      <c r="BB208">
        <v>320061</v>
      </c>
      <c r="BD208">
        <v>0</v>
      </c>
      <c r="BE208">
        <v>4133656</v>
      </c>
      <c r="BF208">
        <v>0</v>
      </c>
      <c r="BG208">
        <v>0</v>
      </c>
      <c r="BH208">
        <v>593633</v>
      </c>
      <c r="BI208">
        <v>455835</v>
      </c>
      <c r="BJ208">
        <v>29982</v>
      </c>
      <c r="BK208">
        <v>706752</v>
      </c>
      <c r="BL208">
        <v>444689</v>
      </c>
      <c r="BM208">
        <v>0</v>
      </c>
      <c r="BN208">
        <v>1053809</v>
      </c>
      <c r="BO208">
        <v>129897</v>
      </c>
      <c r="BP208">
        <v>67134</v>
      </c>
      <c r="BQ208">
        <v>347790</v>
      </c>
      <c r="BR208">
        <v>0</v>
      </c>
      <c r="BS208">
        <v>3677088</v>
      </c>
      <c r="BT208">
        <v>159096</v>
      </c>
      <c r="BU208">
        <v>650358</v>
      </c>
      <c r="BV208">
        <v>46079</v>
      </c>
      <c r="BW208">
        <v>0</v>
      </c>
      <c r="BX208">
        <v>0</v>
      </c>
      <c r="BY208">
        <v>0</v>
      </c>
      <c r="BZ208">
        <v>1372013</v>
      </c>
      <c r="CA208">
        <v>0</v>
      </c>
    </row>
    <row r="209" spans="1:79" x14ac:dyDescent="0.3">
      <c r="A209" s="155">
        <v>602</v>
      </c>
      <c r="B209" t="s">
        <v>344</v>
      </c>
      <c r="D209">
        <v>0</v>
      </c>
      <c r="E209">
        <v>0</v>
      </c>
      <c r="F209">
        <v>0</v>
      </c>
      <c r="G209">
        <v>0</v>
      </c>
      <c r="H209">
        <v>0</v>
      </c>
      <c r="I209">
        <v>0</v>
      </c>
      <c r="J209">
        <v>0</v>
      </c>
      <c r="K209">
        <v>0</v>
      </c>
      <c r="L209">
        <v>0</v>
      </c>
      <c r="M209">
        <v>0</v>
      </c>
      <c r="N209">
        <v>0</v>
      </c>
      <c r="O209">
        <v>0</v>
      </c>
      <c r="P209">
        <v>0</v>
      </c>
      <c r="Q209">
        <v>0</v>
      </c>
      <c r="R209">
        <v>0</v>
      </c>
      <c r="S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P209">
        <v>0</v>
      </c>
      <c r="AQ209">
        <v>0</v>
      </c>
      <c r="AR209">
        <v>0</v>
      </c>
      <c r="AS209">
        <v>0</v>
      </c>
      <c r="AT209">
        <v>0</v>
      </c>
      <c r="AU209">
        <v>0</v>
      </c>
      <c r="AV209">
        <v>0</v>
      </c>
      <c r="AX209">
        <v>0</v>
      </c>
      <c r="AY209">
        <v>0</v>
      </c>
      <c r="AZ209">
        <v>0</v>
      </c>
      <c r="BA209">
        <v>0</v>
      </c>
      <c r="BB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row>
    <row r="210" spans="1:79" x14ac:dyDescent="0.3">
      <c r="A210" s="155">
        <v>606</v>
      </c>
      <c r="B210" t="s">
        <v>957</v>
      </c>
      <c r="E210">
        <v>1</v>
      </c>
      <c r="G210">
        <v>1</v>
      </c>
      <c r="L210">
        <v>1</v>
      </c>
      <c r="O210">
        <v>1</v>
      </c>
      <c r="P210">
        <v>1</v>
      </c>
      <c r="Q210">
        <v>1</v>
      </c>
      <c r="U210">
        <v>1</v>
      </c>
      <c r="AJ210">
        <v>1</v>
      </c>
      <c r="AN210">
        <v>1</v>
      </c>
      <c r="AQ210">
        <v>1</v>
      </c>
      <c r="BE210">
        <v>1</v>
      </c>
      <c r="BH210">
        <v>1</v>
      </c>
      <c r="BN210">
        <v>1</v>
      </c>
      <c r="BS210">
        <v>1</v>
      </c>
    </row>
    <row r="211" spans="1:79" x14ac:dyDescent="0.3">
      <c r="A211" s="155">
        <v>619</v>
      </c>
      <c r="B211" t="s">
        <v>958</v>
      </c>
      <c r="D211">
        <v>0</v>
      </c>
      <c r="E211">
        <v>0</v>
      </c>
      <c r="F211">
        <v>0</v>
      </c>
      <c r="G211">
        <v>0</v>
      </c>
      <c r="H211">
        <v>0</v>
      </c>
      <c r="I211">
        <v>0</v>
      </c>
      <c r="J211">
        <v>0</v>
      </c>
      <c r="K211">
        <v>0</v>
      </c>
      <c r="L211">
        <v>0</v>
      </c>
      <c r="M211">
        <v>0</v>
      </c>
      <c r="N211">
        <v>0</v>
      </c>
      <c r="O211">
        <v>0</v>
      </c>
      <c r="P211">
        <v>0</v>
      </c>
      <c r="Q211">
        <v>0</v>
      </c>
      <c r="R211">
        <v>0</v>
      </c>
      <c r="S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P211">
        <v>0</v>
      </c>
      <c r="AQ211">
        <v>0</v>
      </c>
      <c r="AR211">
        <v>0</v>
      </c>
      <c r="AS211">
        <v>0</v>
      </c>
      <c r="AT211">
        <v>0</v>
      </c>
      <c r="AU211">
        <v>0</v>
      </c>
      <c r="AV211">
        <v>0</v>
      </c>
      <c r="AX211">
        <v>0</v>
      </c>
      <c r="AY211">
        <v>0</v>
      </c>
      <c r="AZ211">
        <v>0</v>
      </c>
      <c r="BA211">
        <v>0</v>
      </c>
      <c r="BB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row>
    <row r="212" spans="1:79" x14ac:dyDescent="0.3">
      <c r="A212" s="155">
        <v>620</v>
      </c>
      <c r="B212" t="s">
        <v>959</v>
      </c>
      <c r="D212">
        <v>2</v>
      </c>
      <c r="E212">
        <v>1</v>
      </c>
      <c r="F212">
        <v>2</v>
      </c>
      <c r="G212">
        <v>1</v>
      </c>
      <c r="H212">
        <v>2</v>
      </c>
      <c r="I212">
        <v>2</v>
      </c>
      <c r="J212">
        <v>2</v>
      </c>
      <c r="K212">
        <v>2</v>
      </c>
      <c r="L212">
        <v>2</v>
      </c>
      <c r="M212">
        <v>2</v>
      </c>
      <c r="N212">
        <v>2</v>
      </c>
      <c r="O212">
        <v>2</v>
      </c>
      <c r="P212">
        <v>2</v>
      </c>
      <c r="Q212">
        <v>1</v>
      </c>
      <c r="R212">
        <v>2</v>
      </c>
      <c r="S212">
        <v>2</v>
      </c>
      <c r="U212">
        <v>2</v>
      </c>
      <c r="V212">
        <v>2</v>
      </c>
      <c r="W212">
        <v>0</v>
      </c>
      <c r="X212">
        <v>2</v>
      </c>
      <c r="Y212">
        <v>1</v>
      </c>
      <c r="Z212">
        <v>2</v>
      </c>
      <c r="AA212">
        <v>2</v>
      </c>
      <c r="AB212">
        <v>2</v>
      </c>
      <c r="AC212">
        <v>2</v>
      </c>
      <c r="AD212">
        <v>2</v>
      </c>
      <c r="AE212">
        <v>2</v>
      </c>
      <c r="AF212">
        <v>0</v>
      </c>
      <c r="AG212">
        <v>2</v>
      </c>
      <c r="AH212">
        <v>2</v>
      </c>
      <c r="AI212">
        <v>2</v>
      </c>
      <c r="AJ212">
        <v>2</v>
      </c>
      <c r="AK212">
        <v>2</v>
      </c>
      <c r="AL212">
        <v>2</v>
      </c>
      <c r="AM212">
        <v>1</v>
      </c>
      <c r="AN212">
        <v>2</v>
      </c>
      <c r="AP212">
        <v>2</v>
      </c>
      <c r="AQ212">
        <v>1</v>
      </c>
      <c r="AR212">
        <v>1</v>
      </c>
      <c r="AS212">
        <v>2</v>
      </c>
      <c r="AT212">
        <v>2</v>
      </c>
      <c r="AU212">
        <v>2</v>
      </c>
      <c r="AV212">
        <v>2</v>
      </c>
      <c r="AX212">
        <v>2</v>
      </c>
      <c r="AY212">
        <v>2</v>
      </c>
      <c r="AZ212">
        <v>1</v>
      </c>
      <c r="BA212">
        <v>2</v>
      </c>
      <c r="BB212">
        <v>2</v>
      </c>
      <c r="BD212">
        <v>2</v>
      </c>
      <c r="BE212">
        <v>1</v>
      </c>
      <c r="BF212">
        <v>2</v>
      </c>
      <c r="BG212">
        <v>2</v>
      </c>
      <c r="BH212">
        <v>2</v>
      </c>
      <c r="BI212">
        <v>2</v>
      </c>
      <c r="BJ212">
        <v>2</v>
      </c>
      <c r="BK212">
        <v>0</v>
      </c>
      <c r="BL212">
        <v>2</v>
      </c>
      <c r="BM212">
        <v>2</v>
      </c>
      <c r="BN212">
        <v>2</v>
      </c>
      <c r="BO212">
        <v>0</v>
      </c>
      <c r="BP212">
        <v>2</v>
      </c>
      <c r="BQ212">
        <v>2</v>
      </c>
      <c r="BR212">
        <v>2</v>
      </c>
      <c r="BS212">
        <v>1</v>
      </c>
      <c r="BT212">
        <v>2</v>
      </c>
      <c r="BU212">
        <v>2</v>
      </c>
      <c r="BV212">
        <v>2</v>
      </c>
      <c r="BW212">
        <v>2</v>
      </c>
      <c r="BX212">
        <v>2</v>
      </c>
      <c r="BY212">
        <v>2</v>
      </c>
      <c r="BZ212">
        <v>1</v>
      </c>
      <c r="CA212">
        <v>2</v>
      </c>
    </row>
    <row r="213" spans="1:79" x14ac:dyDescent="0.3">
      <c r="A213" s="155">
        <v>621</v>
      </c>
      <c r="B213" t="s">
        <v>960</v>
      </c>
      <c r="D213">
        <v>0</v>
      </c>
      <c r="E213">
        <v>0</v>
      </c>
      <c r="F213">
        <v>0</v>
      </c>
      <c r="G213">
        <v>0</v>
      </c>
      <c r="H213">
        <v>0</v>
      </c>
      <c r="I213">
        <v>0</v>
      </c>
      <c r="J213">
        <v>0</v>
      </c>
      <c r="K213">
        <v>0</v>
      </c>
      <c r="L213">
        <v>0</v>
      </c>
      <c r="M213">
        <v>0</v>
      </c>
      <c r="N213">
        <v>0</v>
      </c>
      <c r="O213">
        <v>0</v>
      </c>
      <c r="P213">
        <v>0</v>
      </c>
      <c r="Q213">
        <v>0</v>
      </c>
      <c r="R213">
        <v>0</v>
      </c>
      <c r="S213">
        <v>0</v>
      </c>
      <c r="U213">
        <v>4466954</v>
      </c>
      <c r="V213">
        <v>0</v>
      </c>
      <c r="W213">
        <v>0</v>
      </c>
      <c r="X213">
        <v>0</v>
      </c>
      <c r="Y213">
        <v>0</v>
      </c>
      <c r="Z213">
        <v>0</v>
      </c>
      <c r="AA213">
        <v>2483313</v>
      </c>
      <c r="AB213">
        <v>0</v>
      </c>
      <c r="AC213">
        <v>0</v>
      </c>
      <c r="AD213">
        <v>0</v>
      </c>
      <c r="AE213">
        <v>0</v>
      </c>
      <c r="AF213">
        <v>0</v>
      </c>
      <c r="AG213">
        <v>0</v>
      </c>
      <c r="AH213">
        <v>0</v>
      </c>
      <c r="AI213">
        <v>0</v>
      </c>
      <c r="AJ213">
        <v>0</v>
      </c>
      <c r="AK213">
        <v>0</v>
      </c>
      <c r="AL213">
        <v>0</v>
      </c>
      <c r="AM213">
        <v>0</v>
      </c>
      <c r="AN213">
        <v>0</v>
      </c>
      <c r="AP213">
        <v>0</v>
      </c>
      <c r="AQ213">
        <v>0</v>
      </c>
      <c r="AR213">
        <v>0</v>
      </c>
      <c r="AS213">
        <v>0</v>
      </c>
      <c r="AT213">
        <v>0</v>
      </c>
      <c r="AU213">
        <v>0</v>
      </c>
      <c r="AV213">
        <v>0</v>
      </c>
      <c r="AX213">
        <v>0</v>
      </c>
      <c r="AY213">
        <v>0</v>
      </c>
      <c r="AZ213">
        <v>1449701</v>
      </c>
      <c r="BA213">
        <v>0</v>
      </c>
      <c r="BB213">
        <v>424104</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row>
    <row r="214" spans="1:79" x14ac:dyDescent="0.3">
      <c r="A214" s="155">
        <v>622</v>
      </c>
      <c r="B214" t="s">
        <v>961</v>
      </c>
      <c r="D214">
        <v>709325</v>
      </c>
      <c r="E214">
        <v>1283575</v>
      </c>
      <c r="F214">
        <v>88978</v>
      </c>
      <c r="G214">
        <v>13814508</v>
      </c>
      <c r="H214">
        <v>760069</v>
      </c>
      <c r="I214">
        <v>0</v>
      </c>
      <c r="J214">
        <v>329470</v>
      </c>
      <c r="K214">
        <v>530296</v>
      </c>
      <c r="L214">
        <v>10942188</v>
      </c>
      <c r="M214">
        <v>0</v>
      </c>
      <c r="N214">
        <v>192250</v>
      </c>
      <c r="O214">
        <v>437030</v>
      </c>
      <c r="P214">
        <v>7247980</v>
      </c>
      <c r="Q214">
        <v>3541623</v>
      </c>
      <c r="R214">
        <v>2351672</v>
      </c>
      <c r="S214">
        <v>4764806</v>
      </c>
      <c r="U214">
        <v>7334814</v>
      </c>
      <c r="V214">
        <v>0</v>
      </c>
      <c r="W214">
        <v>1406500</v>
      </c>
      <c r="X214">
        <v>3025620</v>
      </c>
      <c r="Y214">
        <v>1451357</v>
      </c>
      <c r="Z214">
        <v>441317</v>
      </c>
      <c r="AA214">
        <v>918728</v>
      </c>
      <c r="AB214">
        <v>0</v>
      </c>
      <c r="AC214">
        <v>0</v>
      </c>
      <c r="AD214">
        <v>190464</v>
      </c>
      <c r="AE214">
        <v>859766</v>
      </c>
      <c r="AF214">
        <v>0</v>
      </c>
      <c r="AG214">
        <v>0</v>
      </c>
      <c r="AH214">
        <v>0</v>
      </c>
      <c r="AI214">
        <v>530296</v>
      </c>
      <c r="AJ214">
        <v>3702069</v>
      </c>
      <c r="AK214">
        <v>27873</v>
      </c>
      <c r="AL214">
        <v>0</v>
      </c>
      <c r="AM214">
        <v>0</v>
      </c>
      <c r="AN214">
        <v>5520228</v>
      </c>
      <c r="AP214">
        <v>236918</v>
      </c>
      <c r="AQ214">
        <v>6145940</v>
      </c>
      <c r="AR214">
        <v>756853</v>
      </c>
      <c r="AS214">
        <v>90050</v>
      </c>
      <c r="AT214">
        <v>1128773</v>
      </c>
      <c r="AU214">
        <v>3702428</v>
      </c>
      <c r="AV214">
        <v>15366</v>
      </c>
      <c r="AX214">
        <v>736840</v>
      </c>
      <c r="AY214">
        <v>993770</v>
      </c>
      <c r="AZ214">
        <v>1695948</v>
      </c>
      <c r="BA214">
        <v>0</v>
      </c>
      <c r="BB214">
        <v>524579</v>
      </c>
      <c r="BD214">
        <v>0</v>
      </c>
      <c r="BE214">
        <v>8206015</v>
      </c>
      <c r="BF214">
        <v>93266</v>
      </c>
      <c r="BG214">
        <v>0</v>
      </c>
      <c r="BH214">
        <v>784367</v>
      </c>
      <c r="BI214">
        <v>418806</v>
      </c>
      <c r="BJ214">
        <v>103272</v>
      </c>
      <c r="BK214">
        <v>1550867</v>
      </c>
      <c r="BL214">
        <v>945171</v>
      </c>
      <c r="BM214">
        <v>0</v>
      </c>
      <c r="BN214">
        <v>1980751</v>
      </c>
      <c r="BO214">
        <v>532083</v>
      </c>
      <c r="BP214">
        <v>183674</v>
      </c>
      <c r="BQ214">
        <v>468119</v>
      </c>
      <c r="BR214">
        <v>0</v>
      </c>
      <c r="BS214">
        <v>4709418</v>
      </c>
      <c r="BT214">
        <v>472407</v>
      </c>
      <c r="BU214">
        <v>764713</v>
      </c>
      <c r="BV214">
        <v>152228</v>
      </c>
      <c r="BW214">
        <v>58247</v>
      </c>
      <c r="BX214">
        <v>0</v>
      </c>
      <c r="BY214">
        <v>0</v>
      </c>
      <c r="BZ214">
        <v>4015459</v>
      </c>
      <c r="CA214">
        <v>0</v>
      </c>
    </row>
    <row r="215" spans="1:79" x14ac:dyDescent="0.3">
      <c r="A215" s="155">
        <v>624</v>
      </c>
      <c r="B215" t="s">
        <v>357</v>
      </c>
      <c r="D215">
        <v>2</v>
      </c>
      <c r="E215">
        <v>2</v>
      </c>
      <c r="F215">
        <v>1</v>
      </c>
      <c r="G215">
        <v>1</v>
      </c>
      <c r="H215">
        <v>1</v>
      </c>
      <c r="I215">
        <v>1</v>
      </c>
      <c r="J215">
        <v>2</v>
      </c>
      <c r="K215">
        <v>2</v>
      </c>
      <c r="L215">
        <v>1</v>
      </c>
      <c r="M215">
        <v>0</v>
      </c>
      <c r="N215">
        <v>1</v>
      </c>
      <c r="O215">
        <v>1</v>
      </c>
      <c r="P215">
        <v>1</v>
      </c>
      <c r="Q215">
        <v>1</v>
      </c>
      <c r="R215">
        <v>1</v>
      </c>
      <c r="S215">
        <v>2</v>
      </c>
      <c r="U215">
        <v>1</v>
      </c>
      <c r="V215">
        <v>1</v>
      </c>
      <c r="W215">
        <v>1</v>
      </c>
      <c r="X215">
        <v>2</v>
      </c>
      <c r="Y215">
        <v>1</v>
      </c>
      <c r="Z215">
        <v>1</v>
      </c>
      <c r="AA215">
        <v>2</v>
      </c>
      <c r="AB215">
        <v>1</v>
      </c>
      <c r="AC215">
        <v>1</v>
      </c>
      <c r="AD215">
        <v>2</v>
      </c>
      <c r="AE215">
        <v>1</v>
      </c>
      <c r="AF215">
        <v>0</v>
      </c>
      <c r="AG215">
        <v>2</v>
      </c>
      <c r="AH215">
        <v>1</v>
      </c>
      <c r="AI215">
        <v>1</v>
      </c>
      <c r="AJ215">
        <v>2</v>
      </c>
      <c r="AK215">
        <v>1</v>
      </c>
      <c r="AL215">
        <v>1</v>
      </c>
      <c r="AM215">
        <v>1</v>
      </c>
      <c r="AN215">
        <v>2</v>
      </c>
      <c r="AP215">
        <v>1</v>
      </c>
      <c r="AQ215">
        <v>1</v>
      </c>
      <c r="AR215">
        <v>1</v>
      </c>
      <c r="AS215">
        <v>2</v>
      </c>
      <c r="AT215">
        <v>1</v>
      </c>
      <c r="AU215">
        <v>1</v>
      </c>
      <c r="AV215">
        <v>1</v>
      </c>
      <c r="AX215">
        <v>1</v>
      </c>
      <c r="AY215">
        <v>1</v>
      </c>
      <c r="AZ215">
        <v>1</v>
      </c>
      <c r="BA215">
        <v>1</v>
      </c>
      <c r="BB215">
        <v>1</v>
      </c>
      <c r="BD215">
        <v>1</v>
      </c>
      <c r="BE215">
        <v>1</v>
      </c>
      <c r="BF215">
        <v>1</v>
      </c>
      <c r="BG215">
        <v>1</v>
      </c>
      <c r="BH215">
        <v>2</v>
      </c>
      <c r="BI215">
        <v>2</v>
      </c>
      <c r="BJ215">
        <v>1</v>
      </c>
      <c r="BK215">
        <v>1</v>
      </c>
      <c r="BL215">
        <v>1</v>
      </c>
      <c r="BM215">
        <v>2</v>
      </c>
      <c r="BN215">
        <v>2</v>
      </c>
      <c r="BO215">
        <v>1</v>
      </c>
      <c r="BP215">
        <v>2</v>
      </c>
      <c r="BQ215">
        <v>1</v>
      </c>
      <c r="BR215">
        <v>1</v>
      </c>
      <c r="BS215">
        <v>2</v>
      </c>
      <c r="BT215">
        <v>2</v>
      </c>
      <c r="BU215">
        <v>1</v>
      </c>
      <c r="BV215">
        <v>1</v>
      </c>
      <c r="BW215">
        <v>1</v>
      </c>
      <c r="BX215">
        <v>2</v>
      </c>
      <c r="BY215">
        <v>1</v>
      </c>
      <c r="BZ215">
        <v>1</v>
      </c>
      <c r="CA215">
        <v>1</v>
      </c>
    </row>
    <row r="216" spans="1:79" x14ac:dyDescent="0.3">
      <c r="A216" s="155">
        <v>626</v>
      </c>
      <c r="B216" t="s">
        <v>962</v>
      </c>
      <c r="D216">
        <v>164184</v>
      </c>
      <c r="E216">
        <v>2799837</v>
      </c>
      <c r="F216">
        <v>117964</v>
      </c>
      <c r="G216">
        <v>8586725</v>
      </c>
      <c r="H216">
        <v>688826</v>
      </c>
      <c r="I216">
        <v>15383</v>
      </c>
      <c r="J216">
        <v>41323</v>
      </c>
      <c r="K216">
        <v>62084</v>
      </c>
      <c r="L216">
        <v>21086181</v>
      </c>
      <c r="M216">
        <v>14081</v>
      </c>
      <c r="N216">
        <v>46674</v>
      </c>
      <c r="O216">
        <v>100074</v>
      </c>
      <c r="P216">
        <v>8118225</v>
      </c>
      <c r="Q216">
        <v>4241686</v>
      </c>
      <c r="R216">
        <v>756026</v>
      </c>
      <c r="S216">
        <v>2370798</v>
      </c>
      <c r="U216">
        <v>4056092</v>
      </c>
      <c r="V216">
        <v>704</v>
      </c>
      <c r="W216">
        <v>2572786</v>
      </c>
      <c r="X216">
        <v>3293682</v>
      </c>
      <c r="Y216">
        <v>949060</v>
      </c>
      <c r="Z216">
        <v>273285</v>
      </c>
      <c r="AA216">
        <v>552250</v>
      </c>
      <c r="AB216">
        <v>20945</v>
      </c>
      <c r="AC216">
        <v>9324</v>
      </c>
      <c r="AD216">
        <v>73874</v>
      </c>
      <c r="AE216">
        <v>174462</v>
      </c>
      <c r="AF216">
        <v>9021</v>
      </c>
      <c r="AG216">
        <v>1346</v>
      </c>
      <c r="AH216">
        <v>436</v>
      </c>
      <c r="AI216">
        <v>75331</v>
      </c>
      <c r="AJ216">
        <v>773783</v>
      </c>
      <c r="AK216">
        <v>7733</v>
      </c>
      <c r="AL216">
        <v>769</v>
      </c>
      <c r="AM216">
        <v>3695311</v>
      </c>
      <c r="AN216">
        <v>2988047</v>
      </c>
      <c r="AP216">
        <v>821487</v>
      </c>
      <c r="AQ216">
        <v>7178369</v>
      </c>
      <c r="AR216">
        <v>319827</v>
      </c>
      <c r="AS216">
        <v>142705</v>
      </c>
      <c r="AT216">
        <v>365880</v>
      </c>
      <c r="AU216">
        <v>3241185</v>
      </c>
      <c r="AV216">
        <v>56032</v>
      </c>
      <c r="AX216">
        <v>627526</v>
      </c>
      <c r="AY216">
        <v>190083</v>
      </c>
      <c r="AZ216">
        <v>423886</v>
      </c>
      <c r="BA216">
        <v>0</v>
      </c>
      <c r="BB216">
        <v>184958</v>
      </c>
      <c r="BD216">
        <v>3352</v>
      </c>
      <c r="BE216">
        <v>6379761</v>
      </c>
      <c r="BF216">
        <v>20376</v>
      </c>
      <c r="BG216">
        <v>1857</v>
      </c>
      <c r="BH216">
        <v>43619</v>
      </c>
      <c r="BI216">
        <v>169344</v>
      </c>
      <c r="BJ216">
        <v>43702</v>
      </c>
      <c r="BK216">
        <v>385598</v>
      </c>
      <c r="BL216">
        <v>165031</v>
      </c>
      <c r="BM216">
        <v>0</v>
      </c>
      <c r="BN216">
        <v>932613</v>
      </c>
      <c r="BO216">
        <v>201908</v>
      </c>
      <c r="BP216">
        <v>32852</v>
      </c>
      <c r="BQ216">
        <v>33637</v>
      </c>
      <c r="BR216">
        <v>347934</v>
      </c>
      <c r="BS216">
        <v>3134763</v>
      </c>
      <c r="BT216">
        <v>167015</v>
      </c>
      <c r="BU216">
        <v>4815168</v>
      </c>
      <c r="BV216">
        <v>120136</v>
      </c>
      <c r="BW216">
        <v>13281</v>
      </c>
      <c r="BX216">
        <v>0</v>
      </c>
      <c r="BY216">
        <v>0</v>
      </c>
      <c r="BZ216">
        <v>3872041</v>
      </c>
      <c r="CA216">
        <v>3201</v>
      </c>
    </row>
    <row r="217" spans="1:79" x14ac:dyDescent="0.3">
      <c r="A217" s="155">
        <v>627</v>
      </c>
      <c r="B217" t="s">
        <v>963</v>
      </c>
      <c r="D217">
        <v>0</v>
      </c>
      <c r="E217">
        <v>0</v>
      </c>
      <c r="F217">
        <v>0</v>
      </c>
      <c r="G217">
        <v>0</v>
      </c>
      <c r="H217">
        <v>0</v>
      </c>
      <c r="I217">
        <v>0</v>
      </c>
      <c r="J217">
        <v>0</v>
      </c>
      <c r="K217">
        <v>0</v>
      </c>
      <c r="L217">
        <v>0</v>
      </c>
      <c r="M217">
        <v>0</v>
      </c>
      <c r="N217">
        <v>0</v>
      </c>
      <c r="O217">
        <v>0</v>
      </c>
      <c r="P217">
        <v>405000</v>
      </c>
      <c r="Q217">
        <v>0</v>
      </c>
      <c r="R217">
        <v>0</v>
      </c>
      <c r="S217">
        <v>0</v>
      </c>
      <c r="U217">
        <v>0</v>
      </c>
      <c r="V217">
        <v>0</v>
      </c>
      <c r="W217">
        <v>0</v>
      </c>
      <c r="X217">
        <v>1562222</v>
      </c>
      <c r="Y217">
        <v>0</v>
      </c>
      <c r="Z217">
        <v>0</v>
      </c>
      <c r="AA217">
        <v>0</v>
      </c>
      <c r="AB217">
        <v>0</v>
      </c>
      <c r="AC217">
        <v>0</v>
      </c>
      <c r="AD217">
        <v>0</v>
      </c>
      <c r="AE217">
        <v>0</v>
      </c>
      <c r="AF217">
        <v>0</v>
      </c>
      <c r="AG217">
        <v>0</v>
      </c>
      <c r="AH217">
        <v>0</v>
      </c>
      <c r="AI217">
        <v>0</v>
      </c>
      <c r="AJ217">
        <v>0</v>
      </c>
      <c r="AK217">
        <v>0</v>
      </c>
      <c r="AL217">
        <v>0</v>
      </c>
      <c r="AM217">
        <v>0</v>
      </c>
      <c r="AN217">
        <v>0</v>
      </c>
      <c r="AP217">
        <v>0</v>
      </c>
      <c r="AQ217">
        <v>0</v>
      </c>
      <c r="AR217">
        <v>0</v>
      </c>
      <c r="AS217">
        <v>0</v>
      </c>
      <c r="AT217">
        <v>0</v>
      </c>
      <c r="AU217">
        <v>0</v>
      </c>
      <c r="AV217">
        <v>0</v>
      </c>
      <c r="AX217">
        <v>0</v>
      </c>
      <c r="AY217">
        <v>0</v>
      </c>
      <c r="AZ217">
        <v>0</v>
      </c>
      <c r="BA217">
        <v>0</v>
      </c>
      <c r="BB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63303</v>
      </c>
      <c r="BW217">
        <v>0</v>
      </c>
      <c r="BX217">
        <v>0</v>
      </c>
      <c r="BY217">
        <v>0</v>
      </c>
      <c r="BZ217">
        <v>0</v>
      </c>
      <c r="CA217">
        <v>0</v>
      </c>
    </row>
    <row r="218" spans="1:79" x14ac:dyDescent="0.3">
      <c r="A218" s="155">
        <v>628</v>
      </c>
      <c r="B218" t="s">
        <v>964</v>
      </c>
      <c r="D218">
        <v>53441</v>
      </c>
      <c r="E218">
        <v>208904</v>
      </c>
      <c r="F218">
        <v>10198</v>
      </c>
      <c r="G218">
        <v>798990</v>
      </c>
      <c r="H218">
        <v>16000</v>
      </c>
      <c r="I218">
        <v>849</v>
      </c>
      <c r="J218">
        <v>16338</v>
      </c>
      <c r="K218">
        <v>11887</v>
      </c>
      <c r="L218">
        <v>1168000</v>
      </c>
      <c r="M218">
        <v>0</v>
      </c>
      <c r="N218">
        <v>140</v>
      </c>
      <c r="O218">
        <v>0</v>
      </c>
      <c r="P218">
        <v>1586114</v>
      </c>
      <c r="Q218">
        <v>600000</v>
      </c>
      <c r="R218">
        <v>250168</v>
      </c>
      <c r="S218">
        <v>238038</v>
      </c>
      <c r="U218">
        <v>202691</v>
      </c>
      <c r="V218">
        <v>0</v>
      </c>
      <c r="W218">
        <v>50000</v>
      </c>
      <c r="X218">
        <v>353133</v>
      </c>
      <c r="Y218">
        <v>115000</v>
      </c>
      <c r="Z218">
        <v>0</v>
      </c>
      <c r="AA218">
        <v>44103</v>
      </c>
      <c r="AB218">
        <v>0</v>
      </c>
      <c r="AC218">
        <v>0</v>
      </c>
      <c r="AD218">
        <v>6977</v>
      </c>
      <c r="AE218">
        <v>42700</v>
      </c>
      <c r="AF218">
        <v>0</v>
      </c>
      <c r="AG218">
        <v>0</v>
      </c>
      <c r="AH218">
        <v>0</v>
      </c>
      <c r="AI218">
        <v>0</v>
      </c>
      <c r="AJ218">
        <v>200264</v>
      </c>
      <c r="AK218">
        <v>0</v>
      </c>
      <c r="AL218">
        <v>0</v>
      </c>
      <c r="AM218">
        <v>0</v>
      </c>
      <c r="AN218">
        <v>224027</v>
      </c>
      <c r="AP218">
        <v>36977</v>
      </c>
      <c r="AQ218">
        <v>556000</v>
      </c>
      <c r="AR218">
        <v>85000</v>
      </c>
      <c r="AS218">
        <v>0</v>
      </c>
      <c r="AT218">
        <v>0</v>
      </c>
      <c r="AU218">
        <v>240874</v>
      </c>
      <c r="AV218">
        <v>420</v>
      </c>
      <c r="AX218">
        <v>59882</v>
      </c>
      <c r="AY218">
        <v>0</v>
      </c>
      <c r="AZ218">
        <v>0</v>
      </c>
      <c r="BA218">
        <v>0</v>
      </c>
      <c r="BB218">
        <v>0</v>
      </c>
      <c r="BD218">
        <v>0</v>
      </c>
      <c r="BE218">
        <v>229398</v>
      </c>
      <c r="BF218">
        <v>0</v>
      </c>
      <c r="BG218">
        <v>0</v>
      </c>
      <c r="BH218">
        <v>0</v>
      </c>
      <c r="BI218">
        <v>48378</v>
      </c>
      <c r="BJ218">
        <v>2786</v>
      </c>
      <c r="BK218">
        <v>0</v>
      </c>
      <c r="BL218">
        <v>55000</v>
      </c>
      <c r="BM218">
        <v>0</v>
      </c>
      <c r="BN218">
        <v>175500</v>
      </c>
      <c r="BO218">
        <v>25722</v>
      </c>
      <c r="BP218">
        <v>14762</v>
      </c>
      <c r="BQ218">
        <v>0</v>
      </c>
      <c r="BR218">
        <v>10818</v>
      </c>
      <c r="BS218">
        <v>86341</v>
      </c>
      <c r="BT218">
        <v>0</v>
      </c>
      <c r="BU218">
        <v>108637</v>
      </c>
      <c r="BV218">
        <v>5000</v>
      </c>
      <c r="BW218">
        <v>0</v>
      </c>
      <c r="BX218">
        <v>0</v>
      </c>
      <c r="BY218">
        <v>0</v>
      </c>
      <c r="BZ218">
        <v>388776</v>
      </c>
      <c r="CA218">
        <v>0</v>
      </c>
    </row>
    <row r="219" spans="1:79" x14ac:dyDescent="0.3">
      <c r="A219" s="155">
        <v>629</v>
      </c>
      <c r="B219" t="s">
        <v>965</v>
      </c>
      <c r="D219">
        <v>0</v>
      </c>
      <c r="E219">
        <v>0</v>
      </c>
      <c r="F219">
        <v>0</v>
      </c>
      <c r="G219">
        <v>0</v>
      </c>
      <c r="H219">
        <v>0</v>
      </c>
      <c r="I219">
        <v>0</v>
      </c>
      <c r="J219">
        <v>0</v>
      </c>
      <c r="K219">
        <v>0</v>
      </c>
      <c r="L219">
        <v>0</v>
      </c>
      <c r="M219">
        <v>0</v>
      </c>
      <c r="N219">
        <v>0</v>
      </c>
      <c r="O219">
        <v>0</v>
      </c>
      <c r="P219">
        <v>0</v>
      </c>
      <c r="Q219">
        <v>0</v>
      </c>
      <c r="R219">
        <v>0</v>
      </c>
      <c r="S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P219">
        <v>0</v>
      </c>
      <c r="AQ219">
        <v>0</v>
      </c>
      <c r="AR219">
        <v>0</v>
      </c>
      <c r="AS219">
        <v>0</v>
      </c>
      <c r="AT219">
        <v>0</v>
      </c>
      <c r="AU219">
        <v>0</v>
      </c>
      <c r="AV219">
        <v>0</v>
      </c>
      <c r="AX219">
        <v>0</v>
      </c>
      <c r="AY219">
        <v>0</v>
      </c>
      <c r="AZ219">
        <v>0</v>
      </c>
      <c r="BA219">
        <v>0</v>
      </c>
      <c r="BB219">
        <v>0</v>
      </c>
      <c r="BD219">
        <v>0</v>
      </c>
      <c r="BE219">
        <v>0</v>
      </c>
      <c r="BF219">
        <v>0</v>
      </c>
      <c r="BG219">
        <v>0</v>
      </c>
      <c r="BH219">
        <v>0</v>
      </c>
      <c r="BI219">
        <v>0</v>
      </c>
      <c r="BJ219">
        <v>0</v>
      </c>
      <c r="BK219">
        <v>0</v>
      </c>
      <c r="BL219">
        <v>0</v>
      </c>
      <c r="BM219">
        <v>0</v>
      </c>
      <c r="BN219">
        <v>0</v>
      </c>
      <c r="BO219">
        <v>0</v>
      </c>
      <c r="BP219">
        <v>0</v>
      </c>
      <c r="BQ219">
        <v>0</v>
      </c>
      <c r="BR219">
        <v>0</v>
      </c>
      <c r="BS219">
        <v>0</v>
      </c>
      <c r="BT219">
        <v>0</v>
      </c>
      <c r="BU219">
        <v>1155069</v>
      </c>
      <c r="BV219">
        <v>0</v>
      </c>
      <c r="BW219">
        <v>0</v>
      </c>
      <c r="BX219">
        <v>0</v>
      </c>
      <c r="BY219">
        <v>0</v>
      </c>
      <c r="BZ219">
        <v>0</v>
      </c>
      <c r="CA219">
        <v>0</v>
      </c>
    </row>
    <row r="220" spans="1:79" x14ac:dyDescent="0.3">
      <c r="A220" s="155">
        <v>630</v>
      </c>
      <c r="B220" t="s">
        <v>966</v>
      </c>
      <c r="D220">
        <v>0</v>
      </c>
      <c r="E220">
        <v>371607</v>
      </c>
      <c r="F220">
        <v>0</v>
      </c>
      <c r="G220">
        <v>0</v>
      </c>
      <c r="H220">
        <v>2300</v>
      </c>
      <c r="I220">
        <v>0</v>
      </c>
      <c r="J220">
        <v>0</v>
      </c>
      <c r="K220">
        <v>0</v>
      </c>
      <c r="L220">
        <v>4676447</v>
      </c>
      <c r="M220">
        <v>0</v>
      </c>
      <c r="N220">
        <v>0</v>
      </c>
      <c r="O220">
        <v>0</v>
      </c>
      <c r="P220">
        <v>374430</v>
      </c>
      <c r="Q220">
        <v>0</v>
      </c>
      <c r="R220">
        <v>0</v>
      </c>
      <c r="S220">
        <v>0</v>
      </c>
      <c r="U220">
        <v>0</v>
      </c>
      <c r="V220">
        <v>0</v>
      </c>
      <c r="W220">
        <v>0</v>
      </c>
      <c r="X220">
        <v>0</v>
      </c>
      <c r="Y220">
        <v>0</v>
      </c>
      <c r="Z220">
        <v>0</v>
      </c>
      <c r="AA220">
        <v>0</v>
      </c>
      <c r="AB220">
        <v>0</v>
      </c>
      <c r="AC220">
        <v>0</v>
      </c>
      <c r="AD220">
        <v>0</v>
      </c>
      <c r="AE220">
        <v>14274</v>
      </c>
      <c r="AF220">
        <v>0</v>
      </c>
      <c r="AG220">
        <v>0</v>
      </c>
      <c r="AH220">
        <v>0</v>
      </c>
      <c r="AI220">
        <v>0</v>
      </c>
      <c r="AJ220">
        <v>0</v>
      </c>
      <c r="AK220">
        <v>0</v>
      </c>
      <c r="AL220">
        <v>0</v>
      </c>
      <c r="AM220">
        <v>0</v>
      </c>
      <c r="AN220">
        <v>0</v>
      </c>
      <c r="AP220">
        <v>200346</v>
      </c>
      <c r="AQ220">
        <v>107275</v>
      </c>
      <c r="AR220">
        <v>0</v>
      </c>
      <c r="AS220">
        <v>0</v>
      </c>
      <c r="AT220">
        <v>0</v>
      </c>
      <c r="AU220">
        <v>0</v>
      </c>
      <c r="AV220">
        <v>0</v>
      </c>
      <c r="AX220">
        <v>0</v>
      </c>
      <c r="AY220">
        <v>0</v>
      </c>
      <c r="AZ220">
        <v>0</v>
      </c>
      <c r="BA220">
        <v>0</v>
      </c>
      <c r="BB220">
        <v>0</v>
      </c>
      <c r="BD220">
        <v>0</v>
      </c>
      <c r="BE220">
        <v>0</v>
      </c>
      <c r="BF220">
        <v>0</v>
      </c>
      <c r="BG220">
        <v>0</v>
      </c>
      <c r="BH220">
        <v>0</v>
      </c>
      <c r="BI220">
        <v>18090</v>
      </c>
      <c r="BJ220">
        <v>0</v>
      </c>
      <c r="BK220">
        <v>1590</v>
      </c>
      <c r="BL220">
        <v>110031</v>
      </c>
      <c r="BM220">
        <v>0</v>
      </c>
      <c r="BN220">
        <v>13502</v>
      </c>
      <c r="BO220">
        <v>0</v>
      </c>
      <c r="BP220">
        <v>0</v>
      </c>
      <c r="BQ220">
        <v>0</v>
      </c>
      <c r="BR220">
        <v>111981</v>
      </c>
      <c r="BS220">
        <v>257119</v>
      </c>
      <c r="BT220">
        <v>0</v>
      </c>
      <c r="BU220">
        <v>0</v>
      </c>
      <c r="BV220">
        <v>0</v>
      </c>
      <c r="BW220">
        <v>0</v>
      </c>
      <c r="BX220">
        <v>0</v>
      </c>
      <c r="BY220">
        <v>0</v>
      </c>
      <c r="BZ220">
        <v>1023687</v>
      </c>
      <c r="CA220">
        <v>0</v>
      </c>
    </row>
    <row r="221" spans="1:79" x14ac:dyDescent="0.3">
      <c r="A221" s="155">
        <v>631</v>
      </c>
      <c r="B221" t="s">
        <v>967</v>
      </c>
      <c r="D221">
        <v>0</v>
      </c>
      <c r="E221">
        <v>0</v>
      </c>
      <c r="F221">
        <v>0</v>
      </c>
      <c r="G221">
        <v>0</v>
      </c>
      <c r="H221">
        <v>0</v>
      </c>
      <c r="I221">
        <v>0</v>
      </c>
      <c r="J221">
        <v>0</v>
      </c>
      <c r="K221">
        <v>0</v>
      </c>
      <c r="L221">
        <v>0</v>
      </c>
      <c r="M221">
        <v>0</v>
      </c>
      <c r="N221">
        <v>0</v>
      </c>
      <c r="O221">
        <v>0</v>
      </c>
      <c r="P221">
        <v>0</v>
      </c>
      <c r="Q221">
        <v>0</v>
      </c>
      <c r="R221">
        <v>0</v>
      </c>
      <c r="S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P221">
        <v>0</v>
      </c>
      <c r="AQ221">
        <v>0</v>
      </c>
      <c r="AR221">
        <v>0</v>
      </c>
      <c r="AS221">
        <v>0</v>
      </c>
      <c r="AT221">
        <v>0</v>
      </c>
      <c r="AU221">
        <v>0</v>
      </c>
      <c r="AV221">
        <v>0</v>
      </c>
      <c r="AX221">
        <v>0</v>
      </c>
      <c r="AY221">
        <v>0</v>
      </c>
      <c r="AZ221">
        <v>0</v>
      </c>
      <c r="BA221">
        <v>0</v>
      </c>
      <c r="BB221">
        <v>0</v>
      </c>
      <c r="BD221">
        <v>0</v>
      </c>
      <c r="BE221">
        <v>0</v>
      </c>
      <c r="BF221">
        <v>0</v>
      </c>
      <c r="BG221">
        <v>0</v>
      </c>
      <c r="BH221">
        <v>0</v>
      </c>
      <c r="BI221">
        <v>0</v>
      </c>
      <c r="BJ221">
        <v>0</v>
      </c>
      <c r="BK221">
        <v>0</v>
      </c>
      <c r="BL221">
        <v>0</v>
      </c>
      <c r="BM221">
        <v>0</v>
      </c>
      <c r="BN221">
        <v>0</v>
      </c>
      <c r="BO221">
        <v>0</v>
      </c>
      <c r="BP221">
        <v>0</v>
      </c>
      <c r="BQ221">
        <v>0</v>
      </c>
      <c r="BR221">
        <v>0</v>
      </c>
      <c r="BS221">
        <v>0</v>
      </c>
      <c r="BT221">
        <v>0</v>
      </c>
      <c r="BU221">
        <v>3422159</v>
      </c>
      <c r="BV221">
        <v>0</v>
      </c>
      <c r="BW221">
        <v>0</v>
      </c>
      <c r="BX221">
        <v>0</v>
      </c>
      <c r="BY221">
        <v>0</v>
      </c>
      <c r="BZ221">
        <v>0</v>
      </c>
      <c r="CA221">
        <v>0</v>
      </c>
    </row>
    <row r="222" spans="1:79" x14ac:dyDescent="0.3">
      <c r="A222" s="155">
        <v>632</v>
      </c>
      <c r="B222" t="s">
        <v>968</v>
      </c>
      <c r="D222">
        <v>0</v>
      </c>
      <c r="E222">
        <v>0</v>
      </c>
      <c r="F222">
        <v>0</v>
      </c>
      <c r="G222">
        <v>0</v>
      </c>
      <c r="H222">
        <v>0</v>
      </c>
      <c r="I222">
        <v>0</v>
      </c>
      <c r="J222">
        <v>0</v>
      </c>
      <c r="K222">
        <v>0</v>
      </c>
      <c r="L222">
        <v>0</v>
      </c>
      <c r="M222">
        <v>0</v>
      </c>
      <c r="N222">
        <v>0</v>
      </c>
      <c r="O222">
        <v>0</v>
      </c>
      <c r="P222">
        <v>0</v>
      </c>
      <c r="Q222">
        <v>0</v>
      </c>
      <c r="R222">
        <v>0</v>
      </c>
      <c r="S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P222">
        <v>0</v>
      </c>
      <c r="AQ222">
        <v>0</v>
      </c>
      <c r="AR222">
        <v>0</v>
      </c>
      <c r="AS222">
        <v>0</v>
      </c>
      <c r="AT222">
        <v>0</v>
      </c>
      <c r="AU222">
        <v>0</v>
      </c>
      <c r="AV222">
        <v>0</v>
      </c>
      <c r="AX222">
        <v>0</v>
      </c>
      <c r="AY222">
        <v>0</v>
      </c>
      <c r="AZ222">
        <v>0</v>
      </c>
      <c r="BA222">
        <v>0</v>
      </c>
      <c r="BB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row>
    <row r="223" spans="1:79" x14ac:dyDescent="0.3">
      <c r="A223" s="155">
        <v>633</v>
      </c>
      <c r="B223" t="s">
        <v>373</v>
      </c>
      <c r="D223">
        <v>0</v>
      </c>
      <c r="E223">
        <v>0</v>
      </c>
      <c r="F223">
        <v>32558</v>
      </c>
      <c r="G223">
        <v>10666334</v>
      </c>
      <c r="H223">
        <v>418876</v>
      </c>
      <c r="I223">
        <v>55153</v>
      </c>
      <c r="J223">
        <v>114756</v>
      </c>
      <c r="K223">
        <v>603625</v>
      </c>
      <c r="L223">
        <v>5270400</v>
      </c>
      <c r="M223">
        <v>0</v>
      </c>
      <c r="N223">
        <v>14606</v>
      </c>
      <c r="O223">
        <v>252968</v>
      </c>
      <c r="P223">
        <v>0</v>
      </c>
      <c r="Q223">
        <v>1287085</v>
      </c>
      <c r="R223">
        <v>1584625</v>
      </c>
      <c r="S223">
        <v>3099014</v>
      </c>
      <c r="U223">
        <v>3032431</v>
      </c>
      <c r="V223">
        <v>0</v>
      </c>
      <c r="W223">
        <v>0</v>
      </c>
      <c r="X223">
        <v>146659</v>
      </c>
      <c r="Y223">
        <v>543541</v>
      </c>
      <c r="Z223">
        <v>64620</v>
      </c>
      <c r="AA223">
        <v>351136</v>
      </c>
      <c r="AB223">
        <v>0</v>
      </c>
      <c r="AC223">
        <v>20914</v>
      </c>
      <c r="AD223">
        <v>362930</v>
      </c>
      <c r="AE223">
        <v>316261</v>
      </c>
      <c r="AF223">
        <v>6593</v>
      </c>
      <c r="AG223">
        <v>0</v>
      </c>
      <c r="AH223">
        <v>0</v>
      </c>
      <c r="AI223">
        <v>23466</v>
      </c>
      <c r="AJ223">
        <v>1771013</v>
      </c>
      <c r="AK223">
        <v>24325</v>
      </c>
      <c r="AL223">
        <v>0</v>
      </c>
      <c r="AM223">
        <v>0</v>
      </c>
      <c r="AN223">
        <v>2277368</v>
      </c>
      <c r="AP223">
        <v>0</v>
      </c>
      <c r="AQ223">
        <v>898869</v>
      </c>
      <c r="AR223">
        <v>128198</v>
      </c>
      <c r="AS223">
        <v>36590</v>
      </c>
      <c r="AT223">
        <v>283408</v>
      </c>
      <c r="AU223">
        <v>1302141</v>
      </c>
      <c r="AV223">
        <v>89156</v>
      </c>
      <c r="AX223">
        <v>78630</v>
      </c>
      <c r="AY223">
        <v>191115</v>
      </c>
      <c r="AZ223">
        <v>359002</v>
      </c>
      <c r="BA223">
        <v>31298</v>
      </c>
      <c r="BB223">
        <v>134360</v>
      </c>
      <c r="BD223">
        <v>0</v>
      </c>
      <c r="BE223">
        <v>836387</v>
      </c>
      <c r="BF223">
        <v>129373</v>
      </c>
      <c r="BG223">
        <v>0</v>
      </c>
      <c r="BH223">
        <v>383188</v>
      </c>
      <c r="BI223">
        <v>197433</v>
      </c>
      <c r="BJ223">
        <v>179117</v>
      </c>
      <c r="BK223">
        <v>213462</v>
      </c>
      <c r="BL223">
        <v>305353</v>
      </c>
      <c r="BM223">
        <v>0</v>
      </c>
      <c r="BN223">
        <v>623228</v>
      </c>
      <c r="BO223">
        <v>233931</v>
      </c>
      <c r="BP223">
        <v>77516</v>
      </c>
      <c r="BQ223">
        <v>217332</v>
      </c>
      <c r="BR223">
        <v>0</v>
      </c>
      <c r="BS223">
        <v>0</v>
      </c>
      <c r="BT223">
        <v>112048</v>
      </c>
      <c r="BU223">
        <v>407556</v>
      </c>
      <c r="BV223">
        <v>93557</v>
      </c>
      <c r="BW223">
        <v>221877</v>
      </c>
      <c r="BX223">
        <v>0</v>
      </c>
      <c r="BY223">
        <v>0</v>
      </c>
      <c r="BZ223">
        <v>2127339</v>
      </c>
      <c r="CA223">
        <v>0</v>
      </c>
    </row>
    <row r="224" spans="1:79" x14ac:dyDescent="0.3">
      <c r="A224" s="155">
        <v>634</v>
      </c>
      <c r="B224" t="s">
        <v>374</v>
      </c>
      <c r="D224">
        <v>0</v>
      </c>
      <c r="E224">
        <v>0</v>
      </c>
      <c r="F224">
        <v>0</v>
      </c>
      <c r="G224">
        <v>0</v>
      </c>
      <c r="H224">
        <v>0</v>
      </c>
      <c r="I224">
        <v>0</v>
      </c>
      <c r="J224">
        <v>0</v>
      </c>
      <c r="K224">
        <v>0</v>
      </c>
      <c r="L224">
        <v>0</v>
      </c>
      <c r="M224">
        <v>0</v>
      </c>
      <c r="N224">
        <v>0</v>
      </c>
      <c r="O224">
        <v>0</v>
      </c>
      <c r="P224">
        <v>0</v>
      </c>
      <c r="Q224">
        <v>0</v>
      </c>
      <c r="R224">
        <v>0</v>
      </c>
      <c r="S224">
        <v>0</v>
      </c>
      <c r="U224">
        <v>81457</v>
      </c>
      <c r="V224">
        <v>0</v>
      </c>
      <c r="W224">
        <v>0</v>
      </c>
      <c r="X224">
        <v>144421</v>
      </c>
      <c r="Y224">
        <v>0</v>
      </c>
      <c r="Z224">
        <v>0</v>
      </c>
      <c r="AA224">
        <v>0</v>
      </c>
      <c r="AB224">
        <v>0</v>
      </c>
      <c r="AC224">
        <v>0</v>
      </c>
      <c r="AD224">
        <v>0</v>
      </c>
      <c r="AE224">
        <v>0</v>
      </c>
      <c r="AF224">
        <v>0</v>
      </c>
      <c r="AG224">
        <v>0</v>
      </c>
      <c r="AH224">
        <v>0</v>
      </c>
      <c r="AI224">
        <v>0</v>
      </c>
      <c r="AJ224">
        <v>0</v>
      </c>
      <c r="AK224">
        <v>0</v>
      </c>
      <c r="AL224">
        <v>0</v>
      </c>
      <c r="AM224">
        <v>0</v>
      </c>
      <c r="AN224">
        <v>0</v>
      </c>
      <c r="AP224">
        <v>0</v>
      </c>
      <c r="AQ224">
        <v>0</v>
      </c>
      <c r="AR224">
        <v>0</v>
      </c>
      <c r="AS224">
        <v>0</v>
      </c>
      <c r="AT224">
        <v>0</v>
      </c>
      <c r="AU224">
        <v>0</v>
      </c>
      <c r="AV224">
        <v>0</v>
      </c>
      <c r="AX224">
        <v>0</v>
      </c>
      <c r="AY224">
        <v>0</v>
      </c>
      <c r="AZ224">
        <v>0</v>
      </c>
      <c r="BA224">
        <v>0</v>
      </c>
      <c r="BB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8875</v>
      </c>
      <c r="BW224">
        <v>0</v>
      </c>
      <c r="BX224">
        <v>0</v>
      </c>
      <c r="BY224">
        <v>0</v>
      </c>
      <c r="BZ224">
        <v>0</v>
      </c>
      <c r="CA224">
        <v>0</v>
      </c>
    </row>
    <row r="225" spans="1:79" x14ac:dyDescent="0.3">
      <c r="A225" s="155">
        <v>635</v>
      </c>
      <c r="B225" t="s">
        <v>375</v>
      </c>
      <c r="D225">
        <v>0</v>
      </c>
      <c r="E225">
        <v>0</v>
      </c>
      <c r="F225">
        <v>4994</v>
      </c>
      <c r="G225">
        <v>219619</v>
      </c>
      <c r="H225">
        <v>21000</v>
      </c>
      <c r="I225">
        <v>897</v>
      </c>
      <c r="J225">
        <v>14396</v>
      </c>
      <c r="K225">
        <v>29503</v>
      </c>
      <c r="L225">
        <v>150500</v>
      </c>
      <c r="M225">
        <v>0</v>
      </c>
      <c r="N225">
        <v>2703</v>
      </c>
      <c r="O225">
        <v>23903</v>
      </c>
      <c r="P225">
        <v>0</v>
      </c>
      <c r="Q225">
        <v>70000</v>
      </c>
      <c r="R225">
        <v>75728</v>
      </c>
      <c r="S225">
        <v>32357</v>
      </c>
      <c r="U225">
        <v>28790</v>
      </c>
      <c r="V225">
        <v>0</v>
      </c>
      <c r="W225">
        <v>0</v>
      </c>
      <c r="X225">
        <v>0</v>
      </c>
      <c r="Y225">
        <v>25943</v>
      </c>
      <c r="Z225">
        <v>0</v>
      </c>
      <c r="AA225">
        <v>1351</v>
      </c>
      <c r="AB225">
        <v>0</v>
      </c>
      <c r="AC225">
        <v>0</v>
      </c>
      <c r="AD225">
        <v>7427</v>
      </c>
      <c r="AE225">
        <v>6628</v>
      </c>
      <c r="AF225">
        <v>0</v>
      </c>
      <c r="AG225">
        <v>0</v>
      </c>
      <c r="AH225">
        <v>0</v>
      </c>
      <c r="AI225">
        <v>0</v>
      </c>
      <c r="AJ225">
        <v>46092</v>
      </c>
      <c r="AK225">
        <v>0</v>
      </c>
      <c r="AL225">
        <v>0</v>
      </c>
      <c r="AM225">
        <v>0</v>
      </c>
      <c r="AN225">
        <v>47352</v>
      </c>
      <c r="AP225">
        <v>0</v>
      </c>
      <c r="AQ225">
        <v>134000</v>
      </c>
      <c r="AR225">
        <v>15000</v>
      </c>
      <c r="AS225">
        <v>0</v>
      </c>
      <c r="AT225">
        <v>0</v>
      </c>
      <c r="AU225">
        <v>63437</v>
      </c>
      <c r="AV225">
        <v>3784</v>
      </c>
      <c r="AX225">
        <v>0</v>
      </c>
      <c r="AY225">
        <v>0</v>
      </c>
      <c r="AZ225">
        <v>0</v>
      </c>
      <c r="BA225">
        <v>0</v>
      </c>
      <c r="BB225">
        <v>0</v>
      </c>
      <c r="BD225">
        <v>0</v>
      </c>
      <c r="BE225">
        <v>66838</v>
      </c>
      <c r="BF225">
        <v>0</v>
      </c>
      <c r="BG225">
        <v>0</v>
      </c>
      <c r="BH225">
        <v>0</v>
      </c>
      <c r="BI225">
        <v>14755</v>
      </c>
      <c r="BJ225">
        <v>4777</v>
      </c>
      <c r="BK225">
        <v>0</v>
      </c>
      <c r="BL225">
        <v>21500</v>
      </c>
      <c r="BM225">
        <v>0</v>
      </c>
      <c r="BN225">
        <v>33000</v>
      </c>
      <c r="BO225">
        <v>11155</v>
      </c>
      <c r="BP225">
        <v>3537</v>
      </c>
      <c r="BQ225">
        <v>0</v>
      </c>
      <c r="BR225">
        <v>0</v>
      </c>
      <c r="BS225">
        <v>0</v>
      </c>
      <c r="BT225">
        <v>0</v>
      </c>
      <c r="BU225">
        <v>60227</v>
      </c>
      <c r="BV225">
        <v>3000</v>
      </c>
      <c r="BW225">
        <v>0</v>
      </c>
      <c r="BX225">
        <v>0</v>
      </c>
      <c r="BY225">
        <v>0</v>
      </c>
      <c r="BZ225">
        <v>66299</v>
      </c>
      <c r="CA225">
        <v>0</v>
      </c>
    </row>
    <row r="226" spans="1:79" x14ac:dyDescent="0.3">
      <c r="A226" s="155">
        <v>636</v>
      </c>
      <c r="B226" t="s">
        <v>1671</v>
      </c>
      <c r="D226">
        <v>0</v>
      </c>
      <c r="E226">
        <v>0</v>
      </c>
      <c r="F226">
        <v>0</v>
      </c>
      <c r="G226">
        <v>0</v>
      </c>
      <c r="H226">
        <v>0</v>
      </c>
      <c r="I226">
        <v>0</v>
      </c>
      <c r="J226">
        <v>0</v>
      </c>
      <c r="K226">
        <v>0</v>
      </c>
      <c r="L226">
        <v>0</v>
      </c>
      <c r="M226">
        <v>0</v>
      </c>
      <c r="N226">
        <v>0</v>
      </c>
      <c r="O226">
        <v>0</v>
      </c>
      <c r="P226">
        <v>0</v>
      </c>
      <c r="Q226">
        <v>0</v>
      </c>
      <c r="R226">
        <v>0</v>
      </c>
      <c r="S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P226">
        <v>0</v>
      </c>
      <c r="AQ226">
        <v>0</v>
      </c>
      <c r="AR226">
        <v>0</v>
      </c>
      <c r="AS226">
        <v>0</v>
      </c>
      <c r="AT226">
        <v>0</v>
      </c>
      <c r="AU226">
        <v>0</v>
      </c>
      <c r="AV226">
        <v>0</v>
      </c>
      <c r="AX226">
        <v>0</v>
      </c>
      <c r="AY226">
        <v>0</v>
      </c>
      <c r="AZ226">
        <v>0</v>
      </c>
      <c r="BA226">
        <v>0</v>
      </c>
      <c r="BB226">
        <v>0</v>
      </c>
      <c r="BD226">
        <v>0</v>
      </c>
      <c r="BE226">
        <v>0</v>
      </c>
      <c r="BF226">
        <v>0</v>
      </c>
      <c r="BG226">
        <v>0</v>
      </c>
      <c r="BH226">
        <v>0</v>
      </c>
      <c r="BI226">
        <v>0</v>
      </c>
      <c r="BJ226">
        <v>0</v>
      </c>
      <c r="BK226">
        <v>0</v>
      </c>
      <c r="BL226">
        <v>0</v>
      </c>
      <c r="BM226">
        <v>0</v>
      </c>
      <c r="BN226">
        <v>0</v>
      </c>
      <c r="BO226">
        <v>0</v>
      </c>
      <c r="BP226">
        <v>0</v>
      </c>
      <c r="BQ226">
        <v>0</v>
      </c>
      <c r="BR226">
        <v>0</v>
      </c>
      <c r="BS226">
        <v>0</v>
      </c>
      <c r="BT226">
        <v>0</v>
      </c>
      <c r="BU226">
        <v>260002</v>
      </c>
      <c r="BV226">
        <v>0</v>
      </c>
      <c r="BW226">
        <v>0</v>
      </c>
      <c r="BX226">
        <v>0</v>
      </c>
      <c r="BY226">
        <v>0</v>
      </c>
      <c r="BZ226">
        <v>0</v>
      </c>
      <c r="CA226">
        <v>0</v>
      </c>
    </row>
    <row r="227" spans="1:79" x14ac:dyDescent="0.3">
      <c r="A227" s="155">
        <v>637</v>
      </c>
      <c r="B227" t="s">
        <v>1672</v>
      </c>
      <c r="D227">
        <v>0</v>
      </c>
      <c r="E227">
        <v>0</v>
      </c>
      <c r="F227">
        <v>10333</v>
      </c>
      <c r="G227">
        <v>0</v>
      </c>
      <c r="H227">
        <v>39661</v>
      </c>
      <c r="I227">
        <v>26894</v>
      </c>
      <c r="J227">
        <v>73150</v>
      </c>
      <c r="K227">
        <v>0</v>
      </c>
      <c r="L227">
        <v>421210</v>
      </c>
      <c r="M227">
        <v>0</v>
      </c>
      <c r="N227">
        <v>0</v>
      </c>
      <c r="O227">
        <v>63475</v>
      </c>
      <c r="P227">
        <v>0</v>
      </c>
      <c r="Q227">
        <v>0</v>
      </c>
      <c r="R227">
        <v>0</v>
      </c>
      <c r="S227">
        <v>1268560</v>
      </c>
      <c r="U227">
        <v>0</v>
      </c>
      <c r="V227">
        <v>0</v>
      </c>
      <c r="W227">
        <v>0</v>
      </c>
      <c r="X227">
        <v>0</v>
      </c>
      <c r="Y227">
        <v>0</v>
      </c>
      <c r="Z227">
        <v>29000</v>
      </c>
      <c r="AA227">
        <v>0</v>
      </c>
      <c r="AB227">
        <v>0</v>
      </c>
      <c r="AC227">
        <v>0</v>
      </c>
      <c r="AD227">
        <v>33277</v>
      </c>
      <c r="AE227">
        <v>21363</v>
      </c>
      <c r="AF227">
        <v>0</v>
      </c>
      <c r="AG227">
        <v>0</v>
      </c>
      <c r="AH227">
        <v>0</v>
      </c>
      <c r="AI227">
        <v>0</v>
      </c>
      <c r="AJ227">
        <v>0</v>
      </c>
      <c r="AK227">
        <v>0</v>
      </c>
      <c r="AL227">
        <v>0</v>
      </c>
      <c r="AM227">
        <v>0</v>
      </c>
      <c r="AN227">
        <v>172617</v>
      </c>
      <c r="AP227">
        <v>0</v>
      </c>
      <c r="AQ227">
        <v>61575</v>
      </c>
      <c r="AR227">
        <v>67345</v>
      </c>
      <c r="AS227">
        <v>25676</v>
      </c>
      <c r="AT227">
        <v>138643</v>
      </c>
      <c r="AU227">
        <v>125118</v>
      </c>
      <c r="AV227">
        <v>50300</v>
      </c>
      <c r="AX227">
        <v>0</v>
      </c>
      <c r="AY227">
        <v>73797</v>
      </c>
      <c r="AZ227">
        <v>0</v>
      </c>
      <c r="BA227">
        <v>0</v>
      </c>
      <c r="BB227">
        <v>0</v>
      </c>
      <c r="BD227">
        <v>0</v>
      </c>
      <c r="BE227">
        <v>42568</v>
      </c>
      <c r="BF227">
        <v>13181</v>
      </c>
      <c r="BG227">
        <v>0</v>
      </c>
      <c r="BH227">
        <v>0</v>
      </c>
      <c r="BI227">
        <v>0</v>
      </c>
      <c r="BJ227">
        <v>0</v>
      </c>
      <c r="BK227">
        <v>41930</v>
      </c>
      <c r="BL227">
        <v>194297</v>
      </c>
      <c r="BM227">
        <v>0</v>
      </c>
      <c r="BN227">
        <v>261968</v>
      </c>
      <c r="BO227">
        <v>0</v>
      </c>
      <c r="BP227">
        <v>37895</v>
      </c>
      <c r="BQ227">
        <v>67237</v>
      </c>
      <c r="BR227">
        <v>0</v>
      </c>
      <c r="BS227">
        <v>0</v>
      </c>
      <c r="BT227">
        <v>0</v>
      </c>
      <c r="BU227">
        <v>0</v>
      </c>
      <c r="BV227">
        <v>44564</v>
      </c>
      <c r="BW227">
        <v>26697</v>
      </c>
      <c r="BX227">
        <v>0</v>
      </c>
      <c r="BY227">
        <v>0</v>
      </c>
      <c r="BZ227">
        <v>671341</v>
      </c>
      <c r="CA227">
        <v>0</v>
      </c>
    </row>
    <row r="228" spans="1:79" x14ac:dyDescent="0.3">
      <c r="A228" s="155">
        <v>638</v>
      </c>
      <c r="B228" t="s">
        <v>1673</v>
      </c>
      <c r="D228">
        <v>0</v>
      </c>
      <c r="E228">
        <v>0</v>
      </c>
      <c r="F228">
        <v>0</v>
      </c>
      <c r="G228">
        <v>0</v>
      </c>
      <c r="H228">
        <v>0</v>
      </c>
      <c r="I228">
        <v>0</v>
      </c>
      <c r="J228">
        <v>0</v>
      </c>
      <c r="K228">
        <v>0</v>
      </c>
      <c r="L228">
        <v>0</v>
      </c>
      <c r="M228">
        <v>0</v>
      </c>
      <c r="N228">
        <v>0</v>
      </c>
      <c r="O228">
        <v>0</v>
      </c>
      <c r="P228">
        <v>0</v>
      </c>
      <c r="Q228">
        <v>0</v>
      </c>
      <c r="R228">
        <v>0</v>
      </c>
      <c r="S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P228">
        <v>0</v>
      </c>
      <c r="AQ228">
        <v>0</v>
      </c>
      <c r="AR228">
        <v>0</v>
      </c>
      <c r="AS228">
        <v>0</v>
      </c>
      <c r="AT228">
        <v>0</v>
      </c>
      <c r="AU228">
        <v>0</v>
      </c>
      <c r="AV228">
        <v>0</v>
      </c>
      <c r="AX228">
        <v>0</v>
      </c>
      <c r="AY228">
        <v>0</v>
      </c>
      <c r="AZ228">
        <v>0</v>
      </c>
      <c r="BA228">
        <v>0</v>
      </c>
      <c r="BB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row>
    <row r="229" spans="1:79" x14ac:dyDescent="0.3">
      <c r="A229" s="155">
        <v>639</v>
      </c>
      <c r="B229" t="s">
        <v>1674</v>
      </c>
      <c r="D229">
        <v>0</v>
      </c>
      <c r="E229">
        <v>0</v>
      </c>
      <c r="F229">
        <v>0</v>
      </c>
      <c r="G229">
        <v>0</v>
      </c>
      <c r="H229">
        <v>0</v>
      </c>
      <c r="I229">
        <v>0</v>
      </c>
      <c r="J229">
        <v>0</v>
      </c>
      <c r="K229">
        <v>0</v>
      </c>
      <c r="L229">
        <v>0</v>
      </c>
      <c r="M229">
        <v>0</v>
      </c>
      <c r="N229">
        <v>0</v>
      </c>
      <c r="O229">
        <v>0</v>
      </c>
      <c r="P229">
        <v>0</v>
      </c>
      <c r="Q229">
        <v>0</v>
      </c>
      <c r="R229">
        <v>0</v>
      </c>
      <c r="S229">
        <v>1221344</v>
      </c>
      <c r="U229">
        <v>2012428</v>
      </c>
      <c r="V229">
        <v>0</v>
      </c>
      <c r="W229">
        <v>0</v>
      </c>
      <c r="X229">
        <v>0</v>
      </c>
      <c r="Y229">
        <v>0</v>
      </c>
      <c r="Z229">
        <v>1744076</v>
      </c>
      <c r="AA229">
        <v>210105</v>
      </c>
      <c r="AB229">
        <v>0</v>
      </c>
      <c r="AC229">
        <v>0</v>
      </c>
      <c r="AD229">
        <v>0</v>
      </c>
      <c r="AE229">
        <v>592989</v>
      </c>
      <c r="AF229">
        <v>0</v>
      </c>
      <c r="AG229">
        <v>0</v>
      </c>
      <c r="AH229">
        <v>0</v>
      </c>
      <c r="AI229">
        <v>0</v>
      </c>
      <c r="AJ229">
        <v>2059492</v>
      </c>
      <c r="AK229">
        <v>0</v>
      </c>
      <c r="AL229">
        <v>0</v>
      </c>
      <c r="AM229">
        <v>0</v>
      </c>
      <c r="AN229">
        <v>0</v>
      </c>
      <c r="AP229">
        <v>0</v>
      </c>
      <c r="AQ229">
        <v>5397478</v>
      </c>
      <c r="AR229">
        <v>0</v>
      </c>
      <c r="AS229">
        <v>0</v>
      </c>
      <c r="AT229">
        <v>0</v>
      </c>
      <c r="AU229">
        <v>911891</v>
      </c>
      <c r="AV229">
        <v>0</v>
      </c>
      <c r="AX229">
        <v>0</v>
      </c>
      <c r="AY229">
        <v>0</v>
      </c>
      <c r="AZ229">
        <v>606781</v>
      </c>
      <c r="BA229">
        <v>0</v>
      </c>
      <c r="BB229">
        <v>0</v>
      </c>
      <c r="BD229">
        <v>0</v>
      </c>
      <c r="BE229">
        <v>3726184</v>
      </c>
      <c r="BF229">
        <v>66985</v>
      </c>
      <c r="BG229">
        <v>0</v>
      </c>
      <c r="BH229">
        <v>0</v>
      </c>
      <c r="BI229">
        <v>0</v>
      </c>
      <c r="BJ229">
        <v>0</v>
      </c>
      <c r="BK229">
        <v>149939</v>
      </c>
      <c r="BL229">
        <v>0</v>
      </c>
      <c r="BM229">
        <v>0</v>
      </c>
      <c r="BN229">
        <v>0</v>
      </c>
      <c r="BO229">
        <v>0</v>
      </c>
      <c r="BP229">
        <v>0</v>
      </c>
      <c r="BQ229">
        <v>0</v>
      </c>
      <c r="BR229">
        <v>0</v>
      </c>
      <c r="BS229">
        <v>0</v>
      </c>
      <c r="BT229">
        <v>0</v>
      </c>
      <c r="BU229">
        <v>0</v>
      </c>
      <c r="BV229">
        <v>0</v>
      </c>
      <c r="BW229">
        <v>0</v>
      </c>
      <c r="BX229">
        <v>0</v>
      </c>
      <c r="BY229">
        <v>0</v>
      </c>
      <c r="BZ229">
        <v>0</v>
      </c>
      <c r="CA229">
        <v>0</v>
      </c>
    </row>
    <row r="230" spans="1:79" x14ac:dyDescent="0.3">
      <c r="A230" s="155">
        <v>640</v>
      </c>
      <c r="B230" t="s">
        <v>1675</v>
      </c>
      <c r="D230">
        <v>0</v>
      </c>
      <c r="E230">
        <v>0</v>
      </c>
      <c r="F230">
        <v>0</v>
      </c>
      <c r="G230">
        <v>0</v>
      </c>
      <c r="H230">
        <v>0</v>
      </c>
      <c r="I230">
        <v>0</v>
      </c>
      <c r="J230">
        <v>0</v>
      </c>
      <c r="K230">
        <v>0</v>
      </c>
      <c r="L230">
        <v>0</v>
      </c>
      <c r="M230">
        <v>0</v>
      </c>
      <c r="N230">
        <v>0</v>
      </c>
      <c r="O230">
        <v>0</v>
      </c>
      <c r="P230">
        <v>0</v>
      </c>
      <c r="Q230">
        <v>0</v>
      </c>
      <c r="R230">
        <v>0</v>
      </c>
      <c r="S230">
        <v>0</v>
      </c>
      <c r="U230">
        <v>214120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P230">
        <v>0</v>
      </c>
      <c r="AQ230">
        <v>0</v>
      </c>
      <c r="AR230">
        <v>0</v>
      </c>
      <c r="AS230">
        <v>0</v>
      </c>
      <c r="AT230">
        <v>0</v>
      </c>
      <c r="AU230">
        <v>0</v>
      </c>
      <c r="AV230">
        <v>0</v>
      </c>
      <c r="AX230">
        <v>0</v>
      </c>
      <c r="AY230">
        <v>0</v>
      </c>
      <c r="AZ230">
        <v>0</v>
      </c>
      <c r="BA230">
        <v>0</v>
      </c>
      <c r="BB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row>
    <row r="231" spans="1:79" x14ac:dyDescent="0.3">
      <c r="A231" s="155">
        <v>641</v>
      </c>
      <c r="B231" t="s">
        <v>1676</v>
      </c>
      <c r="D231">
        <v>0</v>
      </c>
      <c r="E231">
        <v>0</v>
      </c>
      <c r="F231">
        <v>0</v>
      </c>
      <c r="G231">
        <v>0</v>
      </c>
      <c r="H231">
        <v>0</v>
      </c>
      <c r="I231">
        <v>0</v>
      </c>
      <c r="J231">
        <v>0</v>
      </c>
      <c r="K231">
        <v>0</v>
      </c>
      <c r="L231">
        <v>0</v>
      </c>
      <c r="M231">
        <v>0</v>
      </c>
      <c r="N231">
        <v>0</v>
      </c>
      <c r="O231">
        <v>0</v>
      </c>
      <c r="P231">
        <v>0</v>
      </c>
      <c r="Q231">
        <v>0</v>
      </c>
      <c r="R231">
        <v>0</v>
      </c>
      <c r="S231">
        <v>33350</v>
      </c>
      <c r="U231">
        <v>24446</v>
      </c>
      <c r="V231">
        <v>0</v>
      </c>
      <c r="W231">
        <v>0</v>
      </c>
      <c r="X231">
        <v>0</v>
      </c>
      <c r="Y231">
        <v>0</v>
      </c>
      <c r="Z231">
        <v>0</v>
      </c>
      <c r="AA231">
        <v>2597</v>
      </c>
      <c r="AB231">
        <v>0</v>
      </c>
      <c r="AC231">
        <v>0</v>
      </c>
      <c r="AD231">
        <v>0</v>
      </c>
      <c r="AE231">
        <v>35500</v>
      </c>
      <c r="AF231">
        <v>0</v>
      </c>
      <c r="AG231">
        <v>0</v>
      </c>
      <c r="AH231">
        <v>0</v>
      </c>
      <c r="AI231">
        <v>0</v>
      </c>
      <c r="AJ231">
        <v>33448</v>
      </c>
      <c r="AK231">
        <v>0</v>
      </c>
      <c r="AL231">
        <v>0</v>
      </c>
      <c r="AM231">
        <v>0</v>
      </c>
      <c r="AN231">
        <v>0</v>
      </c>
      <c r="AP231">
        <v>0</v>
      </c>
      <c r="AQ231">
        <v>0</v>
      </c>
      <c r="AR231">
        <v>0</v>
      </c>
      <c r="AS231">
        <v>0</v>
      </c>
      <c r="AT231">
        <v>0</v>
      </c>
      <c r="AU231">
        <v>18017</v>
      </c>
      <c r="AV231">
        <v>0</v>
      </c>
      <c r="AX231">
        <v>0</v>
      </c>
      <c r="AY231">
        <v>0</v>
      </c>
      <c r="AZ231">
        <v>0</v>
      </c>
      <c r="BA231">
        <v>0</v>
      </c>
      <c r="BB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row>
    <row r="232" spans="1:79" x14ac:dyDescent="0.3">
      <c r="A232" s="155">
        <v>642</v>
      </c>
      <c r="B232" t="s">
        <v>1677</v>
      </c>
      <c r="D232">
        <v>0</v>
      </c>
      <c r="E232">
        <v>0</v>
      </c>
      <c r="F232">
        <v>0</v>
      </c>
      <c r="G232">
        <v>0</v>
      </c>
      <c r="H232">
        <v>0</v>
      </c>
      <c r="I232">
        <v>0</v>
      </c>
      <c r="J232">
        <v>0</v>
      </c>
      <c r="K232">
        <v>0</v>
      </c>
      <c r="L232">
        <v>0</v>
      </c>
      <c r="M232">
        <v>0</v>
      </c>
      <c r="N232">
        <v>0</v>
      </c>
      <c r="O232">
        <v>0</v>
      </c>
      <c r="P232">
        <v>0</v>
      </c>
      <c r="Q232">
        <v>0</v>
      </c>
      <c r="R232">
        <v>0</v>
      </c>
      <c r="S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P232">
        <v>0</v>
      </c>
      <c r="AQ232">
        <v>0</v>
      </c>
      <c r="AR232">
        <v>0</v>
      </c>
      <c r="AS232">
        <v>0</v>
      </c>
      <c r="AT232">
        <v>0</v>
      </c>
      <c r="AU232">
        <v>0</v>
      </c>
      <c r="AV232">
        <v>0</v>
      </c>
      <c r="AX232">
        <v>0</v>
      </c>
      <c r="AY232">
        <v>0</v>
      </c>
      <c r="AZ232">
        <v>0</v>
      </c>
      <c r="BA232">
        <v>0</v>
      </c>
      <c r="BB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row>
    <row r="233" spans="1:79" x14ac:dyDescent="0.3">
      <c r="A233" s="155">
        <v>643</v>
      </c>
      <c r="B233" t="s">
        <v>1678</v>
      </c>
      <c r="D233">
        <v>0</v>
      </c>
      <c r="E233">
        <v>0</v>
      </c>
      <c r="F233">
        <v>0</v>
      </c>
      <c r="G233">
        <v>0</v>
      </c>
      <c r="H233">
        <v>0</v>
      </c>
      <c r="I233">
        <v>0</v>
      </c>
      <c r="J233">
        <v>0</v>
      </c>
      <c r="K233">
        <v>0</v>
      </c>
      <c r="L233">
        <v>0</v>
      </c>
      <c r="M233">
        <v>0</v>
      </c>
      <c r="N233">
        <v>0</v>
      </c>
      <c r="O233">
        <v>0</v>
      </c>
      <c r="P233">
        <v>0</v>
      </c>
      <c r="Q233">
        <v>0</v>
      </c>
      <c r="R233">
        <v>0</v>
      </c>
      <c r="S233">
        <v>162689</v>
      </c>
      <c r="U233">
        <v>0</v>
      </c>
      <c r="V233">
        <v>0</v>
      </c>
      <c r="W233">
        <v>0</v>
      </c>
      <c r="X233">
        <v>0</v>
      </c>
      <c r="Y233">
        <v>0</v>
      </c>
      <c r="Z233">
        <v>1011333</v>
      </c>
      <c r="AA233">
        <v>0</v>
      </c>
      <c r="AB233">
        <v>0</v>
      </c>
      <c r="AC233">
        <v>0</v>
      </c>
      <c r="AD233">
        <v>0</v>
      </c>
      <c r="AE233">
        <v>125805</v>
      </c>
      <c r="AF233">
        <v>0</v>
      </c>
      <c r="AG233">
        <v>0</v>
      </c>
      <c r="AH233">
        <v>0</v>
      </c>
      <c r="AI233">
        <v>0</v>
      </c>
      <c r="AJ233">
        <v>0</v>
      </c>
      <c r="AK233">
        <v>0</v>
      </c>
      <c r="AL233">
        <v>0</v>
      </c>
      <c r="AM233">
        <v>0</v>
      </c>
      <c r="AN233">
        <v>0</v>
      </c>
      <c r="AP233">
        <v>0</v>
      </c>
      <c r="AQ233">
        <v>707158</v>
      </c>
      <c r="AR233">
        <v>0</v>
      </c>
      <c r="AS233">
        <v>0</v>
      </c>
      <c r="AT233">
        <v>0</v>
      </c>
      <c r="AU233">
        <v>294805</v>
      </c>
      <c r="AV233">
        <v>0</v>
      </c>
      <c r="AX233">
        <v>0</v>
      </c>
      <c r="AY233">
        <v>0</v>
      </c>
      <c r="AZ233">
        <v>0</v>
      </c>
      <c r="BA233">
        <v>0</v>
      </c>
      <c r="BB233">
        <v>0</v>
      </c>
      <c r="BD233">
        <v>0</v>
      </c>
      <c r="BE233">
        <v>1577750</v>
      </c>
      <c r="BF233">
        <v>31117</v>
      </c>
      <c r="BG233">
        <v>0</v>
      </c>
      <c r="BH233">
        <v>0</v>
      </c>
      <c r="BI233">
        <v>0</v>
      </c>
      <c r="BJ233">
        <v>0</v>
      </c>
      <c r="BK233">
        <v>132423</v>
      </c>
      <c r="BL233">
        <v>0</v>
      </c>
      <c r="BM233">
        <v>0</v>
      </c>
      <c r="BN233">
        <v>0</v>
      </c>
      <c r="BO233">
        <v>0</v>
      </c>
      <c r="BP233">
        <v>0</v>
      </c>
      <c r="BQ233">
        <v>0</v>
      </c>
      <c r="BR233">
        <v>0</v>
      </c>
      <c r="BS233">
        <v>0</v>
      </c>
      <c r="BT233">
        <v>0</v>
      </c>
      <c r="BU233">
        <v>0</v>
      </c>
      <c r="BV233">
        <v>0</v>
      </c>
      <c r="BW233">
        <v>0</v>
      </c>
      <c r="BX233">
        <v>0</v>
      </c>
      <c r="BY233">
        <v>0</v>
      </c>
      <c r="BZ233">
        <v>0</v>
      </c>
      <c r="CA233">
        <v>0</v>
      </c>
    </row>
    <row r="234" spans="1:79" x14ac:dyDescent="0.3">
      <c r="A234" s="155">
        <v>644</v>
      </c>
      <c r="B234" t="s">
        <v>1679</v>
      </c>
      <c r="D234">
        <v>0</v>
      </c>
      <c r="E234">
        <v>0</v>
      </c>
      <c r="F234">
        <v>0</v>
      </c>
      <c r="G234">
        <v>0</v>
      </c>
      <c r="H234">
        <v>0</v>
      </c>
      <c r="I234">
        <v>0</v>
      </c>
      <c r="J234">
        <v>0</v>
      </c>
      <c r="K234">
        <v>0</v>
      </c>
      <c r="L234">
        <v>0</v>
      </c>
      <c r="M234">
        <v>0</v>
      </c>
      <c r="N234">
        <v>0</v>
      </c>
      <c r="O234">
        <v>0</v>
      </c>
      <c r="P234">
        <v>0</v>
      </c>
      <c r="Q234">
        <v>0</v>
      </c>
      <c r="R234">
        <v>0</v>
      </c>
      <c r="S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P234">
        <v>0</v>
      </c>
      <c r="AQ234">
        <v>0</v>
      </c>
      <c r="AR234">
        <v>0</v>
      </c>
      <c r="AS234">
        <v>0</v>
      </c>
      <c r="AT234">
        <v>0</v>
      </c>
      <c r="AU234">
        <v>0</v>
      </c>
      <c r="AV234">
        <v>0</v>
      </c>
      <c r="AX234">
        <v>0</v>
      </c>
      <c r="AY234">
        <v>0</v>
      </c>
      <c r="AZ234">
        <v>0</v>
      </c>
      <c r="BA234">
        <v>0</v>
      </c>
      <c r="BB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row>
    <row r="235" spans="1:79" x14ac:dyDescent="0.3">
      <c r="A235" s="155">
        <v>645</v>
      </c>
      <c r="B235" t="s">
        <v>386</v>
      </c>
      <c r="D235">
        <v>0</v>
      </c>
      <c r="E235">
        <v>0</v>
      </c>
      <c r="F235">
        <v>0</v>
      </c>
      <c r="G235">
        <v>5401419</v>
      </c>
      <c r="H235">
        <v>1040285</v>
      </c>
      <c r="I235">
        <v>14140</v>
      </c>
      <c r="J235">
        <v>315000</v>
      </c>
      <c r="K235">
        <v>0</v>
      </c>
      <c r="L235">
        <v>0</v>
      </c>
      <c r="M235">
        <v>0</v>
      </c>
      <c r="N235">
        <v>0</v>
      </c>
      <c r="O235">
        <v>0</v>
      </c>
      <c r="P235">
        <v>560000</v>
      </c>
      <c r="Q235">
        <v>1953126</v>
      </c>
      <c r="R235">
        <v>0</v>
      </c>
      <c r="S235">
        <v>120000</v>
      </c>
      <c r="U235">
        <v>749963</v>
      </c>
      <c r="V235">
        <v>9200</v>
      </c>
      <c r="W235">
        <v>0</v>
      </c>
      <c r="X235">
        <v>347437</v>
      </c>
      <c r="Y235">
        <v>921362</v>
      </c>
      <c r="Z235">
        <v>0</v>
      </c>
      <c r="AA235">
        <v>50000</v>
      </c>
      <c r="AB235">
        <v>11220</v>
      </c>
      <c r="AC235">
        <v>0</v>
      </c>
      <c r="AD235">
        <v>66322</v>
      </c>
      <c r="AE235">
        <v>30800</v>
      </c>
      <c r="AF235">
        <v>0</v>
      </c>
      <c r="AG235">
        <v>16947</v>
      </c>
      <c r="AH235">
        <v>0</v>
      </c>
      <c r="AI235">
        <v>122100</v>
      </c>
      <c r="AJ235">
        <v>542415</v>
      </c>
      <c r="AK235">
        <v>0</v>
      </c>
      <c r="AL235">
        <v>0</v>
      </c>
      <c r="AM235">
        <v>0</v>
      </c>
      <c r="AN235">
        <v>0</v>
      </c>
      <c r="AP235">
        <v>425954</v>
      </c>
      <c r="AQ235">
        <v>2355903</v>
      </c>
      <c r="AR235">
        <v>0</v>
      </c>
      <c r="AS235">
        <v>0</v>
      </c>
      <c r="AT235">
        <v>0</v>
      </c>
      <c r="AU235">
        <v>0</v>
      </c>
      <c r="AV235">
        <v>0</v>
      </c>
      <c r="AX235">
        <v>475663</v>
      </c>
      <c r="AY235">
        <v>0</v>
      </c>
      <c r="AZ235">
        <v>360069</v>
      </c>
      <c r="BA235">
        <v>0</v>
      </c>
      <c r="BB235">
        <v>0</v>
      </c>
      <c r="BD235">
        <v>56360</v>
      </c>
      <c r="BE235">
        <v>1310395</v>
      </c>
      <c r="BF235">
        <v>0</v>
      </c>
      <c r="BG235">
        <v>0</v>
      </c>
      <c r="BH235">
        <v>91341</v>
      </c>
      <c r="BI235">
        <v>158290</v>
      </c>
      <c r="BJ235">
        <v>0</v>
      </c>
      <c r="BK235">
        <v>0</v>
      </c>
      <c r="BL235">
        <v>1597537</v>
      </c>
      <c r="BM235">
        <v>0</v>
      </c>
      <c r="BN235">
        <v>592755</v>
      </c>
      <c r="BO235">
        <v>140000</v>
      </c>
      <c r="BP235">
        <v>534678</v>
      </c>
      <c r="BQ235">
        <v>490518</v>
      </c>
      <c r="BR235">
        <v>797914</v>
      </c>
      <c r="BS235">
        <v>2034313</v>
      </c>
      <c r="BT235">
        <v>110000</v>
      </c>
      <c r="BU235">
        <v>0</v>
      </c>
      <c r="BV235">
        <v>0</v>
      </c>
      <c r="BW235">
        <v>0</v>
      </c>
      <c r="BX235">
        <v>0</v>
      </c>
      <c r="BY235">
        <v>20000</v>
      </c>
      <c r="BZ235">
        <v>1950000</v>
      </c>
      <c r="CA235">
        <v>0</v>
      </c>
    </row>
    <row r="236" spans="1:79" x14ac:dyDescent="0.3">
      <c r="A236" s="155">
        <v>646</v>
      </c>
      <c r="B236" t="s">
        <v>361</v>
      </c>
      <c r="D236">
        <v>507201</v>
      </c>
      <c r="E236">
        <v>18147012</v>
      </c>
      <c r="F236">
        <v>494191</v>
      </c>
      <c r="G236">
        <v>15398830</v>
      </c>
      <c r="H236">
        <v>2438831</v>
      </c>
      <c r="I236">
        <v>404568</v>
      </c>
      <c r="J236">
        <v>2180493</v>
      </c>
      <c r="K236">
        <v>1179324</v>
      </c>
      <c r="L236">
        <v>17389033</v>
      </c>
      <c r="M236">
        <v>0</v>
      </c>
      <c r="N236">
        <v>582808</v>
      </c>
      <c r="O236">
        <v>765124</v>
      </c>
      <c r="P236">
        <v>8963557</v>
      </c>
      <c r="Q236">
        <v>13393221</v>
      </c>
      <c r="R236">
        <v>2407672</v>
      </c>
      <c r="S236">
        <v>8296491</v>
      </c>
      <c r="U236">
        <v>5007543</v>
      </c>
      <c r="V236">
        <v>155474</v>
      </c>
      <c r="W236">
        <v>7980859</v>
      </c>
      <c r="X236">
        <v>6059896</v>
      </c>
      <c r="Y236">
        <v>4335032</v>
      </c>
      <c r="Z236">
        <v>1864189</v>
      </c>
      <c r="AA236">
        <v>4037950</v>
      </c>
      <c r="AB236">
        <v>943243</v>
      </c>
      <c r="AC236">
        <v>0</v>
      </c>
      <c r="AD236">
        <v>1164508</v>
      </c>
      <c r="AE236">
        <v>1629816</v>
      </c>
      <c r="AF236">
        <v>76982</v>
      </c>
      <c r="AG236">
        <v>55545</v>
      </c>
      <c r="AH236">
        <v>148435</v>
      </c>
      <c r="AI236">
        <v>2472317</v>
      </c>
      <c r="AJ236">
        <v>2311326</v>
      </c>
      <c r="AK236">
        <v>294143</v>
      </c>
      <c r="AL236">
        <v>0</v>
      </c>
      <c r="AM236">
        <v>11613262</v>
      </c>
      <c r="AN236">
        <v>12613832</v>
      </c>
      <c r="AP236">
        <v>4823179</v>
      </c>
      <c r="AQ236">
        <v>6891327</v>
      </c>
      <c r="AR236">
        <v>2430346</v>
      </c>
      <c r="AS236">
        <v>518881</v>
      </c>
      <c r="AT236">
        <v>1603144</v>
      </c>
      <c r="AU236">
        <v>4250111</v>
      </c>
      <c r="AV236">
        <v>191074</v>
      </c>
      <c r="AX236">
        <v>3027322</v>
      </c>
      <c r="AY236">
        <v>2571546</v>
      </c>
      <c r="AZ236">
        <v>983380</v>
      </c>
      <c r="BA236">
        <v>86205</v>
      </c>
      <c r="BB236">
        <v>1774444</v>
      </c>
      <c r="BD236">
        <v>333499</v>
      </c>
      <c r="BE236">
        <v>861110</v>
      </c>
      <c r="BF236">
        <v>614934</v>
      </c>
      <c r="BG236">
        <v>179679</v>
      </c>
      <c r="BH236">
        <v>2997242</v>
      </c>
      <c r="BI236">
        <v>3284723</v>
      </c>
      <c r="BJ236">
        <v>278203</v>
      </c>
      <c r="BK236">
        <v>3497309</v>
      </c>
      <c r="BL236">
        <v>4752117</v>
      </c>
      <c r="BM236">
        <v>0</v>
      </c>
      <c r="BN236">
        <v>2724208</v>
      </c>
      <c r="BO236">
        <v>3963376</v>
      </c>
      <c r="BP236">
        <v>771370</v>
      </c>
      <c r="BQ236">
        <v>80968</v>
      </c>
      <c r="BR236">
        <v>1311122</v>
      </c>
      <c r="BS236">
        <v>8600067</v>
      </c>
      <c r="BT236">
        <v>2246032</v>
      </c>
      <c r="BU236">
        <v>1600833</v>
      </c>
      <c r="BV236">
        <v>787128</v>
      </c>
      <c r="BW236">
        <v>959349</v>
      </c>
      <c r="BX236">
        <v>177412</v>
      </c>
      <c r="BY236">
        <v>166933</v>
      </c>
      <c r="BZ236">
        <v>10332231</v>
      </c>
      <c r="CA236">
        <v>50369</v>
      </c>
    </row>
    <row r="237" spans="1:79" x14ac:dyDescent="0.3">
      <c r="A237" s="155">
        <v>647</v>
      </c>
      <c r="B237" t="s">
        <v>969</v>
      </c>
      <c r="D237">
        <v>0</v>
      </c>
      <c r="E237">
        <v>3565077</v>
      </c>
      <c r="F237">
        <v>0</v>
      </c>
      <c r="G237">
        <v>0</v>
      </c>
      <c r="H237">
        <v>0</v>
      </c>
      <c r="I237">
        <v>0</v>
      </c>
      <c r="J237">
        <v>0</v>
      </c>
      <c r="K237">
        <v>0</v>
      </c>
      <c r="L237">
        <v>0</v>
      </c>
      <c r="M237">
        <v>0</v>
      </c>
      <c r="N237">
        <v>0</v>
      </c>
      <c r="O237">
        <v>0</v>
      </c>
      <c r="P237">
        <v>0</v>
      </c>
      <c r="Q237">
        <v>0</v>
      </c>
      <c r="R237">
        <v>0</v>
      </c>
      <c r="S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P237">
        <v>0</v>
      </c>
      <c r="AQ237">
        <v>0</v>
      </c>
      <c r="AR237">
        <v>0</v>
      </c>
      <c r="AS237">
        <v>0</v>
      </c>
      <c r="AT237">
        <v>0</v>
      </c>
      <c r="AU237">
        <v>0</v>
      </c>
      <c r="AV237">
        <v>0</v>
      </c>
      <c r="AX237">
        <v>0</v>
      </c>
      <c r="AY237">
        <v>0</v>
      </c>
      <c r="AZ237">
        <v>0</v>
      </c>
      <c r="BA237">
        <v>0</v>
      </c>
      <c r="BB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row>
    <row r="238" spans="1:79" x14ac:dyDescent="0.3">
      <c r="A238" s="155">
        <v>648</v>
      </c>
      <c r="B238" t="s">
        <v>608</v>
      </c>
      <c r="D238">
        <v>0.28499999999999998</v>
      </c>
      <c r="E238">
        <v>0.185</v>
      </c>
      <c r="F238">
        <v>0.59499999999999997</v>
      </c>
      <c r="G238">
        <v>0.64200000000000002</v>
      </c>
      <c r="H238">
        <v>0.46800000000000003</v>
      </c>
      <c r="I238">
        <v>0.73</v>
      </c>
      <c r="J238">
        <v>0</v>
      </c>
      <c r="K238">
        <v>0.5</v>
      </c>
      <c r="L238">
        <v>0.63</v>
      </c>
      <c r="M238">
        <v>0.36</v>
      </c>
      <c r="N238">
        <v>0</v>
      </c>
      <c r="O238">
        <v>0.61</v>
      </c>
      <c r="P238">
        <v>0.56999999999999995</v>
      </c>
      <c r="Q238">
        <v>0.32</v>
      </c>
      <c r="R238">
        <v>0</v>
      </c>
      <c r="S238">
        <v>0.43</v>
      </c>
      <c r="U238">
        <v>0.73</v>
      </c>
      <c r="V238">
        <v>0.1</v>
      </c>
      <c r="W238">
        <v>0.3</v>
      </c>
      <c r="X238">
        <v>0.42</v>
      </c>
      <c r="Y238">
        <v>0.34</v>
      </c>
      <c r="Z238">
        <v>0.53200000000000003</v>
      </c>
      <c r="AA238">
        <v>0.42</v>
      </c>
      <c r="AB238">
        <v>0.25</v>
      </c>
      <c r="AC238">
        <v>2.5999999999999999E-3</v>
      </c>
      <c r="AD238">
        <v>0.2</v>
      </c>
      <c r="AE238">
        <v>0.53</v>
      </c>
      <c r="AF238">
        <v>0.35</v>
      </c>
      <c r="AG238">
        <v>0.25</v>
      </c>
      <c r="AH238">
        <v>0.22</v>
      </c>
      <c r="AI238">
        <v>0.435</v>
      </c>
      <c r="AJ238">
        <v>0.4</v>
      </c>
      <c r="AK238">
        <v>0</v>
      </c>
      <c r="AL238">
        <v>0.25</v>
      </c>
      <c r="AM238">
        <v>0.21</v>
      </c>
      <c r="AN238">
        <v>0.58850000000000002</v>
      </c>
      <c r="AP238">
        <v>0.17699999999999999</v>
      </c>
      <c r="AQ238">
        <v>0.65</v>
      </c>
      <c r="AR238">
        <v>0.64</v>
      </c>
      <c r="AS238">
        <v>0.48</v>
      </c>
      <c r="AT238">
        <v>0.52</v>
      </c>
      <c r="AU238">
        <v>0.56000000000000005</v>
      </c>
      <c r="AV238">
        <v>0.3</v>
      </c>
      <c r="AX238">
        <v>0.36</v>
      </c>
      <c r="AY238">
        <v>0</v>
      </c>
      <c r="AZ238">
        <v>0.45</v>
      </c>
      <c r="BA238">
        <v>0.25</v>
      </c>
      <c r="BB238">
        <v>0.46</v>
      </c>
      <c r="BD238">
        <v>0.35</v>
      </c>
      <c r="BE238">
        <v>0.65</v>
      </c>
      <c r="BF238">
        <v>0.37</v>
      </c>
      <c r="BG238">
        <v>0.3</v>
      </c>
      <c r="BH238">
        <v>0.73</v>
      </c>
      <c r="BI238">
        <v>0.43</v>
      </c>
      <c r="BJ238">
        <v>0</v>
      </c>
      <c r="BK238">
        <v>0.38</v>
      </c>
      <c r="BL238">
        <v>0</v>
      </c>
      <c r="BM238">
        <v>0</v>
      </c>
      <c r="BN238">
        <v>0</v>
      </c>
      <c r="BO238">
        <v>0</v>
      </c>
      <c r="BP238">
        <v>0.49</v>
      </c>
      <c r="BQ238">
        <v>0.51</v>
      </c>
      <c r="BR238">
        <v>0</v>
      </c>
      <c r="BS238">
        <v>0.28000000000000003</v>
      </c>
      <c r="BT238">
        <v>0.8</v>
      </c>
      <c r="BU238">
        <v>0.63</v>
      </c>
      <c r="BV238">
        <v>0.51</v>
      </c>
      <c r="BW238">
        <v>0.33</v>
      </c>
      <c r="BX238">
        <v>0</v>
      </c>
      <c r="BY238">
        <v>0.28999999999999998</v>
      </c>
      <c r="BZ238">
        <v>0.47</v>
      </c>
      <c r="CA238">
        <v>0.23</v>
      </c>
    </row>
    <row r="239" spans="1:79" x14ac:dyDescent="0.3">
      <c r="A239" s="155">
        <v>654</v>
      </c>
      <c r="B239" t="s">
        <v>416</v>
      </c>
      <c r="D239">
        <v>0</v>
      </c>
      <c r="E239">
        <v>0</v>
      </c>
      <c r="F239">
        <v>269555</v>
      </c>
      <c r="G239">
        <v>50191839</v>
      </c>
      <c r="H239">
        <v>10538662</v>
      </c>
      <c r="I239">
        <v>269059</v>
      </c>
      <c r="J239">
        <v>6572188</v>
      </c>
      <c r="K239">
        <v>1287285</v>
      </c>
      <c r="L239">
        <v>15094466</v>
      </c>
      <c r="M239">
        <v>0</v>
      </c>
      <c r="N239">
        <v>2035897</v>
      </c>
      <c r="O239">
        <v>6621105</v>
      </c>
      <c r="P239">
        <v>0</v>
      </c>
      <c r="Q239">
        <v>9984678</v>
      </c>
      <c r="R239">
        <v>8819865</v>
      </c>
      <c r="S239">
        <v>9535306</v>
      </c>
      <c r="U239">
        <v>12233571</v>
      </c>
      <c r="V239">
        <v>0</v>
      </c>
      <c r="W239">
        <v>0</v>
      </c>
      <c r="X239">
        <v>185109</v>
      </c>
      <c r="Y239">
        <v>3334636</v>
      </c>
      <c r="Z239">
        <v>1387476</v>
      </c>
      <c r="AA239">
        <v>1296750</v>
      </c>
      <c r="AB239">
        <v>0</v>
      </c>
      <c r="AC239">
        <v>123420</v>
      </c>
      <c r="AD239">
        <v>1956281</v>
      </c>
      <c r="AE239">
        <v>2215628</v>
      </c>
      <c r="AF239">
        <v>664411</v>
      </c>
      <c r="AG239">
        <v>0</v>
      </c>
      <c r="AH239">
        <v>0</v>
      </c>
      <c r="AI239">
        <v>919466</v>
      </c>
      <c r="AJ239">
        <v>6542015</v>
      </c>
      <c r="AK239">
        <v>216161</v>
      </c>
      <c r="AL239">
        <v>0</v>
      </c>
      <c r="AM239">
        <v>0</v>
      </c>
      <c r="AN239">
        <v>13339392</v>
      </c>
      <c r="AP239">
        <v>0</v>
      </c>
      <c r="AQ239">
        <v>6793051</v>
      </c>
      <c r="AR239">
        <v>1024291</v>
      </c>
      <c r="AS239">
        <v>302198</v>
      </c>
      <c r="AT239">
        <v>1484174</v>
      </c>
      <c r="AU239">
        <v>7575618</v>
      </c>
      <c r="AV239">
        <v>1346810</v>
      </c>
      <c r="AX239">
        <v>1704055</v>
      </c>
      <c r="AY239">
        <v>1565167</v>
      </c>
      <c r="AZ239">
        <v>2161716</v>
      </c>
      <c r="BA239">
        <v>3122</v>
      </c>
      <c r="BB239">
        <v>722797</v>
      </c>
      <c r="BD239">
        <v>0</v>
      </c>
      <c r="BE239">
        <v>9405911</v>
      </c>
      <c r="BF239">
        <v>48856</v>
      </c>
      <c r="BG239">
        <v>0</v>
      </c>
      <c r="BH239">
        <v>923361</v>
      </c>
      <c r="BI239">
        <v>2330284</v>
      </c>
      <c r="BJ239">
        <v>124802</v>
      </c>
      <c r="BK239">
        <v>6460083</v>
      </c>
      <c r="BL239">
        <v>3560220</v>
      </c>
      <c r="BM239">
        <v>0</v>
      </c>
      <c r="BN239">
        <v>2850352</v>
      </c>
      <c r="BO239">
        <v>3945919</v>
      </c>
      <c r="BP239">
        <v>1301760</v>
      </c>
      <c r="BQ239">
        <v>3147545</v>
      </c>
      <c r="BR239">
        <v>0</v>
      </c>
      <c r="BS239">
        <v>0</v>
      </c>
      <c r="BT239">
        <v>1313911</v>
      </c>
      <c r="BU239">
        <v>2187333</v>
      </c>
      <c r="BV239">
        <v>1243457</v>
      </c>
      <c r="BW239">
        <v>1648055</v>
      </c>
      <c r="BX239">
        <v>0</v>
      </c>
      <c r="BY239">
        <v>0</v>
      </c>
      <c r="BZ239">
        <v>11632606</v>
      </c>
      <c r="CA239">
        <v>0</v>
      </c>
    </row>
    <row r="240" spans="1:79" x14ac:dyDescent="0.3">
      <c r="A240" s="155">
        <v>655</v>
      </c>
      <c r="B240" t="s">
        <v>970</v>
      </c>
      <c r="D240">
        <v>0</v>
      </c>
      <c r="E240">
        <v>0</v>
      </c>
      <c r="F240">
        <v>10333</v>
      </c>
      <c r="G240">
        <v>0</v>
      </c>
      <c r="H240">
        <v>1018240</v>
      </c>
      <c r="I240">
        <v>26894</v>
      </c>
      <c r="J240">
        <v>73150</v>
      </c>
      <c r="K240">
        <v>20950</v>
      </c>
      <c r="L240">
        <v>6897234</v>
      </c>
      <c r="M240">
        <v>0</v>
      </c>
      <c r="N240">
        <v>313340</v>
      </c>
      <c r="O240">
        <v>63475</v>
      </c>
      <c r="P240">
        <v>0</v>
      </c>
      <c r="Q240">
        <v>1407258</v>
      </c>
      <c r="R240">
        <v>0</v>
      </c>
      <c r="S240">
        <v>1268560</v>
      </c>
      <c r="U240">
        <v>0</v>
      </c>
      <c r="V240">
        <v>0</v>
      </c>
      <c r="W240">
        <v>0</v>
      </c>
      <c r="X240">
        <v>0</v>
      </c>
      <c r="Y240">
        <v>0</v>
      </c>
      <c r="Z240">
        <v>35473</v>
      </c>
      <c r="AA240">
        <v>0</v>
      </c>
      <c r="AB240">
        <v>0</v>
      </c>
      <c r="AC240">
        <v>0</v>
      </c>
      <c r="AD240">
        <v>33277</v>
      </c>
      <c r="AE240">
        <v>21363</v>
      </c>
      <c r="AF240">
        <v>5950</v>
      </c>
      <c r="AG240">
        <v>0</v>
      </c>
      <c r="AH240">
        <v>0</v>
      </c>
      <c r="AI240">
        <v>0</v>
      </c>
      <c r="AJ240">
        <v>298271</v>
      </c>
      <c r="AK240">
        <v>14095</v>
      </c>
      <c r="AL240">
        <v>0</v>
      </c>
      <c r="AM240">
        <v>0</v>
      </c>
      <c r="AN240">
        <v>172617</v>
      </c>
      <c r="AP240">
        <v>0</v>
      </c>
      <c r="AQ240">
        <v>61575</v>
      </c>
      <c r="AR240">
        <v>67345</v>
      </c>
      <c r="AS240">
        <v>25676</v>
      </c>
      <c r="AT240">
        <v>138643</v>
      </c>
      <c r="AU240">
        <v>0</v>
      </c>
      <c r="AV240">
        <v>50300</v>
      </c>
      <c r="AX240">
        <v>117306</v>
      </c>
      <c r="AY240">
        <v>73797</v>
      </c>
      <c r="AZ240">
        <v>42297</v>
      </c>
      <c r="BA240">
        <v>0</v>
      </c>
      <c r="BB240">
        <v>112697</v>
      </c>
      <c r="BD240">
        <v>0</v>
      </c>
      <c r="BE240">
        <v>42568</v>
      </c>
      <c r="BF240">
        <v>13181</v>
      </c>
      <c r="BG240">
        <v>0</v>
      </c>
      <c r="BH240">
        <v>42830</v>
      </c>
      <c r="BI240">
        <v>0</v>
      </c>
      <c r="BJ240">
        <v>0</v>
      </c>
      <c r="BK240">
        <v>41930</v>
      </c>
      <c r="BL240">
        <v>194297</v>
      </c>
      <c r="BM240">
        <v>0</v>
      </c>
      <c r="BN240">
        <v>261968</v>
      </c>
      <c r="BO240">
        <v>89003</v>
      </c>
      <c r="BP240">
        <v>37895</v>
      </c>
      <c r="BQ240">
        <v>67237</v>
      </c>
      <c r="BR240">
        <v>0</v>
      </c>
      <c r="BS240">
        <v>0</v>
      </c>
      <c r="BT240">
        <v>0</v>
      </c>
      <c r="BU240">
        <v>0</v>
      </c>
      <c r="BV240">
        <v>731010</v>
      </c>
      <c r="BW240">
        <v>26697</v>
      </c>
      <c r="BX240">
        <v>0</v>
      </c>
      <c r="BY240">
        <v>0</v>
      </c>
      <c r="BZ240">
        <v>3136703</v>
      </c>
      <c r="CA240">
        <v>0</v>
      </c>
    </row>
    <row r="241" spans="1:79" x14ac:dyDescent="0.3">
      <c r="A241" s="155">
        <v>656</v>
      </c>
      <c r="B241" t="s">
        <v>422</v>
      </c>
      <c r="D241">
        <v>0</v>
      </c>
      <c r="E241">
        <v>0</v>
      </c>
      <c r="F241">
        <v>0</v>
      </c>
      <c r="G241">
        <v>0</v>
      </c>
      <c r="H241">
        <v>0</v>
      </c>
      <c r="I241">
        <v>0</v>
      </c>
      <c r="J241">
        <v>2</v>
      </c>
      <c r="K241">
        <v>2</v>
      </c>
      <c r="L241">
        <v>2</v>
      </c>
      <c r="M241">
        <v>0</v>
      </c>
      <c r="N241">
        <v>2</v>
      </c>
      <c r="O241">
        <v>2</v>
      </c>
      <c r="P241">
        <v>2</v>
      </c>
      <c r="Q241">
        <v>2</v>
      </c>
      <c r="R241">
        <v>0</v>
      </c>
      <c r="S241">
        <v>2</v>
      </c>
      <c r="U241">
        <v>0</v>
      </c>
      <c r="V241">
        <v>0</v>
      </c>
      <c r="W241">
        <v>0</v>
      </c>
      <c r="X241">
        <v>2</v>
      </c>
      <c r="Y241">
        <v>2</v>
      </c>
      <c r="Z241">
        <v>0</v>
      </c>
      <c r="AA241">
        <v>2</v>
      </c>
      <c r="AB241">
        <v>0</v>
      </c>
      <c r="AC241">
        <v>0</v>
      </c>
      <c r="AD241">
        <v>0</v>
      </c>
      <c r="AE241">
        <v>2</v>
      </c>
      <c r="AF241">
        <v>2</v>
      </c>
      <c r="AG241">
        <v>0</v>
      </c>
      <c r="AH241">
        <v>0</v>
      </c>
      <c r="AI241">
        <v>2</v>
      </c>
      <c r="AJ241">
        <v>2</v>
      </c>
      <c r="AK241">
        <v>0</v>
      </c>
      <c r="AL241">
        <v>0</v>
      </c>
      <c r="AM241">
        <v>2</v>
      </c>
      <c r="AN241">
        <v>2</v>
      </c>
      <c r="AP241">
        <v>0</v>
      </c>
      <c r="AQ241">
        <v>2</v>
      </c>
      <c r="AR241">
        <v>2</v>
      </c>
      <c r="AS241">
        <v>2</v>
      </c>
      <c r="AT241">
        <v>2</v>
      </c>
      <c r="AU241">
        <v>2</v>
      </c>
      <c r="AV241">
        <v>2</v>
      </c>
      <c r="AX241">
        <v>0</v>
      </c>
      <c r="AY241">
        <v>0</v>
      </c>
      <c r="AZ241">
        <v>0</v>
      </c>
      <c r="BA241">
        <v>2</v>
      </c>
      <c r="BB241">
        <v>0</v>
      </c>
      <c r="BD241">
        <v>0</v>
      </c>
      <c r="BE241">
        <v>0</v>
      </c>
      <c r="BF241">
        <v>0</v>
      </c>
      <c r="BG241">
        <v>0</v>
      </c>
      <c r="BH241">
        <v>0</v>
      </c>
      <c r="BI241">
        <v>0</v>
      </c>
      <c r="BJ241">
        <v>0</v>
      </c>
      <c r="BK241">
        <v>2</v>
      </c>
      <c r="BL241">
        <v>2</v>
      </c>
      <c r="BM241">
        <v>0</v>
      </c>
      <c r="BN241">
        <v>2</v>
      </c>
      <c r="BO241">
        <v>2</v>
      </c>
      <c r="BP241">
        <v>2</v>
      </c>
      <c r="BQ241">
        <v>2</v>
      </c>
      <c r="BR241">
        <v>2</v>
      </c>
      <c r="BS241">
        <v>2</v>
      </c>
      <c r="BT241">
        <v>0</v>
      </c>
      <c r="BU241">
        <v>2</v>
      </c>
      <c r="BV241">
        <v>2</v>
      </c>
      <c r="BW241">
        <v>2</v>
      </c>
      <c r="BX241">
        <v>0</v>
      </c>
      <c r="BY241">
        <v>0</v>
      </c>
      <c r="BZ241">
        <v>2</v>
      </c>
      <c r="CA241">
        <v>0</v>
      </c>
    </row>
    <row r="242" spans="1:79" x14ac:dyDescent="0.3">
      <c r="A242" s="155">
        <v>657</v>
      </c>
      <c r="B242" t="s">
        <v>971</v>
      </c>
      <c r="D242">
        <v>0</v>
      </c>
      <c r="E242">
        <v>0</v>
      </c>
      <c r="F242">
        <v>0</v>
      </c>
      <c r="G242">
        <v>0</v>
      </c>
      <c r="H242">
        <v>0</v>
      </c>
      <c r="I242">
        <v>0</v>
      </c>
      <c r="J242">
        <v>0</v>
      </c>
      <c r="K242">
        <v>0</v>
      </c>
      <c r="L242">
        <v>0</v>
      </c>
      <c r="M242">
        <v>0</v>
      </c>
      <c r="N242">
        <v>0</v>
      </c>
      <c r="O242">
        <v>0</v>
      </c>
      <c r="P242">
        <v>0</v>
      </c>
      <c r="Q242">
        <v>0</v>
      </c>
      <c r="R242">
        <v>0</v>
      </c>
      <c r="S242">
        <v>7896826</v>
      </c>
      <c r="U242">
        <v>37820906</v>
      </c>
      <c r="V242">
        <v>0</v>
      </c>
      <c r="W242">
        <v>0</v>
      </c>
      <c r="X242">
        <v>0</v>
      </c>
      <c r="Y242">
        <v>0</v>
      </c>
      <c r="Z242">
        <v>5337874</v>
      </c>
      <c r="AA242">
        <v>0</v>
      </c>
      <c r="AB242">
        <v>0</v>
      </c>
      <c r="AC242">
        <v>0</v>
      </c>
      <c r="AD242">
        <v>0</v>
      </c>
      <c r="AE242">
        <v>2715831</v>
      </c>
      <c r="AF242">
        <v>0</v>
      </c>
      <c r="AG242">
        <v>0</v>
      </c>
      <c r="AH242">
        <v>0</v>
      </c>
      <c r="AI242">
        <v>0</v>
      </c>
      <c r="AJ242">
        <v>4795276</v>
      </c>
      <c r="AK242">
        <v>0</v>
      </c>
      <c r="AL242">
        <v>0</v>
      </c>
      <c r="AM242">
        <v>0</v>
      </c>
      <c r="AN242">
        <v>0</v>
      </c>
      <c r="AP242">
        <v>0</v>
      </c>
      <c r="AQ242">
        <v>28522803</v>
      </c>
      <c r="AR242">
        <v>0</v>
      </c>
      <c r="AS242">
        <v>0</v>
      </c>
      <c r="AT242">
        <v>0</v>
      </c>
      <c r="AU242">
        <v>4941344</v>
      </c>
      <c r="AV242">
        <v>0</v>
      </c>
      <c r="AX242">
        <v>0</v>
      </c>
      <c r="AY242">
        <v>0</v>
      </c>
      <c r="AZ242">
        <v>2584391</v>
      </c>
      <c r="BA242">
        <v>0</v>
      </c>
      <c r="BB242">
        <v>0</v>
      </c>
      <c r="BD242">
        <v>0</v>
      </c>
      <c r="BE242">
        <v>14794905</v>
      </c>
      <c r="BF242">
        <v>389962</v>
      </c>
      <c r="BG242">
        <v>0</v>
      </c>
      <c r="BH242">
        <v>0</v>
      </c>
      <c r="BI242">
        <v>0</v>
      </c>
      <c r="BJ242">
        <v>0</v>
      </c>
      <c r="BK242">
        <v>4647167</v>
      </c>
      <c r="BL242">
        <v>0</v>
      </c>
      <c r="BM242">
        <v>0</v>
      </c>
      <c r="BN242">
        <v>0</v>
      </c>
      <c r="BO242">
        <v>0</v>
      </c>
      <c r="BP242">
        <v>0</v>
      </c>
      <c r="BQ242">
        <v>0</v>
      </c>
      <c r="BR242">
        <v>0</v>
      </c>
      <c r="BS242">
        <v>0</v>
      </c>
      <c r="BT242">
        <v>0</v>
      </c>
      <c r="BU242">
        <v>0</v>
      </c>
      <c r="BV242">
        <v>0</v>
      </c>
      <c r="BW242">
        <v>0</v>
      </c>
      <c r="BX242">
        <v>0</v>
      </c>
      <c r="BY242">
        <v>0</v>
      </c>
      <c r="BZ242">
        <v>0</v>
      </c>
      <c r="CA242">
        <v>0</v>
      </c>
    </row>
    <row r="243" spans="1:79" x14ac:dyDescent="0.3">
      <c r="A243" s="155">
        <v>658</v>
      </c>
      <c r="B243" t="s">
        <v>972</v>
      </c>
      <c r="D243">
        <v>0</v>
      </c>
      <c r="E243">
        <v>0</v>
      </c>
      <c r="F243">
        <v>0</v>
      </c>
      <c r="G243">
        <v>0</v>
      </c>
      <c r="H243">
        <v>0</v>
      </c>
      <c r="I243">
        <v>0</v>
      </c>
      <c r="J243">
        <v>0</v>
      </c>
      <c r="K243">
        <v>0</v>
      </c>
      <c r="L243">
        <v>0</v>
      </c>
      <c r="M243">
        <v>0</v>
      </c>
      <c r="N243">
        <v>0</v>
      </c>
      <c r="O243">
        <v>0</v>
      </c>
      <c r="P243">
        <v>0</v>
      </c>
      <c r="Q243">
        <v>0</v>
      </c>
      <c r="R243">
        <v>0</v>
      </c>
      <c r="S243">
        <v>162689</v>
      </c>
      <c r="U243">
        <v>1752747</v>
      </c>
      <c r="V243">
        <v>0</v>
      </c>
      <c r="W243">
        <v>0</v>
      </c>
      <c r="X243">
        <v>0</v>
      </c>
      <c r="Y243">
        <v>0</v>
      </c>
      <c r="Z243">
        <v>3973997</v>
      </c>
      <c r="AA243">
        <v>0</v>
      </c>
      <c r="AB243">
        <v>0</v>
      </c>
      <c r="AC243">
        <v>0</v>
      </c>
      <c r="AD243">
        <v>0</v>
      </c>
      <c r="AE243">
        <v>125805</v>
      </c>
      <c r="AF243">
        <v>0</v>
      </c>
      <c r="AG243">
        <v>0</v>
      </c>
      <c r="AH243">
        <v>0</v>
      </c>
      <c r="AI243">
        <v>0</v>
      </c>
      <c r="AJ243">
        <v>750326</v>
      </c>
      <c r="AK243">
        <v>0</v>
      </c>
      <c r="AL243">
        <v>0</v>
      </c>
      <c r="AM243">
        <v>0</v>
      </c>
      <c r="AN243">
        <v>0</v>
      </c>
      <c r="AP243">
        <v>0</v>
      </c>
      <c r="AQ243">
        <v>707158</v>
      </c>
      <c r="AR243">
        <v>0</v>
      </c>
      <c r="AS243">
        <v>0</v>
      </c>
      <c r="AT243">
        <v>0</v>
      </c>
      <c r="AU243">
        <v>0</v>
      </c>
      <c r="AV243">
        <v>0</v>
      </c>
      <c r="AX243">
        <v>0</v>
      </c>
      <c r="AY243">
        <v>0</v>
      </c>
      <c r="AZ243">
        <v>454457</v>
      </c>
      <c r="BA243">
        <v>0</v>
      </c>
      <c r="BB243">
        <v>0</v>
      </c>
      <c r="BD243">
        <v>0</v>
      </c>
      <c r="BE243">
        <v>1577750</v>
      </c>
      <c r="BF243">
        <v>31117</v>
      </c>
      <c r="BG243">
        <v>0</v>
      </c>
      <c r="BH243">
        <v>0</v>
      </c>
      <c r="BI243">
        <v>0</v>
      </c>
      <c r="BJ243">
        <v>0</v>
      </c>
      <c r="BK243">
        <v>132423</v>
      </c>
      <c r="BL243">
        <v>0</v>
      </c>
      <c r="BM243">
        <v>0</v>
      </c>
      <c r="BN243">
        <v>0</v>
      </c>
      <c r="BO243">
        <v>0</v>
      </c>
      <c r="BP243">
        <v>0</v>
      </c>
      <c r="BQ243">
        <v>0</v>
      </c>
      <c r="BR243">
        <v>0</v>
      </c>
      <c r="BS243">
        <v>0</v>
      </c>
      <c r="BT243">
        <v>0</v>
      </c>
      <c r="BU243">
        <v>0</v>
      </c>
      <c r="BV243">
        <v>0</v>
      </c>
      <c r="BW243">
        <v>0</v>
      </c>
      <c r="BX243">
        <v>0</v>
      </c>
      <c r="BY243">
        <v>0</v>
      </c>
      <c r="BZ243">
        <v>0</v>
      </c>
      <c r="CA243">
        <v>0</v>
      </c>
    </row>
    <row r="244" spans="1:79" x14ac:dyDescent="0.3">
      <c r="A244" s="155">
        <v>659</v>
      </c>
      <c r="B244" t="s">
        <v>973</v>
      </c>
      <c r="D244">
        <v>0</v>
      </c>
      <c r="E244">
        <v>0</v>
      </c>
      <c r="F244">
        <v>0</v>
      </c>
      <c r="G244">
        <v>2238187</v>
      </c>
      <c r="H244">
        <v>369122</v>
      </c>
      <c r="I244">
        <v>0</v>
      </c>
      <c r="J244">
        <v>0</v>
      </c>
      <c r="K244">
        <v>0</v>
      </c>
      <c r="L244">
        <v>79748260</v>
      </c>
      <c r="M244">
        <v>0</v>
      </c>
      <c r="N244">
        <v>1021381</v>
      </c>
      <c r="O244">
        <v>0</v>
      </c>
      <c r="P244">
        <v>12656415</v>
      </c>
      <c r="Q244">
        <v>10137767</v>
      </c>
      <c r="R244">
        <v>325486</v>
      </c>
      <c r="S244">
        <v>13719575</v>
      </c>
      <c r="U244">
        <v>395151</v>
      </c>
      <c r="V244">
        <v>0</v>
      </c>
      <c r="W244">
        <v>0</v>
      </c>
      <c r="X244">
        <v>9273744</v>
      </c>
      <c r="Y244">
        <v>2502493</v>
      </c>
      <c r="Z244">
        <v>0</v>
      </c>
      <c r="AA244">
        <v>538489</v>
      </c>
      <c r="AB244">
        <v>0</v>
      </c>
      <c r="AC244">
        <v>0</v>
      </c>
      <c r="AD244">
        <v>0</v>
      </c>
      <c r="AE244">
        <v>0</v>
      </c>
      <c r="AF244">
        <v>0</v>
      </c>
      <c r="AG244">
        <v>0</v>
      </c>
      <c r="AH244">
        <v>0</v>
      </c>
      <c r="AI244">
        <v>0</v>
      </c>
      <c r="AJ244">
        <v>2409552</v>
      </c>
      <c r="AK244">
        <v>0</v>
      </c>
      <c r="AL244">
        <v>0</v>
      </c>
      <c r="AM244">
        <v>0</v>
      </c>
      <c r="AN244">
        <v>3112437</v>
      </c>
      <c r="AP244">
        <v>0</v>
      </c>
      <c r="AQ244">
        <v>18315369</v>
      </c>
      <c r="AR244">
        <v>0</v>
      </c>
      <c r="AS244">
        <v>272454</v>
      </c>
      <c r="AT244">
        <v>1735457</v>
      </c>
      <c r="AU244">
        <v>11649991</v>
      </c>
      <c r="AV244">
        <v>0</v>
      </c>
      <c r="AX244">
        <v>0</v>
      </c>
      <c r="AY244">
        <v>132447</v>
      </c>
      <c r="AZ244">
        <v>1449701</v>
      </c>
      <c r="BA244">
        <v>0</v>
      </c>
      <c r="BB244">
        <v>424104</v>
      </c>
      <c r="BD244">
        <v>0</v>
      </c>
      <c r="BE244">
        <v>49646487</v>
      </c>
      <c r="BF244">
        <v>0</v>
      </c>
      <c r="BG244">
        <v>0</v>
      </c>
      <c r="BH244">
        <v>5437867</v>
      </c>
      <c r="BI244">
        <v>264322</v>
      </c>
      <c r="BJ244">
        <v>0</v>
      </c>
      <c r="BK244">
        <v>526475</v>
      </c>
      <c r="BL244">
        <v>2538172</v>
      </c>
      <c r="BM244">
        <v>0</v>
      </c>
      <c r="BN244">
        <v>107433</v>
      </c>
      <c r="BO244">
        <v>0</v>
      </c>
      <c r="BP244">
        <v>0</v>
      </c>
      <c r="BQ244">
        <v>0</v>
      </c>
      <c r="BR244">
        <v>0</v>
      </c>
      <c r="BS244">
        <v>0</v>
      </c>
      <c r="BT244">
        <v>0</v>
      </c>
      <c r="BU244">
        <v>5939186</v>
      </c>
      <c r="BV244">
        <v>0</v>
      </c>
      <c r="BW244">
        <v>0</v>
      </c>
      <c r="BX244">
        <v>0</v>
      </c>
      <c r="BY244">
        <v>0</v>
      </c>
      <c r="BZ244">
        <v>10995899</v>
      </c>
      <c r="CA244">
        <v>0</v>
      </c>
    </row>
    <row r="245" spans="1:79" x14ac:dyDescent="0.3">
      <c r="A245" s="155">
        <v>660</v>
      </c>
      <c r="B245" t="s">
        <v>974</v>
      </c>
      <c r="D245">
        <v>0</v>
      </c>
      <c r="E245">
        <v>0</v>
      </c>
      <c r="F245">
        <v>0</v>
      </c>
      <c r="G245">
        <v>0</v>
      </c>
      <c r="H245">
        <v>0</v>
      </c>
      <c r="I245">
        <v>0</v>
      </c>
      <c r="J245">
        <v>0</v>
      </c>
      <c r="K245">
        <v>0</v>
      </c>
      <c r="L245">
        <v>0</v>
      </c>
      <c r="M245">
        <v>0</v>
      </c>
      <c r="N245">
        <v>0</v>
      </c>
      <c r="O245">
        <v>0</v>
      </c>
      <c r="P245">
        <v>0</v>
      </c>
      <c r="Q245">
        <v>305117</v>
      </c>
      <c r="R245">
        <v>0</v>
      </c>
      <c r="S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P245">
        <v>0</v>
      </c>
      <c r="AQ245">
        <v>0</v>
      </c>
      <c r="AR245">
        <v>0</v>
      </c>
      <c r="AS245">
        <v>0</v>
      </c>
      <c r="AT245">
        <v>0</v>
      </c>
      <c r="AU245">
        <v>0</v>
      </c>
      <c r="AV245">
        <v>0</v>
      </c>
      <c r="AX245">
        <v>0</v>
      </c>
      <c r="AY245">
        <v>0</v>
      </c>
      <c r="AZ245">
        <v>0</v>
      </c>
      <c r="BA245">
        <v>0</v>
      </c>
      <c r="BB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row>
    <row r="246" spans="1:79" x14ac:dyDescent="0.3">
      <c r="A246" s="155">
        <v>661</v>
      </c>
      <c r="B246" t="s">
        <v>421</v>
      </c>
      <c r="D246">
        <v>0</v>
      </c>
      <c r="E246">
        <v>0</v>
      </c>
      <c r="F246">
        <v>0</v>
      </c>
      <c r="G246">
        <v>0</v>
      </c>
      <c r="H246">
        <v>0</v>
      </c>
      <c r="I246">
        <v>0</v>
      </c>
      <c r="J246">
        <v>0</v>
      </c>
      <c r="K246">
        <v>0</v>
      </c>
      <c r="L246">
        <v>0</v>
      </c>
      <c r="M246">
        <v>0</v>
      </c>
      <c r="N246">
        <v>0</v>
      </c>
      <c r="O246">
        <v>0</v>
      </c>
      <c r="P246">
        <v>0</v>
      </c>
      <c r="Q246">
        <v>3</v>
      </c>
      <c r="R246">
        <v>0</v>
      </c>
      <c r="S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P246">
        <v>0</v>
      </c>
      <c r="AQ246">
        <v>0</v>
      </c>
      <c r="AR246">
        <v>0</v>
      </c>
      <c r="AS246">
        <v>0</v>
      </c>
      <c r="AT246">
        <v>0</v>
      </c>
      <c r="AU246">
        <v>0</v>
      </c>
      <c r="AV246">
        <v>0</v>
      </c>
      <c r="AX246">
        <v>0</v>
      </c>
      <c r="AY246">
        <v>0</v>
      </c>
      <c r="AZ246">
        <v>0</v>
      </c>
      <c r="BA246">
        <v>0</v>
      </c>
      <c r="BB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row>
    <row r="247" spans="1:79" x14ac:dyDescent="0.3">
      <c r="A247" s="155">
        <v>662</v>
      </c>
      <c r="B247" t="s">
        <v>451</v>
      </c>
      <c r="E247">
        <v>506596</v>
      </c>
      <c r="G247">
        <v>565837</v>
      </c>
      <c r="L247">
        <v>709115</v>
      </c>
      <c r="O247">
        <v>0</v>
      </c>
      <c r="P247">
        <v>277203</v>
      </c>
      <c r="Q247">
        <v>62342</v>
      </c>
      <c r="U247">
        <v>485060</v>
      </c>
      <c r="AJ247">
        <v>349358</v>
      </c>
      <c r="AN247">
        <v>0</v>
      </c>
      <c r="AQ247">
        <v>414417</v>
      </c>
      <c r="BE247">
        <v>705341</v>
      </c>
      <c r="BH247">
        <v>50358</v>
      </c>
      <c r="BN247">
        <v>408925</v>
      </c>
      <c r="BS247">
        <v>350679</v>
      </c>
    </row>
    <row r="248" spans="1:79" x14ac:dyDescent="0.3">
      <c r="A248" s="155">
        <v>663</v>
      </c>
      <c r="B248" t="s">
        <v>975</v>
      </c>
      <c r="E248">
        <v>0</v>
      </c>
      <c r="G248">
        <v>1353036</v>
      </c>
      <c r="L248">
        <v>0</v>
      </c>
      <c r="O248">
        <v>0</v>
      </c>
      <c r="P248">
        <v>0</v>
      </c>
      <c r="Q248">
        <v>0</v>
      </c>
      <c r="U248">
        <v>0</v>
      </c>
      <c r="AJ248">
        <v>0</v>
      </c>
      <c r="AN248">
        <v>125056</v>
      </c>
      <c r="AQ248">
        <v>0</v>
      </c>
      <c r="BE248">
        <v>10752</v>
      </c>
      <c r="BH248">
        <v>0</v>
      </c>
      <c r="BN248">
        <v>0</v>
      </c>
      <c r="BS248">
        <v>0</v>
      </c>
    </row>
    <row r="249" spans="1:79" x14ac:dyDescent="0.3">
      <c r="A249" s="155">
        <v>906</v>
      </c>
      <c r="B249" t="s">
        <v>976</v>
      </c>
      <c r="D249">
        <v>1</v>
      </c>
      <c r="E249">
        <v>1</v>
      </c>
      <c r="F249">
        <v>1</v>
      </c>
      <c r="G249">
        <v>1</v>
      </c>
      <c r="H249">
        <v>1</v>
      </c>
      <c r="I249">
        <v>1</v>
      </c>
      <c r="J249">
        <v>1</v>
      </c>
      <c r="K249">
        <v>1</v>
      </c>
      <c r="L249">
        <v>1</v>
      </c>
      <c r="M249">
        <v>1</v>
      </c>
      <c r="N249">
        <v>1</v>
      </c>
      <c r="O249">
        <v>1</v>
      </c>
      <c r="P249">
        <v>1</v>
      </c>
      <c r="Q249">
        <v>1</v>
      </c>
      <c r="R249">
        <v>1</v>
      </c>
      <c r="S249">
        <v>1</v>
      </c>
      <c r="U249">
        <v>1</v>
      </c>
      <c r="V249">
        <v>1</v>
      </c>
      <c r="W249">
        <v>1</v>
      </c>
      <c r="X249">
        <v>1</v>
      </c>
      <c r="Y249">
        <v>1</v>
      </c>
      <c r="Z249">
        <v>1</v>
      </c>
      <c r="AA249">
        <v>1</v>
      </c>
      <c r="AB249">
        <v>1</v>
      </c>
      <c r="AC249">
        <v>1</v>
      </c>
      <c r="AD249">
        <v>1</v>
      </c>
      <c r="AE249">
        <v>1</v>
      </c>
      <c r="AF249">
        <v>1</v>
      </c>
      <c r="AG249">
        <v>1</v>
      </c>
      <c r="AH249">
        <v>1</v>
      </c>
      <c r="AI249">
        <v>1</v>
      </c>
      <c r="AJ249">
        <v>1</v>
      </c>
      <c r="AK249">
        <v>1</v>
      </c>
      <c r="AL249">
        <v>1</v>
      </c>
      <c r="AM249">
        <v>1</v>
      </c>
      <c r="AN249">
        <v>1</v>
      </c>
      <c r="AP249">
        <v>1</v>
      </c>
      <c r="AQ249">
        <v>1</v>
      </c>
      <c r="AR249">
        <v>1</v>
      </c>
      <c r="AS249">
        <v>1</v>
      </c>
      <c r="AT249">
        <v>1</v>
      </c>
      <c r="AU249">
        <v>1</v>
      </c>
      <c r="AV249">
        <v>1</v>
      </c>
      <c r="AX249">
        <v>1</v>
      </c>
      <c r="AY249">
        <v>1</v>
      </c>
      <c r="AZ249">
        <v>1</v>
      </c>
      <c r="BA249">
        <v>1</v>
      </c>
      <c r="BB249">
        <v>1</v>
      </c>
      <c r="BD249">
        <v>1</v>
      </c>
      <c r="BE249">
        <v>1</v>
      </c>
      <c r="BF249">
        <v>1</v>
      </c>
      <c r="BG249">
        <v>1</v>
      </c>
      <c r="BH249">
        <v>1</v>
      </c>
      <c r="BI249">
        <v>1</v>
      </c>
      <c r="BJ249">
        <v>1</v>
      </c>
      <c r="BK249">
        <v>1</v>
      </c>
      <c r="BL249">
        <v>1</v>
      </c>
      <c r="BM249">
        <v>1</v>
      </c>
      <c r="BN249">
        <v>1</v>
      </c>
      <c r="BO249">
        <v>1</v>
      </c>
      <c r="BP249">
        <v>1</v>
      </c>
      <c r="BQ249">
        <v>1</v>
      </c>
      <c r="BR249">
        <v>1</v>
      </c>
      <c r="BS249">
        <v>1</v>
      </c>
      <c r="BT249">
        <v>1</v>
      </c>
      <c r="BU249">
        <v>1</v>
      </c>
      <c r="BV249">
        <v>1</v>
      </c>
      <c r="BW249">
        <v>1</v>
      </c>
      <c r="BX249">
        <v>1</v>
      </c>
      <c r="BY249">
        <v>1</v>
      </c>
      <c r="BZ249">
        <v>1</v>
      </c>
      <c r="CA249">
        <v>1</v>
      </c>
    </row>
    <row r="250" spans="1:79" x14ac:dyDescent="0.3">
      <c r="A250" s="155">
        <v>907</v>
      </c>
      <c r="B250" t="s">
        <v>977</v>
      </c>
      <c r="D250">
        <v>2</v>
      </c>
      <c r="E250">
        <v>2</v>
      </c>
      <c r="F250">
        <v>2</v>
      </c>
      <c r="G250">
        <v>2</v>
      </c>
      <c r="H250">
        <v>2</v>
      </c>
      <c r="I250">
        <v>2</v>
      </c>
      <c r="J250">
        <v>2</v>
      </c>
      <c r="K250">
        <v>2</v>
      </c>
      <c r="L250">
        <v>2</v>
      </c>
      <c r="M250">
        <v>1</v>
      </c>
      <c r="N250">
        <v>2</v>
      </c>
      <c r="O250">
        <v>1</v>
      </c>
      <c r="P250">
        <v>2</v>
      </c>
      <c r="Q250">
        <v>2</v>
      </c>
      <c r="R250">
        <v>2</v>
      </c>
      <c r="S250">
        <v>2</v>
      </c>
      <c r="U250">
        <v>2</v>
      </c>
      <c r="V250">
        <v>2</v>
      </c>
      <c r="W250">
        <v>2</v>
      </c>
      <c r="X250">
        <v>2</v>
      </c>
      <c r="Y250">
        <v>2</v>
      </c>
      <c r="Z250">
        <v>2</v>
      </c>
      <c r="AA250">
        <v>1</v>
      </c>
      <c r="AB250">
        <v>2</v>
      </c>
      <c r="AC250">
        <v>2</v>
      </c>
      <c r="AD250">
        <v>1</v>
      </c>
      <c r="AE250">
        <v>2</v>
      </c>
      <c r="AF250">
        <v>1</v>
      </c>
      <c r="AG250">
        <v>1</v>
      </c>
      <c r="AH250">
        <v>1</v>
      </c>
      <c r="AI250">
        <v>2</v>
      </c>
      <c r="AJ250">
        <v>2</v>
      </c>
      <c r="AK250">
        <v>1</v>
      </c>
      <c r="AL250">
        <v>2</v>
      </c>
      <c r="AM250">
        <v>2</v>
      </c>
      <c r="AN250">
        <v>2</v>
      </c>
      <c r="AP250">
        <v>2</v>
      </c>
      <c r="AQ250">
        <v>2</v>
      </c>
      <c r="AR250">
        <v>2</v>
      </c>
      <c r="AS250">
        <v>1</v>
      </c>
      <c r="AT250">
        <v>2</v>
      </c>
      <c r="AU250">
        <v>2</v>
      </c>
      <c r="AV250">
        <v>1</v>
      </c>
      <c r="AX250">
        <v>2</v>
      </c>
      <c r="AY250">
        <v>1</v>
      </c>
      <c r="AZ250">
        <v>2</v>
      </c>
      <c r="BA250">
        <v>1</v>
      </c>
      <c r="BB250">
        <v>1</v>
      </c>
      <c r="BD250">
        <v>1</v>
      </c>
      <c r="BE250">
        <v>2</v>
      </c>
      <c r="BF250">
        <v>1</v>
      </c>
      <c r="BG250">
        <v>2</v>
      </c>
      <c r="BH250">
        <v>2</v>
      </c>
      <c r="BI250">
        <v>2</v>
      </c>
      <c r="BJ250">
        <v>1</v>
      </c>
      <c r="BK250">
        <v>2</v>
      </c>
      <c r="BL250">
        <v>2</v>
      </c>
      <c r="BM250">
        <v>1</v>
      </c>
      <c r="BN250">
        <v>2</v>
      </c>
      <c r="BO250">
        <v>1</v>
      </c>
      <c r="BP250">
        <v>1</v>
      </c>
      <c r="BQ250">
        <v>2</v>
      </c>
      <c r="BR250">
        <v>1</v>
      </c>
      <c r="BS250">
        <v>2</v>
      </c>
      <c r="BT250">
        <v>2</v>
      </c>
      <c r="BU250">
        <v>1</v>
      </c>
      <c r="BV250">
        <v>1</v>
      </c>
      <c r="BW250">
        <v>1</v>
      </c>
      <c r="BX250">
        <v>1</v>
      </c>
      <c r="BY250">
        <v>1</v>
      </c>
      <c r="BZ250">
        <v>2</v>
      </c>
      <c r="CA250">
        <v>2</v>
      </c>
    </row>
    <row r="251" spans="1:79" x14ac:dyDescent="0.3">
      <c r="A251" s="155">
        <v>947</v>
      </c>
      <c r="B251" t="s">
        <v>978</v>
      </c>
      <c r="D251" t="s">
        <v>2078</v>
      </c>
      <c r="E251" t="s">
        <v>2063</v>
      </c>
      <c r="F251" t="s">
        <v>1993</v>
      </c>
      <c r="G251" t="s">
        <v>2064</v>
      </c>
      <c r="H251" t="s">
        <v>2065</v>
      </c>
      <c r="I251" t="s">
        <v>2066</v>
      </c>
      <c r="J251" t="s">
        <v>2067</v>
      </c>
      <c r="K251" t="s">
        <v>2068</v>
      </c>
      <c r="L251" t="s">
        <v>2069</v>
      </c>
      <c r="M251" t="s">
        <v>2070</v>
      </c>
      <c r="N251" t="s">
        <v>2071</v>
      </c>
      <c r="O251" t="s">
        <v>2072</v>
      </c>
      <c r="P251" t="s">
        <v>2073</v>
      </c>
      <c r="Q251" t="s">
        <v>2021</v>
      </c>
      <c r="R251" t="s">
        <v>979</v>
      </c>
      <c r="S251" t="s">
        <v>2074</v>
      </c>
      <c r="U251" t="s">
        <v>2075</v>
      </c>
      <c r="V251" t="s">
        <v>2076</v>
      </c>
      <c r="W251" t="s">
        <v>2077</v>
      </c>
      <c r="X251" t="s">
        <v>2078</v>
      </c>
      <c r="Y251" t="s">
        <v>2079</v>
      </c>
      <c r="Z251" t="s">
        <v>2020</v>
      </c>
      <c r="AA251" t="s">
        <v>2080</v>
      </c>
      <c r="AB251" t="s">
        <v>2081</v>
      </c>
      <c r="AC251" t="s">
        <v>2063</v>
      </c>
      <c r="AD251" t="s">
        <v>2082</v>
      </c>
      <c r="AE251" t="s">
        <v>2083</v>
      </c>
      <c r="AF251" t="s">
        <v>2084</v>
      </c>
      <c r="AG251" t="s">
        <v>2085</v>
      </c>
      <c r="AH251" t="s">
        <v>2086</v>
      </c>
      <c r="AI251" t="s">
        <v>2019</v>
      </c>
      <c r="AJ251" t="s">
        <v>2087</v>
      </c>
      <c r="AK251" t="s">
        <v>2088</v>
      </c>
      <c r="AL251" t="s">
        <v>2089</v>
      </c>
      <c r="AM251" t="s">
        <v>2090</v>
      </c>
      <c r="AN251" t="s">
        <v>2075</v>
      </c>
      <c r="AP251" t="s">
        <v>2091</v>
      </c>
      <c r="AQ251" t="s">
        <v>2026</v>
      </c>
      <c r="AR251" t="s">
        <v>2092</v>
      </c>
      <c r="AS251" t="s">
        <v>2093</v>
      </c>
      <c r="AT251" t="s">
        <v>2094</v>
      </c>
      <c r="AU251" t="s">
        <v>1628</v>
      </c>
      <c r="AV251" t="s">
        <v>2095</v>
      </c>
      <c r="AX251" t="s">
        <v>2096</v>
      </c>
      <c r="AY251" t="s">
        <v>2097</v>
      </c>
      <c r="AZ251" t="s">
        <v>2098</v>
      </c>
      <c r="BA251" t="s">
        <v>2094</v>
      </c>
      <c r="BB251" t="s">
        <v>2094</v>
      </c>
      <c r="BD251" t="s">
        <v>2099</v>
      </c>
      <c r="BE251" t="s">
        <v>2100</v>
      </c>
      <c r="BF251" t="s">
        <v>2101</v>
      </c>
      <c r="BG251" t="s">
        <v>2102</v>
      </c>
      <c r="BH251" t="s">
        <v>2103</v>
      </c>
      <c r="BI251" t="s">
        <v>2104</v>
      </c>
      <c r="BJ251" t="s">
        <v>1623</v>
      </c>
      <c r="BK251" t="s">
        <v>2105</v>
      </c>
      <c r="BL251" t="s">
        <v>2106</v>
      </c>
      <c r="BM251" t="s">
        <v>2107</v>
      </c>
      <c r="BN251" t="s">
        <v>2108</v>
      </c>
      <c r="BO251" t="s">
        <v>2109</v>
      </c>
      <c r="BP251" t="s">
        <v>2110</v>
      </c>
      <c r="BQ251" t="s">
        <v>2068</v>
      </c>
      <c r="BR251" t="s">
        <v>2111</v>
      </c>
      <c r="BS251" t="s">
        <v>2112</v>
      </c>
      <c r="BT251" t="s">
        <v>2113</v>
      </c>
      <c r="BU251" t="s">
        <v>2114</v>
      </c>
      <c r="BV251" t="s">
        <v>2115</v>
      </c>
      <c r="BW251" t="s">
        <v>2025</v>
      </c>
      <c r="BX251" t="s">
        <v>1680</v>
      </c>
      <c r="BY251" t="s">
        <v>2022</v>
      </c>
      <c r="BZ251" t="s">
        <v>2116</v>
      </c>
      <c r="CA251" t="s">
        <v>2117</v>
      </c>
    </row>
    <row r="252" spans="1:79" x14ac:dyDescent="0.3">
      <c r="A252" s="155">
        <v>948</v>
      </c>
      <c r="B252" t="s">
        <v>980</v>
      </c>
      <c r="D252" t="s">
        <v>2048</v>
      </c>
      <c r="E252" t="s">
        <v>2118</v>
      </c>
      <c r="F252" t="s">
        <v>2119</v>
      </c>
      <c r="G252" t="s">
        <v>2120</v>
      </c>
      <c r="H252" t="s">
        <v>2121</v>
      </c>
      <c r="I252" t="s">
        <v>2122</v>
      </c>
      <c r="J252" t="s">
        <v>2123</v>
      </c>
      <c r="K252" t="s">
        <v>2124</v>
      </c>
      <c r="L252" t="s">
        <v>2125</v>
      </c>
      <c r="M252" t="s">
        <v>2126</v>
      </c>
      <c r="N252" t="s">
        <v>2127</v>
      </c>
      <c r="O252" t="s">
        <v>1624</v>
      </c>
      <c r="P252" t="s">
        <v>2128</v>
      </c>
      <c r="Q252" t="s">
        <v>2129</v>
      </c>
      <c r="R252" t="s">
        <v>2029</v>
      </c>
      <c r="S252" t="s">
        <v>2130</v>
      </c>
      <c r="U252" t="s">
        <v>2131</v>
      </c>
      <c r="V252" t="s">
        <v>2132</v>
      </c>
      <c r="W252" t="s">
        <v>2133</v>
      </c>
      <c r="X252" t="s">
        <v>2134</v>
      </c>
      <c r="Y252" t="s">
        <v>2135</v>
      </c>
      <c r="Z252" t="s">
        <v>2028</v>
      </c>
      <c r="AA252" t="s">
        <v>2136</v>
      </c>
      <c r="AB252" t="s">
        <v>2137</v>
      </c>
      <c r="AC252" t="s">
        <v>2138</v>
      </c>
      <c r="AD252" t="s">
        <v>2139</v>
      </c>
      <c r="AE252" t="s">
        <v>533</v>
      </c>
      <c r="AF252" t="s">
        <v>2140</v>
      </c>
      <c r="AG252" t="s">
        <v>2141</v>
      </c>
      <c r="AH252" t="s">
        <v>2142</v>
      </c>
      <c r="AI252" t="s">
        <v>2143</v>
      </c>
      <c r="AJ252" t="s">
        <v>2144</v>
      </c>
      <c r="AK252" t="s">
        <v>2145</v>
      </c>
      <c r="AL252" t="s">
        <v>2146</v>
      </c>
      <c r="AM252" t="s">
        <v>2147</v>
      </c>
      <c r="AN252" t="s">
        <v>2148</v>
      </c>
      <c r="AP252" t="s">
        <v>2149</v>
      </c>
      <c r="AQ252" t="s">
        <v>2150</v>
      </c>
      <c r="AR252" t="s">
        <v>2151</v>
      </c>
      <c r="AS252" t="s">
        <v>2030</v>
      </c>
      <c r="AT252" t="s">
        <v>2152</v>
      </c>
      <c r="AU252" t="s">
        <v>2153</v>
      </c>
      <c r="AV252" t="s">
        <v>2154</v>
      </c>
      <c r="AX252" t="s">
        <v>2155</v>
      </c>
      <c r="AY252" t="s">
        <v>2156</v>
      </c>
      <c r="AZ252" t="s">
        <v>2157</v>
      </c>
      <c r="BA252" t="s">
        <v>2158</v>
      </c>
      <c r="BB252" t="s">
        <v>2159</v>
      </c>
      <c r="BD252" t="s">
        <v>2160</v>
      </c>
      <c r="BE252" t="s">
        <v>2161</v>
      </c>
      <c r="BF252" t="s">
        <v>2162</v>
      </c>
      <c r="BG252" t="s">
        <v>2163</v>
      </c>
      <c r="BH252" t="s">
        <v>2164</v>
      </c>
      <c r="BI252" t="s">
        <v>2165</v>
      </c>
      <c r="BJ252" t="s">
        <v>2166</v>
      </c>
      <c r="BK252" t="s">
        <v>2048</v>
      </c>
      <c r="BL252" t="s">
        <v>2167</v>
      </c>
      <c r="BM252" t="s">
        <v>1480</v>
      </c>
      <c r="BN252" t="s">
        <v>2168</v>
      </c>
      <c r="BO252" t="s">
        <v>2169</v>
      </c>
      <c r="BP252" t="s">
        <v>2170</v>
      </c>
      <c r="BQ252" t="s">
        <v>2171</v>
      </c>
      <c r="BR252" t="s">
        <v>2172</v>
      </c>
      <c r="BS252" t="s">
        <v>2173</v>
      </c>
      <c r="BT252" t="s">
        <v>2174</v>
      </c>
      <c r="BU252" t="s">
        <v>2175</v>
      </c>
      <c r="BV252" t="s">
        <v>2176</v>
      </c>
      <c r="BW252" t="s">
        <v>2177</v>
      </c>
      <c r="BX252" t="s">
        <v>2178</v>
      </c>
      <c r="BY252" t="s">
        <v>2179</v>
      </c>
      <c r="BZ252" t="s">
        <v>2180</v>
      </c>
      <c r="CA252" t="s">
        <v>2143</v>
      </c>
    </row>
    <row r="253" spans="1:79" x14ac:dyDescent="0.3">
      <c r="A253" s="155">
        <v>949</v>
      </c>
      <c r="B253" t="s">
        <v>981</v>
      </c>
      <c r="D253" t="s">
        <v>413</v>
      </c>
      <c r="E253" t="s">
        <v>413</v>
      </c>
      <c r="F253" t="s">
        <v>413</v>
      </c>
      <c r="G253" t="s">
        <v>413</v>
      </c>
      <c r="H253" t="s">
        <v>413</v>
      </c>
      <c r="I253" t="s">
        <v>413</v>
      </c>
      <c r="J253" t="s">
        <v>413</v>
      </c>
      <c r="K253" t="s">
        <v>413</v>
      </c>
      <c r="L253" t="s">
        <v>413</v>
      </c>
      <c r="M253" t="s">
        <v>413</v>
      </c>
      <c r="N253" t="s">
        <v>413</v>
      </c>
      <c r="O253" t="s">
        <v>431</v>
      </c>
      <c r="P253" t="s">
        <v>413</v>
      </c>
      <c r="Q253" t="s">
        <v>413</v>
      </c>
      <c r="R253" t="s">
        <v>413</v>
      </c>
      <c r="S253" t="s">
        <v>413</v>
      </c>
      <c r="U253" t="s">
        <v>413</v>
      </c>
      <c r="V253" t="s">
        <v>413</v>
      </c>
      <c r="W253" t="s">
        <v>413</v>
      </c>
      <c r="X253" t="s">
        <v>413</v>
      </c>
      <c r="Y253" t="s">
        <v>413</v>
      </c>
      <c r="Z253" t="s">
        <v>413</v>
      </c>
      <c r="AA253" t="s">
        <v>413</v>
      </c>
      <c r="AB253" t="s">
        <v>413</v>
      </c>
      <c r="AC253" t="s">
        <v>413</v>
      </c>
      <c r="AD253" t="s">
        <v>413</v>
      </c>
      <c r="AE253" t="s">
        <v>413</v>
      </c>
      <c r="AF253" t="s">
        <v>413</v>
      </c>
      <c r="AG253" t="s">
        <v>413</v>
      </c>
      <c r="AH253" t="s">
        <v>413</v>
      </c>
      <c r="AI253" t="s">
        <v>413</v>
      </c>
      <c r="AJ253" t="s">
        <v>413</v>
      </c>
      <c r="AK253" t="s">
        <v>413</v>
      </c>
      <c r="AL253" t="s">
        <v>413</v>
      </c>
      <c r="AM253" t="s">
        <v>413</v>
      </c>
      <c r="AN253" t="s">
        <v>413</v>
      </c>
      <c r="AP253" t="s">
        <v>413</v>
      </c>
      <c r="AQ253" t="s">
        <v>413</v>
      </c>
      <c r="AR253" t="s">
        <v>413</v>
      </c>
      <c r="AS253" t="s">
        <v>413</v>
      </c>
      <c r="AT253" t="s">
        <v>413</v>
      </c>
      <c r="AU253" t="s">
        <v>413</v>
      </c>
      <c r="AV253" t="s">
        <v>413</v>
      </c>
      <c r="AX253" t="s">
        <v>413</v>
      </c>
      <c r="AY253" t="s">
        <v>413</v>
      </c>
      <c r="AZ253" t="s">
        <v>413</v>
      </c>
      <c r="BA253" t="s">
        <v>413</v>
      </c>
      <c r="BB253" t="s">
        <v>413</v>
      </c>
      <c r="BD253" t="s">
        <v>413</v>
      </c>
      <c r="BE253" t="s">
        <v>413</v>
      </c>
      <c r="BF253" t="s">
        <v>413</v>
      </c>
      <c r="BG253" t="s">
        <v>413</v>
      </c>
      <c r="BH253" t="s">
        <v>413</v>
      </c>
      <c r="BI253" t="s">
        <v>413</v>
      </c>
      <c r="BJ253" t="s">
        <v>413</v>
      </c>
      <c r="BK253" t="s">
        <v>413</v>
      </c>
      <c r="BL253" t="s">
        <v>413</v>
      </c>
      <c r="BM253" t="s">
        <v>413</v>
      </c>
      <c r="BN253" t="s">
        <v>413</v>
      </c>
      <c r="BO253" t="s">
        <v>413</v>
      </c>
      <c r="BP253" t="s">
        <v>413</v>
      </c>
      <c r="BQ253" t="s">
        <v>413</v>
      </c>
      <c r="BR253" t="s">
        <v>413</v>
      </c>
      <c r="BS253" t="s">
        <v>413</v>
      </c>
      <c r="BT253" t="s">
        <v>413</v>
      </c>
      <c r="BU253" t="s">
        <v>413</v>
      </c>
      <c r="BV253" t="s">
        <v>413</v>
      </c>
      <c r="BW253" t="s">
        <v>413</v>
      </c>
      <c r="BX253" t="s">
        <v>431</v>
      </c>
      <c r="BY253" t="s">
        <v>413</v>
      </c>
      <c r="BZ253" t="s">
        <v>413</v>
      </c>
      <c r="CA253" t="s">
        <v>413</v>
      </c>
    </row>
    <row r="254" spans="1:79" x14ac:dyDescent="0.3">
      <c r="A254" s="155">
        <v>950</v>
      </c>
      <c r="B254" t="s">
        <v>982</v>
      </c>
      <c r="D254" t="s">
        <v>50</v>
      </c>
      <c r="E254" t="s">
        <v>50</v>
      </c>
      <c r="F254" t="s">
        <v>50</v>
      </c>
      <c r="G254" t="s">
        <v>50</v>
      </c>
      <c r="H254" t="s">
        <v>50</v>
      </c>
      <c r="I254" t="s">
        <v>51</v>
      </c>
      <c r="J254" t="s">
        <v>50</v>
      </c>
      <c r="K254" t="s">
        <v>50</v>
      </c>
      <c r="L254" t="s">
        <v>50</v>
      </c>
      <c r="M254" t="s">
        <v>50</v>
      </c>
      <c r="N254" t="s">
        <v>50</v>
      </c>
      <c r="O254" t="s">
        <v>50</v>
      </c>
      <c r="P254" t="s">
        <v>1682</v>
      </c>
      <c r="Q254" t="s">
        <v>50</v>
      </c>
      <c r="R254" t="s">
        <v>50</v>
      </c>
      <c r="S254" t="s">
        <v>50</v>
      </c>
      <c r="U254" t="s">
        <v>50</v>
      </c>
      <c r="V254" t="s">
        <v>50</v>
      </c>
      <c r="W254" t="s">
        <v>50</v>
      </c>
      <c r="X254" t="s">
        <v>50</v>
      </c>
      <c r="Y254" t="s">
        <v>50</v>
      </c>
      <c r="Z254" t="s">
        <v>1682</v>
      </c>
      <c r="AA254" t="s">
        <v>50</v>
      </c>
      <c r="AB254" t="s">
        <v>50</v>
      </c>
      <c r="AC254" t="s">
        <v>1682</v>
      </c>
      <c r="AD254" t="s">
        <v>50</v>
      </c>
      <c r="AE254" t="s">
        <v>50</v>
      </c>
      <c r="AF254" t="s">
        <v>50</v>
      </c>
      <c r="AG254" t="s">
        <v>50</v>
      </c>
      <c r="AH254" t="s">
        <v>50</v>
      </c>
      <c r="AI254" t="s">
        <v>50</v>
      </c>
      <c r="AJ254" t="s">
        <v>50</v>
      </c>
      <c r="AK254" t="s">
        <v>50</v>
      </c>
      <c r="AL254" t="s">
        <v>50</v>
      </c>
      <c r="AM254" t="s">
        <v>50</v>
      </c>
      <c r="AN254" t="s">
        <v>50</v>
      </c>
      <c r="AP254" t="s">
        <v>50</v>
      </c>
      <c r="AQ254" t="s">
        <v>50</v>
      </c>
      <c r="AR254" t="s">
        <v>50</v>
      </c>
      <c r="AS254" t="s">
        <v>50</v>
      </c>
      <c r="AT254" t="s">
        <v>50</v>
      </c>
      <c r="AU254" t="s">
        <v>50</v>
      </c>
      <c r="AV254" t="s">
        <v>50</v>
      </c>
      <c r="AX254" t="s">
        <v>51</v>
      </c>
      <c r="AY254" t="s">
        <v>50</v>
      </c>
      <c r="AZ254" t="s">
        <v>50</v>
      </c>
      <c r="BA254" t="s">
        <v>50</v>
      </c>
      <c r="BB254" t="s">
        <v>50</v>
      </c>
      <c r="BD254" t="s">
        <v>50</v>
      </c>
      <c r="BE254" t="s">
        <v>50</v>
      </c>
      <c r="BF254" t="s">
        <v>50</v>
      </c>
      <c r="BG254" t="s">
        <v>50</v>
      </c>
      <c r="BH254" t="s">
        <v>50</v>
      </c>
      <c r="BI254" t="s">
        <v>50</v>
      </c>
      <c r="BJ254" t="s">
        <v>50</v>
      </c>
      <c r="BK254" t="s">
        <v>50</v>
      </c>
      <c r="BL254">
        <v>0</v>
      </c>
      <c r="BM254" t="s">
        <v>50</v>
      </c>
      <c r="BN254" t="s">
        <v>1682</v>
      </c>
      <c r="BO254" t="s">
        <v>50</v>
      </c>
      <c r="BP254" t="s">
        <v>50</v>
      </c>
      <c r="BQ254" t="s">
        <v>50</v>
      </c>
      <c r="BR254" t="s">
        <v>50</v>
      </c>
      <c r="BS254" t="s">
        <v>50</v>
      </c>
      <c r="BT254" t="s">
        <v>50</v>
      </c>
      <c r="BU254" t="s">
        <v>50</v>
      </c>
      <c r="BV254" t="s">
        <v>50</v>
      </c>
      <c r="BW254" t="s">
        <v>50</v>
      </c>
      <c r="BX254" t="s">
        <v>50</v>
      </c>
      <c r="BY254" t="s">
        <v>50</v>
      </c>
      <c r="BZ254" t="s">
        <v>50</v>
      </c>
      <c r="CA254" t="s">
        <v>50</v>
      </c>
    </row>
    <row r="255" spans="1:79" x14ac:dyDescent="0.3">
      <c r="A255" s="155">
        <v>951</v>
      </c>
      <c r="B255" t="s">
        <v>983</v>
      </c>
      <c r="D255">
        <v>1</v>
      </c>
      <c r="E255">
        <v>2</v>
      </c>
      <c r="F255">
        <v>2</v>
      </c>
      <c r="G255">
        <v>2</v>
      </c>
      <c r="H255">
        <v>2</v>
      </c>
      <c r="I255">
        <v>2</v>
      </c>
      <c r="J255">
        <v>1</v>
      </c>
      <c r="K255">
        <v>2</v>
      </c>
      <c r="L255">
        <v>2</v>
      </c>
      <c r="M255">
        <v>1</v>
      </c>
      <c r="N255">
        <v>2</v>
      </c>
      <c r="O255">
        <v>2</v>
      </c>
      <c r="P255">
        <v>2</v>
      </c>
      <c r="Q255">
        <v>2</v>
      </c>
      <c r="R255">
        <v>2</v>
      </c>
      <c r="S255">
        <v>2</v>
      </c>
      <c r="U255">
        <v>2</v>
      </c>
      <c r="V255">
        <v>2</v>
      </c>
      <c r="W255">
        <v>2</v>
      </c>
      <c r="X255">
        <v>2</v>
      </c>
      <c r="Y255">
        <v>2</v>
      </c>
      <c r="Z255">
        <v>2</v>
      </c>
      <c r="AA255">
        <v>2</v>
      </c>
      <c r="AB255">
        <v>2</v>
      </c>
      <c r="AC255">
        <v>2</v>
      </c>
      <c r="AD255">
        <v>2</v>
      </c>
      <c r="AE255">
        <v>2</v>
      </c>
      <c r="AF255">
        <v>2</v>
      </c>
      <c r="AG255">
        <v>1</v>
      </c>
      <c r="AH255">
        <v>1</v>
      </c>
      <c r="AI255">
        <v>2</v>
      </c>
      <c r="AJ255">
        <v>2</v>
      </c>
      <c r="AK255">
        <v>1</v>
      </c>
      <c r="AL255">
        <v>2</v>
      </c>
      <c r="AM255">
        <v>2</v>
      </c>
      <c r="AN255">
        <v>2</v>
      </c>
      <c r="AP255">
        <v>2</v>
      </c>
      <c r="AQ255">
        <v>2</v>
      </c>
      <c r="AR255">
        <v>2</v>
      </c>
      <c r="AS255">
        <v>2</v>
      </c>
      <c r="AT255">
        <v>1</v>
      </c>
      <c r="AU255">
        <v>2</v>
      </c>
      <c r="AV255">
        <v>2</v>
      </c>
      <c r="AX255">
        <v>2</v>
      </c>
      <c r="AY255">
        <v>2</v>
      </c>
      <c r="AZ255">
        <v>2</v>
      </c>
      <c r="BA255">
        <v>1</v>
      </c>
      <c r="BB255">
        <v>2</v>
      </c>
      <c r="BD255">
        <v>1</v>
      </c>
      <c r="BE255">
        <v>2</v>
      </c>
      <c r="BF255">
        <v>2</v>
      </c>
      <c r="BG255">
        <v>2</v>
      </c>
      <c r="BH255">
        <v>2</v>
      </c>
      <c r="BI255">
        <v>2</v>
      </c>
      <c r="BJ255">
        <v>2</v>
      </c>
      <c r="BK255">
        <v>2</v>
      </c>
      <c r="BL255">
        <v>2</v>
      </c>
      <c r="BM255">
        <v>2</v>
      </c>
      <c r="BN255">
        <v>2</v>
      </c>
      <c r="BO255">
        <v>2</v>
      </c>
      <c r="BP255">
        <v>2</v>
      </c>
      <c r="BQ255">
        <v>2</v>
      </c>
      <c r="BR255">
        <v>2</v>
      </c>
      <c r="BS255">
        <v>2</v>
      </c>
      <c r="BT255">
        <v>2</v>
      </c>
      <c r="BU255">
        <v>2</v>
      </c>
      <c r="BV255">
        <v>2</v>
      </c>
      <c r="BW255">
        <v>2</v>
      </c>
      <c r="BX255">
        <v>2</v>
      </c>
      <c r="BY255">
        <v>1</v>
      </c>
      <c r="BZ255">
        <v>2</v>
      </c>
      <c r="CA255">
        <v>2</v>
      </c>
    </row>
    <row r="256" spans="1:79" x14ac:dyDescent="0.3">
      <c r="A256" s="155">
        <v>952</v>
      </c>
      <c r="B256" t="s">
        <v>984</v>
      </c>
      <c r="E256" t="s">
        <v>2181</v>
      </c>
      <c r="F256" t="s">
        <v>2182</v>
      </c>
      <c r="G256" t="s">
        <v>2183</v>
      </c>
      <c r="H256" t="s">
        <v>2184</v>
      </c>
      <c r="I256" t="s">
        <v>986</v>
      </c>
      <c r="J256" t="s">
        <v>2185</v>
      </c>
      <c r="K256" t="s">
        <v>1994</v>
      </c>
      <c r="L256" t="s">
        <v>2186</v>
      </c>
      <c r="M256" t="s">
        <v>985</v>
      </c>
      <c r="N256" t="s">
        <v>2032</v>
      </c>
      <c r="O256" t="s">
        <v>1681</v>
      </c>
      <c r="Q256" t="s">
        <v>2187</v>
      </c>
      <c r="R256" t="s">
        <v>2188</v>
      </c>
      <c r="S256" t="s">
        <v>2189</v>
      </c>
      <c r="U256" t="s">
        <v>2190</v>
      </c>
      <c r="V256" t="s">
        <v>2191</v>
      </c>
      <c r="W256" t="s">
        <v>2192</v>
      </c>
      <c r="X256" t="s">
        <v>2193</v>
      </c>
      <c r="Y256" t="s">
        <v>2194</v>
      </c>
      <c r="Z256" t="s">
        <v>2195</v>
      </c>
      <c r="AA256" t="s">
        <v>2196</v>
      </c>
      <c r="AB256" t="s">
        <v>2049</v>
      </c>
      <c r="AD256" t="s">
        <v>2197</v>
      </c>
      <c r="AE256" t="s">
        <v>2198</v>
      </c>
      <c r="AG256" t="s">
        <v>986</v>
      </c>
      <c r="AH256" t="s">
        <v>1995</v>
      </c>
      <c r="AI256" t="s">
        <v>2199</v>
      </c>
      <c r="AJ256" t="s">
        <v>2200</v>
      </c>
      <c r="AK256" t="s">
        <v>1995</v>
      </c>
      <c r="AL256" t="s">
        <v>2201</v>
      </c>
      <c r="AM256" t="s">
        <v>1996</v>
      </c>
      <c r="AN256" t="s">
        <v>2202</v>
      </c>
      <c r="AP256" t="s">
        <v>2189</v>
      </c>
      <c r="AQ256" t="s">
        <v>2203</v>
      </c>
      <c r="AS256" t="s">
        <v>2204</v>
      </c>
      <c r="AT256" t="s">
        <v>2205</v>
      </c>
      <c r="AU256" t="s">
        <v>2206</v>
      </c>
      <c r="AV256" t="s">
        <v>986</v>
      </c>
      <c r="AY256" t="s">
        <v>2207</v>
      </c>
      <c r="AZ256" t="s">
        <v>2208</v>
      </c>
      <c r="BA256" t="s">
        <v>1996</v>
      </c>
      <c r="BB256" t="s">
        <v>1999</v>
      </c>
      <c r="BD256" t="s">
        <v>985</v>
      </c>
      <c r="BE256" t="s">
        <v>2209</v>
      </c>
      <c r="BG256" t="s">
        <v>2210</v>
      </c>
      <c r="BH256" t="s">
        <v>986</v>
      </c>
      <c r="BI256" t="s">
        <v>2211</v>
      </c>
      <c r="BJ256" t="s">
        <v>2212</v>
      </c>
      <c r="BK256" t="s">
        <v>2031</v>
      </c>
      <c r="BL256" t="s">
        <v>2213</v>
      </c>
      <c r="BM256" t="s">
        <v>2049</v>
      </c>
      <c r="BN256" t="s">
        <v>2214</v>
      </c>
      <c r="BO256" t="s">
        <v>2215</v>
      </c>
      <c r="BP256" t="s">
        <v>2216</v>
      </c>
      <c r="BQ256" t="s">
        <v>985</v>
      </c>
      <c r="BR256" t="s">
        <v>985</v>
      </c>
      <c r="BS256" t="s">
        <v>2217</v>
      </c>
      <c r="BT256" t="s">
        <v>2049</v>
      </c>
      <c r="BU256" t="s">
        <v>2218</v>
      </c>
      <c r="BV256" t="s">
        <v>2219</v>
      </c>
      <c r="BW256" t="s">
        <v>2220</v>
      </c>
      <c r="BX256" t="s">
        <v>1997</v>
      </c>
      <c r="BY256" t="s">
        <v>2221</v>
      </c>
      <c r="BZ256" t="s">
        <v>2222</v>
      </c>
    </row>
    <row r="257" spans="1:79" x14ac:dyDescent="0.3">
      <c r="A257" s="155">
        <v>953</v>
      </c>
      <c r="B257" t="s">
        <v>987</v>
      </c>
      <c r="D257">
        <v>2</v>
      </c>
      <c r="E257">
        <v>2</v>
      </c>
      <c r="F257">
        <v>2</v>
      </c>
      <c r="G257">
        <v>2</v>
      </c>
      <c r="H257">
        <v>2</v>
      </c>
      <c r="I257">
        <v>2</v>
      </c>
      <c r="J257">
        <v>2</v>
      </c>
      <c r="K257">
        <v>2</v>
      </c>
      <c r="L257">
        <v>2</v>
      </c>
      <c r="M257">
        <v>2</v>
      </c>
      <c r="N257">
        <v>2</v>
      </c>
      <c r="O257">
        <v>2</v>
      </c>
      <c r="P257">
        <v>2</v>
      </c>
      <c r="Q257">
        <v>2</v>
      </c>
      <c r="R257">
        <v>2</v>
      </c>
      <c r="S257">
        <v>2</v>
      </c>
      <c r="U257">
        <v>2</v>
      </c>
      <c r="V257">
        <v>2</v>
      </c>
      <c r="W257">
        <v>2</v>
      </c>
      <c r="X257">
        <v>2</v>
      </c>
      <c r="Y257">
        <v>2</v>
      </c>
      <c r="Z257">
        <v>2</v>
      </c>
      <c r="AA257">
        <v>2</v>
      </c>
      <c r="AB257">
        <v>2</v>
      </c>
      <c r="AC257">
        <v>2</v>
      </c>
      <c r="AD257">
        <v>2</v>
      </c>
      <c r="AE257">
        <v>2</v>
      </c>
      <c r="AF257">
        <v>2</v>
      </c>
      <c r="AG257">
        <v>2</v>
      </c>
      <c r="AH257">
        <v>2</v>
      </c>
      <c r="AI257">
        <v>2</v>
      </c>
      <c r="AJ257">
        <v>2</v>
      </c>
      <c r="AK257">
        <v>2</v>
      </c>
      <c r="AL257">
        <v>2</v>
      </c>
      <c r="AM257">
        <v>2</v>
      </c>
      <c r="AN257">
        <v>2</v>
      </c>
      <c r="AP257">
        <v>2</v>
      </c>
      <c r="AQ257">
        <v>2</v>
      </c>
      <c r="AR257">
        <v>2</v>
      </c>
      <c r="AS257">
        <v>2</v>
      </c>
      <c r="AT257">
        <v>2</v>
      </c>
      <c r="AU257">
        <v>2</v>
      </c>
      <c r="AV257">
        <v>2</v>
      </c>
      <c r="AX257">
        <v>2</v>
      </c>
      <c r="AY257">
        <v>2</v>
      </c>
      <c r="AZ257">
        <v>2</v>
      </c>
      <c r="BA257">
        <v>2</v>
      </c>
      <c r="BB257">
        <v>2</v>
      </c>
      <c r="BD257">
        <v>2</v>
      </c>
      <c r="BE257">
        <v>2</v>
      </c>
      <c r="BF257">
        <v>2</v>
      </c>
      <c r="BG257">
        <v>2</v>
      </c>
      <c r="BH257">
        <v>2</v>
      </c>
      <c r="BI257">
        <v>2</v>
      </c>
      <c r="BJ257">
        <v>2</v>
      </c>
      <c r="BK257">
        <v>2</v>
      </c>
      <c r="BL257">
        <v>2</v>
      </c>
      <c r="BM257">
        <v>2</v>
      </c>
      <c r="BN257">
        <v>2</v>
      </c>
      <c r="BO257">
        <v>2</v>
      </c>
      <c r="BP257">
        <v>2</v>
      </c>
      <c r="BQ257">
        <v>2</v>
      </c>
      <c r="BR257">
        <v>2</v>
      </c>
      <c r="BS257">
        <v>2</v>
      </c>
      <c r="BT257">
        <v>2</v>
      </c>
      <c r="BU257">
        <v>2</v>
      </c>
      <c r="BV257">
        <v>2</v>
      </c>
      <c r="BW257">
        <v>2</v>
      </c>
      <c r="BX257">
        <v>2</v>
      </c>
      <c r="BY257">
        <v>2</v>
      </c>
      <c r="BZ257">
        <v>2</v>
      </c>
      <c r="CA257">
        <v>2</v>
      </c>
    </row>
    <row r="258" spans="1:79" x14ac:dyDescent="0.3">
      <c r="A258" s="155">
        <v>954</v>
      </c>
      <c r="B258" t="s">
        <v>411</v>
      </c>
      <c r="D258" t="s">
        <v>50</v>
      </c>
      <c r="E258" t="s">
        <v>50</v>
      </c>
      <c r="F258" t="s">
        <v>50</v>
      </c>
      <c r="G258" t="s">
        <v>50</v>
      </c>
      <c r="H258" t="s">
        <v>50</v>
      </c>
      <c r="I258" t="s">
        <v>50</v>
      </c>
      <c r="J258" t="s">
        <v>50</v>
      </c>
      <c r="K258" t="s">
        <v>50</v>
      </c>
      <c r="L258" t="s">
        <v>50</v>
      </c>
      <c r="M258" t="s">
        <v>50</v>
      </c>
      <c r="N258" t="s">
        <v>50</v>
      </c>
      <c r="O258" t="s">
        <v>50</v>
      </c>
      <c r="P258" t="s">
        <v>50</v>
      </c>
      <c r="Q258" t="s">
        <v>50</v>
      </c>
      <c r="R258" t="s">
        <v>50</v>
      </c>
      <c r="S258" t="s">
        <v>50</v>
      </c>
      <c r="U258" t="s">
        <v>1682</v>
      </c>
      <c r="V258" t="s">
        <v>50</v>
      </c>
      <c r="W258" t="s">
        <v>50</v>
      </c>
      <c r="X258" t="s">
        <v>50</v>
      </c>
      <c r="Y258" t="s">
        <v>50</v>
      </c>
      <c r="Z258" t="s">
        <v>50</v>
      </c>
      <c r="AA258" t="s">
        <v>50</v>
      </c>
      <c r="AB258" t="s">
        <v>50</v>
      </c>
      <c r="AC258" t="s">
        <v>1682</v>
      </c>
      <c r="AD258" t="s">
        <v>50</v>
      </c>
      <c r="AE258" t="s">
        <v>50</v>
      </c>
      <c r="AF258" t="s">
        <v>50</v>
      </c>
      <c r="AG258" t="s">
        <v>50</v>
      </c>
      <c r="AH258" t="s">
        <v>50</v>
      </c>
      <c r="AI258" t="s">
        <v>50</v>
      </c>
      <c r="AJ258" t="s">
        <v>50</v>
      </c>
      <c r="AK258" t="s">
        <v>50</v>
      </c>
      <c r="AL258" t="s">
        <v>50</v>
      </c>
      <c r="AM258" t="s">
        <v>50</v>
      </c>
      <c r="AN258" t="s">
        <v>50</v>
      </c>
      <c r="AP258" t="s">
        <v>50</v>
      </c>
      <c r="AQ258" t="s">
        <v>50</v>
      </c>
      <c r="AR258" t="s">
        <v>50</v>
      </c>
      <c r="AS258" t="s">
        <v>50</v>
      </c>
      <c r="AT258" t="s">
        <v>50</v>
      </c>
      <c r="AU258" t="s">
        <v>50</v>
      </c>
      <c r="AV258" t="s">
        <v>50</v>
      </c>
      <c r="AX258" t="s">
        <v>50</v>
      </c>
      <c r="AY258" t="s">
        <v>50</v>
      </c>
      <c r="AZ258" t="s">
        <v>50</v>
      </c>
      <c r="BA258" t="s">
        <v>50</v>
      </c>
      <c r="BB258" t="s">
        <v>50</v>
      </c>
      <c r="BD258" t="s">
        <v>50</v>
      </c>
      <c r="BE258" t="s">
        <v>50</v>
      </c>
      <c r="BF258" t="s">
        <v>50</v>
      </c>
      <c r="BG258" t="s">
        <v>50</v>
      </c>
      <c r="BH258" t="s">
        <v>50</v>
      </c>
      <c r="BI258" t="s">
        <v>50</v>
      </c>
      <c r="BJ258" t="s">
        <v>2223</v>
      </c>
      <c r="BK258" t="s">
        <v>50</v>
      </c>
      <c r="BL258" t="s">
        <v>50</v>
      </c>
      <c r="BM258" t="s">
        <v>50</v>
      </c>
      <c r="BN258" t="s">
        <v>1682</v>
      </c>
      <c r="BO258" t="s">
        <v>50</v>
      </c>
      <c r="BP258" t="s">
        <v>50</v>
      </c>
      <c r="BQ258" t="s">
        <v>50</v>
      </c>
      <c r="BR258" t="s">
        <v>50</v>
      </c>
      <c r="BS258" t="s">
        <v>50</v>
      </c>
      <c r="BT258" t="s">
        <v>50</v>
      </c>
      <c r="BU258" t="s">
        <v>50</v>
      </c>
      <c r="BV258" t="s">
        <v>50</v>
      </c>
      <c r="BW258" t="s">
        <v>50</v>
      </c>
      <c r="BX258" t="s">
        <v>50</v>
      </c>
      <c r="BY258" t="s">
        <v>50</v>
      </c>
      <c r="BZ258" t="s">
        <v>50</v>
      </c>
      <c r="CA258" t="s">
        <v>50</v>
      </c>
    </row>
    <row r="259" spans="1:79" x14ac:dyDescent="0.3">
      <c r="A259" s="155">
        <v>955</v>
      </c>
      <c r="B259" t="s">
        <v>988</v>
      </c>
      <c r="D259">
        <v>0</v>
      </c>
      <c r="E259">
        <v>0</v>
      </c>
      <c r="F259">
        <v>2</v>
      </c>
      <c r="G259">
        <v>0</v>
      </c>
      <c r="H259">
        <v>0</v>
      </c>
      <c r="I259">
        <v>0</v>
      </c>
      <c r="J259">
        <v>1</v>
      </c>
      <c r="K259">
        <v>0</v>
      </c>
      <c r="L259">
        <v>0</v>
      </c>
      <c r="M259">
        <v>0</v>
      </c>
      <c r="N259">
        <v>0</v>
      </c>
      <c r="O259">
        <v>1</v>
      </c>
      <c r="P259">
        <v>0</v>
      </c>
      <c r="Q259">
        <v>0</v>
      </c>
      <c r="R259">
        <v>0</v>
      </c>
      <c r="S259">
        <v>0</v>
      </c>
      <c r="U259">
        <v>0</v>
      </c>
      <c r="V259">
        <v>0</v>
      </c>
      <c r="W259">
        <v>0</v>
      </c>
      <c r="X259">
        <v>0</v>
      </c>
      <c r="Y259">
        <v>0</v>
      </c>
      <c r="Z259">
        <v>0</v>
      </c>
      <c r="AA259">
        <v>0</v>
      </c>
      <c r="AB259">
        <v>0</v>
      </c>
      <c r="AC259">
        <v>0</v>
      </c>
      <c r="AD259">
        <v>2</v>
      </c>
      <c r="AE259">
        <v>0</v>
      </c>
      <c r="AF259">
        <v>2</v>
      </c>
      <c r="AG259">
        <v>0</v>
      </c>
      <c r="AH259">
        <v>0</v>
      </c>
      <c r="AI259">
        <v>0</v>
      </c>
      <c r="AJ259">
        <v>0</v>
      </c>
      <c r="AK259">
        <v>0</v>
      </c>
      <c r="AL259">
        <v>0</v>
      </c>
      <c r="AM259">
        <v>0</v>
      </c>
      <c r="AN259">
        <v>0</v>
      </c>
      <c r="AP259">
        <v>0</v>
      </c>
      <c r="AQ259">
        <v>0</v>
      </c>
      <c r="AR259">
        <v>3</v>
      </c>
      <c r="AS259">
        <v>0</v>
      </c>
      <c r="AT259">
        <v>0</v>
      </c>
      <c r="AU259">
        <v>1</v>
      </c>
      <c r="AV259">
        <v>0</v>
      </c>
      <c r="AX259">
        <v>0</v>
      </c>
      <c r="AY259">
        <v>0</v>
      </c>
      <c r="AZ259">
        <v>0</v>
      </c>
      <c r="BA259">
        <v>0</v>
      </c>
      <c r="BB259">
        <v>0</v>
      </c>
      <c r="BD259">
        <v>0</v>
      </c>
      <c r="BE259">
        <v>0</v>
      </c>
      <c r="BF259">
        <v>2</v>
      </c>
      <c r="BG259">
        <v>0</v>
      </c>
      <c r="BH259">
        <v>1</v>
      </c>
      <c r="BI259">
        <v>0</v>
      </c>
      <c r="BJ259">
        <v>3</v>
      </c>
      <c r="BK259">
        <v>0</v>
      </c>
      <c r="BL259">
        <v>0</v>
      </c>
      <c r="BM259">
        <v>0</v>
      </c>
      <c r="BN259">
        <v>0</v>
      </c>
      <c r="BO259">
        <v>0</v>
      </c>
      <c r="BP259">
        <v>1</v>
      </c>
      <c r="BQ259">
        <v>0</v>
      </c>
      <c r="BR259">
        <v>0</v>
      </c>
      <c r="BS259">
        <v>0</v>
      </c>
      <c r="BT259">
        <v>0</v>
      </c>
      <c r="BU259">
        <v>1</v>
      </c>
      <c r="BV259">
        <v>0</v>
      </c>
      <c r="BW259">
        <v>0</v>
      </c>
      <c r="BX259">
        <v>0</v>
      </c>
      <c r="BY259">
        <v>0</v>
      </c>
      <c r="BZ259">
        <v>0</v>
      </c>
      <c r="CA259">
        <v>1</v>
      </c>
    </row>
    <row r="260" spans="1:79" x14ac:dyDescent="0.3">
      <c r="A260" s="155">
        <v>956</v>
      </c>
      <c r="B260" t="s">
        <v>412</v>
      </c>
      <c r="D260" t="s">
        <v>50</v>
      </c>
      <c r="E260" t="s">
        <v>50</v>
      </c>
      <c r="F260" t="s">
        <v>50</v>
      </c>
      <c r="G260" t="s">
        <v>50</v>
      </c>
      <c r="H260" t="s">
        <v>50</v>
      </c>
      <c r="I260" t="s">
        <v>50</v>
      </c>
      <c r="J260" t="s">
        <v>50</v>
      </c>
      <c r="K260" t="s">
        <v>50</v>
      </c>
      <c r="L260" t="s">
        <v>50</v>
      </c>
      <c r="M260" t="s">
        <v>50</v>
      </c>
      <c r="N260" t="s">
        <v>50</v>
      </c>
      <c r="O260" t="s">
        <v>50</v>
      </c>
      <c r="P260" t="s">
        <v>50</v>
      </c>
      <c r="Q260" t="s">
        <v>50</v>
      </c>
      <c r="R260" t="s">
        <v>50</v>
      </c>
      <c r="S260" t="s">
        <v>50</v>
      </c>
      <c r="U260" t="s">
        <v>1682</v>
      </c>
      <c r="V260" t="s">
        <v>50</v>
      </c>
      <c r="W260" t="s">
        <v>50</v>
      </c>
      <c r="X260" t="s">
        <v>50</v>
      </c>
      <c r="Y260" t="s">
        <v>50</v>
      </c>
      <c r="Z260" t="s">
        <v>50</v>
      </c>
      <c r="AA260" t="s">
        <v>50</v>
      </c>
      <c r="AB260" t="s">
        <v>50</v>
      </c>
      <c r="AC260" t="s">
        <v>1682</v>
      </c>
      <c r="AD260" t="s">
        <v>50</v>
      </c>
      <c r="AE260" t="s">
        <v>50</v>
      </c>
      <c r="AF260" t="s">
        <v>50</v>
      </c>
      <c r="AG260" t="s">
        <v>50</v>
      </c>
      <c r="AH260" t="s">
        <v>50</v>
      </c>
      <c r="AI260" t="s">
        <v>50</v>
      </c>
      <c r="AJ260" t="s">
        <v>50</v>
      </c>
      <c r="AK260" t="s">
        <v>50</v>
      </c>
      <c r="AL260" t="s">
        <v>50</v>
      </c>
      <c r="AM260" t="s">
        <v>50</v>
      </c>
      <c r="AN260" t="s">
        <v>50</v>
      </c>
      <c r="AP260" t="s">
        <v>50</v>
      </c>
      <c r="AQ260" t="s">
        <v>50</v>
      </c>
      <c r="AR260" t="s">
        <v>50</v>
      </c>
      <c r="AS260" t="s">
        <v>50</v>
      </c>
      <c r="AT260" t="s">
        <v>50</v>
      </c>
      <c r="AU260" t="s">
        <v>50</v>
      </c>
      <c r="AV260" t="s">
        <v>50</v>
      </c>
      <c r="AX260" t="s">
        <v>50</v>
      </c>
      <c r="AY260" t="s">
        <v>50</v>
      </c>
      <c r="AZ260" t="s">
        <v>50</v>
      </c>
      <c r="BA260" t="s">
        <v>50</v>
      </c>
      <c r="BB260" t="s">
        <v>50</v>
      </c>
      <c r="BD260" t="s">
        <v>50</v>
      </c>
      <c r="BE260" t="s">
        <v>50</v>
      </c>
      <c r="BF260" t="s">
        <v>50</v>
      </c>
      <c r="BG260" t="s">
        <v>50</v>
      </c>
      <c r="BH260" t="s">
        <v>50</v>
      </c>
      <c r="BI260" t="s">
        <v>50</v>
      </c>
      <c r="BJ260" t="s">
        <v>2223</v>
      </c>
      <c r="BK260" t="s">
        <v>50</v>
      </c>
      <c r="BL260" t="s">
        <v>50</v>
      </c>
      <c r="BM260" t="s">
        <v>50</v>
      </c>
      <c r="BN260" t="s">
        <v>1682</v>
      </c>
      <c r="BO260" t="s">
        <v>50</v>
      </c>
      <c r="BP260" t="s">
        <v>50</v>
      </c>
      <c r="BQ260" t="s">
        <v>50</v>
      </c>
      <c r="BR260" t="s">
        <v>50</v>
      </c>
      <c r="BS260" t="s">
        <v>50</v>
      </c>
      <c r="BT260" t="s">
        <v>50</v>
      </c>
      <c r="BU260" t="s">
        <v>50</v>
      </c>
      <c r="BV260" t="s">
        <v>50</v>
      </c>
      <c r="BW260" t="s">
        <v>50</v>
      </c>
      <c r="BX260" t="s">
        <v>50</v>
      </c>
      <c r="BY260" t="s">
        <v>50</v>
      </c>
      <c r="BZ260" t="s">
        <v>50</v>
      </c>
      <c r="CA260" t="s">
        <v>50</v>
      </c>
    </row>
    <row r="261" spans="1:79" x14ac:dyDescent="0.3">
      <c r="A261" s="155">
        <v>957</v>
      </c>
      <c r="B261" t="s">
        <v>989</v>
      </c>
      <c r="D261">
        <v>1</v>
      </c>
      <c r="E261">
        <v>0</v>
      </c>
      <c r="F261">
        <v>0</v>
      </c>
      <c r="G261">
        <v>0</v>
      </c>
      <c r="H261">
        <v>0</v>
      </c>
      <c r="I261">
        <v>0</v>
      </c>
      <c r="J261">
        <v>0</v>
      </c>
      <c r="K261">
        <v>0</v>
      </c>
      <c r="L261">
        <v>0</v>
      </c>
      <c r="M261">
        <v>0</v>
      </c>
      <c r="N261">
        <v>0</v>
      </c>
      <c r="O261">
        <v>2</v>
      </c>
      <c r="P261">
        <v>0</v>
      </c>
      <c r="Q261">
        <v>0</v>
      </c>
      <c r="R261">
        <v>0</v>
      </c>
      <c r="S261">
        <v>0</v>
      </c>
      <c r="U261">
        <v>0</v>
      </c>
      <c r="V261">
        <v>0</v>
      </c>
      <c r="W261">
        <v>0</v>
      </c>
      <c r="X261">
        <v>0</v>
      </c>
      <c r="Y261">
        <v>0</v>
      </c>
      <c r="Z261">
        <v>0</v>
      </c>
      <c r="AA261">
        <v>1</v>
      </c>
      <c r="AB261">
        <v>0</v>
      </c>
      <c r="AC261">
        <v>0</v>
      </c>
      <c r="AD261">
        <v>4</v>
      </c>
      <c r="AE261">
        <v>2</v>
      </c>
      <c r="AF261">
        <v>0</v>
      </c>
      <c r="AG261">
        <v>0</v>
      </c>
      <c r="AH261">
        <v>0</v>
      </c>
      <c r="AI261">
        <v>0</v>
      </c>
      <c r="AJ261">
        <v>0</v>
      </c>
      <c r="AK261">
        <v>0</v>
      </c>
      <c r="AL261">
        <v>0</v>
      </c>
      <c r="AM261">
        <v>0</v>
      </c>
      <c r="AN261">
        <v>0</v>
      </c>
      <c r="AP261">
        <v>0</v>
      </c>
      <c r="AQ261">
        <v>0</v>
      </c>
      <c r="AR261">
        <v>0</v>
      </c>
      <c r="AS261">
        <v>0</v>
      </c>
      <c r="AT261">
        <v>1</v>
      </c>
      <c r="AU261">
        <v>0</v>
      </c>
      <c r="AV261">
        <v>0</v>
      </c>
      <c r="AX261">
        <v>0</v>
      </c>
      <c r="AY261">
        <v>0</v>
      </c>
      <c r="AZ261">
        <v>0</v>
      </c>
      <c r="BA261">
        <v>0</v>
      </c>
      <c r="BB261">
        <v>0</v>
      </c>
      <c r="BD261">
        <v>0</v>
      </c>
      <c r="BE261">
        <v>0</v>
      </c>
      <c r="BF261">
        <v>1</v>
      </c>
      <c r="BG261">
        <v>0</v>
      </c>
      <c r="BH261">
        <v>0</v>
      </c>
      <c r="BI261">
        <v>0</v>
      </c>
      <c r="BJ261">
        <v>0</v>
      </c>
      <c r="BK261">
        <v>0</v>
      </c>
      <c r="BL261">
        <v>0</v>
      </c>
      <c r="BM261">
        <v>0</v>
      </c>
      <c r="BN261">
        <v>0</v>
      </c>
      <c r="BO261">
        <v>1</v>
      </c>
      <c r="BP261">
        <v>0</v>
      </c>
      <c r="BQ261">
        <v>0</v>
      </c>
      <c r="BR261">
        <v>1</v>
      </c>
      <c r="BS261">
        <v>0</v>
      </c>
      <c r="BT261">
        <v>0</v>
      </c>
      <c r="BU261">
        <v>0</v>
      </c>
      <c r="BV261">
        <v>2</v>
      </c>
      <c r="BW261">
        <v>0</v>
      </c>
      <c r="BX261">
        <v>0</v>
      </c>
      <c r="BY261">
        <v>0</v>
      </c>
      <c r="BZ261">
        <v>0</v>
      </c>
      <c r="CA261">
        <v>0</v>
      </c>
    </row>
    <row r="262" spans="1:79" x14ac:dyDescent="0.3">
      <c r="A262" s="155">
        <v>958</v>
      </c>
      <c r="B262" t="s">
        <v>990</v>
      </c>
      <c r="D262" t="s">
        <v>50</v>
      </c>
      <c r="E262" t="s">
        <v>50</v>
      </c>
      <c r="F262" t="s">
        <v>50</v>
      </c>
      <c r="G262" t="s">
        <v>50</v>
      </c>
      <c r="H262" t="s">
        <v>50</v>
      </c>
      <c r="I262" t="s">
        <v>50</v>
      </c>
      <c r="J262" t="s">
        <v>50</v>
      </c>
      <c r="K262" t="s">
        <v>50</v>
      </c>
      <c r="L262" t="s">
        <v>50</v>
      </c>
      <c r="M262" t="s">
        <v>50</v>
      </c>
      <c r="N262" t="s">
        <v>50</v>
      </c>
      <c r="O262" t="s">
        <v>50</v>
      </c>
      <c r="P262" t="s">
        <v>50</v>
      </c>
      <c r="Q262" t="s">
        <v>50</v>
      </c>
      <c r="R262" t="s">
        <v>50</v>
      </c>
      <c r="S262" t="s">
        <v>50</v>
      </c>
      <c r="U262" t="s">
        <v>1682</v>
      </c>
      <c r="V262" t="s">
        <v>50</v>
      </c>
      <c r="W262" t="s">
        <v>50</v>
      </c>
      <c r="X262" t="s">
        <v>50</v>
      </c>
      <c r="Y262" t="s">
        <v>50</v>
      </c>
      <c r="Z262" t="s">
        <v>50</v>
      </c>
      <c r="AA262" t="s">
        <v>50</v>
      </c>
      <c r="AB262" t="s">
        <v>50</v>
      </c>
      <c r="AC262" t="s">
        <v>1682</v>
      </c>
      <c r="AD262" t="s">
        <v>50</v>
      </c>
      <c r="AE262" t="s">
        <v>50</v>
      </c>
      <c r="AF262" t="s">
        <v>50</v>
      </c>
      <c r="AG262">
        <v>0</v>
      </c>
      <c r="AH262" t="s">
        <v>50</v>
      </c>
      <c r="AI262" t="s">
        <v>50</v>
      </c>
      <c r="AJ262" t="s">
        <v>51</v>
      </c>
      <c r="AK262" t="s">
        <v>50</v>
      </c>
      <c r="AL262" t="s">
        <v>50</v>
      </c>
      <c r="AM262" t="s">
        <v>50</v>
      </c>
      <c r="AN262" t="s">
        <v>50</v>
      </c>
      <c r="AP262" t="s">
        <v>50</v>
      </c>
      <c r="AQ262" t="s">
        <v>50</v>
      </c>
      <c r="AR262" t="s">
        <v>50</v>
      </c>
      <c r="AS262" t="s">
        <v>50</v>
      </c>
      <c r="AT262" t="s">
        <v>50</v>
      </c>
      <c r="AU262" t="s">
        <v>50</v>
      </c>
      <c r="AV262" t="s">
        <v>50</v>
      </c>
      <c r="AX262" t="s">
        <v>50</v>
      </c>
      <c r="AY262" t="s">
        <v>50</v>
      </c>
      <c r="AZ262" t="s">
        <v>50</v>
      </c>
      <c r="BA262" t="s">
        <v>50</v>
      </c>
      <c r="BB262" t="s">
        <v>50</v>
      </c>
      <c r="BD262" t="s">
        <v>1682</v>
      </c>
      <c r="BE262" t="s">
        <v>50</v>
      </c>
      <c r="BF262" t="s">
        <v>50</v>
      </c>
      <c r="BG262" t="s">
        <v>50</v>
      </c>
      <c r="BH262" t="s">
        <v>50</v>
      </c>
      <c r="BI262" t="s">
        <v>50</v>
      </c>
      <c r="BJ262" t="s">
        <v>2223</v>
      </c>
      <c r="BK262" t="s">
        <v>50</v>
      </c>
      <c r="BL262" t="s">
        <v>50</v>
      </c>
      <c r="BM262" t="s">
        <v>50</v>
      </c>
      <c r="BN262" t="s">
        <v>1682</v>
      </c>
      <c r="BO262" t="s">
        <v>50</v>
      </c>
      <c r="BP262" t="s">
        <v>50</v>
      </c>
      <c r="BQ262" t="s">
        <v>50</v>
      </c>
      <c r="BR262" t="s">
        <v>50</v>
      </c>
      <c r="BS262" t="s">
        <v>50</v>
      </c>
      <c r="BT262" t="s">
        <v>50</v>
      </c>
      <c r="BU262" t="s">
        <v>50</v>
      </c>
      <c r="BV262" t="s">
        <v>50</v>
      </c>
      <c r="BW262" t="s">
        <v>50</v>
      </c>
      <c r="BX262" t="s">
        <v>50</v>
      </c>
      <c r="BY262" t="s">
        <v>50</v>
      </c>
      <c r="BZ262" t="s">
        <v>50</v>
      </c>
      <c r="CA262" t="s">
        <v>50</v>
      </c>
    </row>
    <row r="263" spans="1:79" x14ac:dyDescent="0.3">
      <c r="A263" s="155">
        <v>959</v>
      </c>
      <c r="B263" t="s">
        <v>991</v>
      </c>
      <c r="D263">
        <v>2</v>
      </c>
      <c r="E263">
        <v>2</v>
      </c>
      <c r="F263">
        <v>2</v>
      </c>
      <c r="G263">
        <v>2</v>
      </c>
      <c r="H263">
        <v>2</v>
      </c>
      <c r="I263">
        <v>3</v>
      </c>
      <c r="J263">
        <v>2</v>
      </c>
      <c r="K263">
        <v>2</v>
      </c>
      <c r="L263">
        <v>2</v>
      </c>
      <c r="M263">
        <v>3</v>
      </c>
      <c r="N263">
        <v>2</v>
      </c>
      <c r="O263">
        <v>2</v>
      </c>
      <c r="P263">
        <v>2</v>
      </c>
      <c r="Q263">
        <v>3</v>
      </c>
      <c r="R263">
        <v>2</v>
      </c>
      <c r="S263">
        <v>2</v>
      </c>
      <c r="U263">
        <v>2</v>
      </c>
      <c r="V263">
        <v>3</v>
      </c>
      <c r="W263">
        <v>2</v>
      </c>
      <c r="X263">
        <v>2</v>
      </c>
      <c r="Y263">
        <v>2</v>
      </c>
      <c r="Z263">
        <v>2</v>
      </c>
      <c r="AA263">
        <v>2</v>
      </c>
      <c r="AB263">
        <v>3</v>
      </c>
      <c r="AC263">
        <v>2</v>
      </c>
      <c r="AD263">
        <v>2</v>
      </c>
      <c r="AE263">
        <v>2</v>
      </c>
      <c r="AF263">
        <v>3</v>
      </c>
      <c r="AG263">
        <v>2</v>
      </c>
      <c r="AH263">
        <v>2</v>
      </c>
      <c r="AI263">
        <v>2</v>
      </c>
      <c r="AJ263">
        <v>2</v>
      </c>
      <c r="AK263">
        <v>3</v>
      </c>
      <c r="AL263">
        <v>2</v>
      </c>
      <c r="AM263">
        <v>2</v>
      </c>
      <c r="AN263">
        <v>2</v>
      </c>
      <c r="AP263">
        <v>2</v>
      </c>
      <c r="AQ263">
        <v>2</v>
      </c>
      <c r="AR263">
        <v>2</v>
      </c>
      <c r="AS263">
        <v>2</v>
      </c>
      <c r="AT263">
        <v>3</v>
      </c>
      <c r="AU263">
        <v>2</v>
      </c>
      <c r="AV263">
        <v>2</v>
      </c>
      <c r="AX263">
        <v>2</v>
      </c>
      <c r="AY263">
        <v>2</v>
      </c>
      <c r="AZ263">
        <v>2</v>
      </c>
      <c r="BA263">
        <v>3</v>
      </c>
      <c r="BB263">
        <v>2</v>
      </c>
      <c r="BD263">
        <v>3</v>
      </c>
      <c r="BE263">
        <v>2</v>
      </c>
      <c r="BF263">
        <v>2</v>
      </c>
      <c r="BG263">
        <v>3</v>
      </c>
      <c r="BH263">
        <v>2</v>
      </c>
      <c r="BI263">
        <v>2</v>
      </c>
      <c r="BJ263">
        <v>2</v>
      </c>
      <c r="BK263">
        <v>2</v>
      </c>
      <c r="BL263">
        <v>2</v>
      </c>
      <c r="BM263">
        <v>3</v>
      </c>
      <c r="BN263">
        <v>2</v>
      </c>
      <c r="BO263">
        <v>2</v>
      </c>
      <c r="BP263">
        <v>2</v>
      </c>
      <c r="BQ263">
        <v>2</v>
      </c>
      <c r="BR263">
        <v>2</v>
      </c>
      <c r="BS263">
        <v>2</v>
      </c>
      <c r="BT263">
        <v>2</v>
      </c>
      <c r="BU263">
        <v>2</v>
      </c>
      <c r="BV263">
        <v>2</v>
      </c>
      <c r="BW263">
        <v>3</v>
      </c>
      <c r="BX263">
        <v>3</v>
      </c>
      <c r="BY263">
        <v>3</v>
      </c>
      <c r="BZ263">
        <v>2</v>
      </c>
      <c r="CA263">
        <v>2</v>
      </c>
    </row>
    <row r="264" spans="1:79" x14ac:dyDescent="0.3">
      <c r="A264" s="155">
        <v>960</v>
      </c>
      <c r="B264" t="s">
        <v>992</v>
      </c>
      <c r="D264" t="s">
        <v>2530</v>
      </c>
      <c r="E264" t="s">
        <v>2224</v>
      </c>
      <c r="F264" t="s">
        <v>1993</v>
      </c>
      <c r="G264" t="s">
        <v>2225</v>
      </c>
      <c r="H264" t="s">
        <v>2226</v>
      </c>
      <c r="I264" t="s">
        <v>2227</v>
      </c>
      <c r="J264" t="s">
        <v>2228</v>
      </c>
      <c r="K264" t="s">
        <v>2229</v>
      </c>
      <c r="L264" t="s">
        <v>2230</v>
      </c>
      <c r="M264" t="s">
        <v>2231</v>
      </c>
      <c r="N264" t="s">
        <v>2232</v>
      </c>
      <c r="O264" t="s">
        <v>2233</v>
      </c>
      <c r="P264" t="s">
        <v>2234</v>
      </c>
      <c r="Q264" t="s">
        <v>2235</v>
      </c>
      <c r="R264" t="s">
        <v>2236</v>
      </c>
      <c r="S264" t="s">
        <v>2237</v>
      </c>
      <c r="U264" t="s">
        <v>2238</v>
      </c>
      <c r="V264" t="s">
        <v>2239</v>
      </c>
      <c r="W264" t="s">
        <v>2077</v>
      </c>
      <c r="X264" t="s">
        <v>2240</v>
      </c>
      <c r="Y264" t="s">
        <v>2241</v>
      </c>
      <c r="Z264" t="s">
        <v>2242</v>
      </c>
      <c r="AA264" t="s">
        <v>2243</v>
      </c>
      <c r="AB264" t="s">
        <v>2244</v>
      </c>
      <c r="AC264" t="s">
        <v>2245</v>
      </c>
      <c r="AD264" t="s">
        <v>2246</v>
      </c>
      <c r="AE264" t="s">
        <v>2247</v>
      </c>
      <c r="AF264" t="s">
        <v>2248</v>
      </c>
      <c r="AG264" t="s">
        <v>2249</v>
      </c>
      <c r="AH264" t="s">
        <v>2250</v>
      </c>
      <c r="AI264" t="s">
        <v>2251</v>
      </c>
      <c r="AJ264" t="s">
        <v>2252</v>
      </c>
      <c r="AK264" t="s">
        <v>2253</v>
      </c>
      <c r="AL264" t="s">
        <v>2254</v>
      </c>
      <c r="AM264" t="s">
        <v>2255</v>
      </c>
      <c r="AN264" t="s">
        <v>2256</v>
      </c>
      <c r="AP264" t="s">
        <v>2257</v>
      </c>
      <c r="AQ264" t="s">
        <v>2258</v>
      </c>
      <c r="AR264" t="s">
        <v>2259</v>
      </c>
      <c r="AS264" t="s">
        <v>2260</v>
      </c>
      <c r="AT264" t="s">
        <v>2261</v>
      </c>
      <c r="AU264" t="s">
        <v>2262</v>
      </c>
      <c r="AV264" t="s">
        <v>2263</v>
      </c>
      <c r="AX264" t="s">
        <v>2264</v>
      </c>
      <c r="AY264" t="s">
        <v>2265</v>
      </c>
      <c r="AZ264" t="s">
        <v>2266</v>
      </c>
      <c r="BA264" t="s">
        <v>2267</v>
      </c>
      <c r="BB264" t="s">
        <v>2268</v>
      </c>
      <c r="BD264" t="s">
        <v>2269</v>
      </c>
      <c r="BE264" t="s">
        <v>2270</v>
      </c>
      <c r="BF264" t="s">
        <v>2271</v>
      </c>
      <c r="BG264" t="s">
        <v>2272</v>
      </c>
      <c r="BH264" t="s">
        <v>2273</v>
      </c>
      <c r="BI264" t="s">
        <v>2274</v>
      </c>
      <c r="BJ264" t="s">
        <v>2275</v>
      </c>
      <c r="BK264" t="s">
        <v>2276</v>
      </c>
      <c r="BL264" t="s">
        <v>2277</v>
      </c>
      <c r="BM264" t="s">
        <v>2278</v>
      </c>
      <c r="BN264" t="s">
        <v>2279</v>
      </c>
      <c r="BO264" t="s">
        <v>2280</v>
      </c>
      <c r="BP264" t="s">
        <v>2281</v>
      </c>
      <c r="BQ264" t="s">
        <v>2282</v>
      </c>
      <c r="BR264" t="s">
        <v>2283</v>
      </c>
      <c r="BS264" t="s">
        <v>2284</v>
      </c>
      <c r="BT264" t="s">
        <v>2285</v>
      </c>
      <c r="BU264" t="s">
        <v>2286</v>
      </c>
      <c r="BV264" t="s">
        <v>2287</v>
      </c>
      <c r="BW264" t="s">
        <v>2288</v>
      </c>
      <c r="BX264" t="s">
        <v>2289</v>
      </c>
      <c r="BY264" t="s">
        <v>2290</v>
      </c>
      <c r="BZ264" t="s">
        <v>2291</v>
      </c>
      <c r="CA264" t="s">
        <v>2292</v>
      </c>
    </row>
    <row r="265" spans="1:79" x14ac:dyDescent="0.3">
      <c r="A265" s="155">
        <v>962</v>
      </c>
      <c r="B265" t="s">
        <v>993</v>
      </c>
      <c r="D265" t="s">
        <v>2293</v>
      </c>
      <c r="E265" t="s">
        <v>994</v>
      </c>
      <c r="F265" t="s">
        <v>2119</v>
      </c>
      <c r="G265" t="s">
        <v>994</v>
      </c>
      <c r="H265" t="s">
        <v>994</v>
      </c>
      <c r="I265" t="s">
        <v>995</v>
      </c>
      <c r="J265" t="s">
        <v>996</v>
      </c>
      <c r="K265" t="s">
        <v>2293</v>
      </c>
      <c r="L265" t="s">
        <v>994</v>
      </c>
      <c r="M265" t="s">
        <v>996</v>
      </c>
      <c r="N265" t="s">
        <v>995</v>
      </c>
      <c r="O265" t="s">
        <v>997</v>
      </c>
      <c r="P265" t="s">
        <v>994</v>
      </c>
      <c r="Q265" t="s">
        <v>994</v>
      </c>
      <c r="R265" t="s">
        <v>2294</v>
      </c>
      <c r="S265" t="s">
        <v>994</v>
      </c>
      <c r="U265" t="s">
        <v>994</v>
      </c>
      <c r="V265" t="s">
        <v>998</v>
      </c>
      <c r="W265" t="s">
        <v>995</v>
      </c>
      <c r="X265" t="s">
        <v>994</v>
      </c>
      <c r="Y265" t="s">
        <v>2295</v>
      </c>
      <c r="Z265" t="s">
        <v>2296</v>
      </c>
      <c r="AA265" t="s">
        <v>994</v>
      </c>
      <c r="AB265" t="s">
        <v>995</v>
      </c>
      <c r="AC265" t="s">
        <v>995</v>
      </c>
      <c r="AD265" t="s">
        <v>2297</v>
      </c>
      <c r="AE265" t="s">
        <v>995</v>
      </c>
      <c r="AF265" t="s">
        <v>995</v>
      </c>
      <c r="AG265" t="s">
        <v>2298</v>
      </c>
      <c r="AH265" t="s">
        <v>997</v>
      </c>
      <c r="AI265" t="s">
        <v>995</v>
      </c>
      <c r="AJ265" t="s">
        <v>995</v>
      </c>
      <c r="AK265" t="s">
        <v>997</v>
      </c>
      <c r="AL265" t="s">
        <v>995</v>
      </c>
      <c r="AM265" t="s">
        <v>994</v>
      </c>
      <c r="AN265" t="s">
        <v>994</v>
      </c>
      <c r="AP265" t="s">
        <v>995</v>
      </c>
      <c r="AQ265" t="s">
        <v>994</v>
      </c>
      <c r="AR265" t="s">
        <v>994</v>
      </c>
      <c r="AS265" t="s">
        <v>995</v>
      </c>
      <c r="AT265" t="s">
        <v>2299</v>
      </c>
      <c r="AU265" t="s">
        <v>2300</v>
      </c>
      <c r="AV265" t="s">
        <v>2301</v>
      </c>
      <c r="AX265" t="s">
        <v>2302</v>
      </c>
      <c r="AY265" t="s">
        <v>994</v>
      </c>
      <c r="AZ265" t="s">
        <v>994</v>
      </c>
      <c r="BA265" t="s">
        <v>2034</v>
      </c>
      <c r="BB265" t="s">
        <v>995</v>
      </c>
      <c r="BD265" t="s">
        <v>2303</v>
      </c>
      <c r="BE265" t="s">
        <v>994</v>
      </c>
      <c r="BF265" t="s">
        <v>2034</v>
      </c>
      <c r="BG265" t="s">
        <v>997</v>
      </c>
      <c r="BH265" t="s">
        <v>995</v>
      </c>
      <c r="BI265" t="s">
        <v>995</v>
      </c>
      <c r="BJ265" t="s">
        <v>2304</v>
      </c>
      <c r="BK265" t="s">
        <v>995</v>
      </c>
      <c r="BL265" t="s">
        <v>994</v>
      </c>
      <c r="BM265" t="s">
        <v>2033</v>
      </c>
      <c r="BN265" t="s">
        <v>994</v>
      </c>
      <c r="BO265" t="s">
        <v>2305</v>
      </c>
      <c r="BP265" t="s">
        <v>995</v>
      </c>
      <c r="BQ265" t="s">
        <v>995</v>
      </c>
      <c r="BR265" t="s">
        <v>995</v>
      </c>
      <c r="BS265" t="s">
        <v>994</v>
      </c>
      <c r="BT265" t="s">
        <v>995</v>
      </c>
      <c r="BU265" t="s">
        <v>994</v>
      </c>
      <c r="BV265" t="s">
        <v>995</v>
      </c>
      <c r="BW265" t="s">
        <v>998</v>
      </c>
      <c r="BX265" t="s">
        <v>997</v>
      </c>
      <c r="BY265" t="s">
        <v>2306</v>
      </c>
      <c r="BZ265" t="s">
        <v>994</v>
      </c>
      <c r="CA265" t="s">
        <v>995</v>
      </c>
    </row>
    <row r="266" spans="1:79" x14ac:dyDescent="0.3">
      <c r="A266" s="155">
        <v>964</v>
      </c>
      <c r="B266" t="s">
        <v>999</v>
      </c>
      <c r="D266" t="s">
        <v>1006</v>
      </c>
      <c r="E266" t="s">
        <v>1999</v>
      </c>
      <c r="F266" t="s">
        <v>1687</v>
      </c>
      <c r="G266" t="s">
        <v>2038</v>
      </c>
      <c r="H266" t="s">
        <v>1006</v>
      </c>
      <c r="I266" t="s">
        <v>2307</v>
      </c>
      <c r="J266" t="s">
        <v>1020</v>
      </c>
      <c r="K266" t="s">
        <v>2308</v>
      </c>
      <c r="L266" t="s">
        <v>2309</v>
      </c>
      <c r="M266" t="s">
        <v>2310</v>
      </c>
      <c r="N266" t="s">
        <v>2039</v>
      </c>
      <c r="O266" t="s">
        <v>2011</v>
      </c>
      <c r="P266" t="s">
        <v>1002</v>
      </c>
      <c r="Q266" t="s">
        <v>1000</v>
      </c>
      <c r="R266" t="s">
        <v>1019</v>
      </c>
      <c r="S266" t="s">
        <v>2045</v>
      </c>
      <c r="U266" t="s">
        <v>1006</v>
      </c>
      <c r="V266" t="s">
        <v>1627</v>
      </c>
      <c r="W266" t="s">
        <v>1002</v>
      </c>
      <c r="X266" t="s">
        <v>2309</v>
      </c>
      <c r="Y266" t="s">
        <v>2311</v>
      </c>
      <c r="Z266" t="s">
        <v>2041</v>
      </c>
      <c r="AA266" t="s">
        <v>1005</v>
      </c>
      <c r="AB266" t="s">
        <v>2042</v>
      </c>
      <c r="AC266" t="s">
        <v>2312</v>
      </c>
      <c r="AD266" t="s">
        <v>2005</v>
      </c>
      <c r="AE266" t="s">
        <v>2313</v>
      </c>
      <c r="AF266" t="s">
        <v>1006</v>
      </c>
      <c r="AG266" t="s">
        <v>2039</v>
      </c>
      <c r="AH266" t="s">
        <v>2314</v>
      </c>
      <c r="AI266" t="s">
        <v>2315</v>
      </c>
      <c r="AJ266" t="s">
        <v>2309</v>
      </c>
      <c r="AK266" t="s">
        <v>1006</v>
      </c>
      <c r="AL266" t="s">
        <v>1004</v>
      </c>
      <c r="AM266" t="s">
        <v>1005</v>
      </c>
      <c r="AN266" t="s">
        <v>1625</v>
      </c>
      <c r="AP266" t="s">
        <v>1627</v>
      </c>
      <c r="AQ266" t="s">
        <v>2316</v>
      </c>
      <c r="AR266" t="s">
        <v>2317</v>
      </c>
      <c r="AS266" t="s">
        <v>1006</v>
      </c>
      <c r="AT266" t="s">
        <v>2053</v>
      </c>
      <c r="AU266" t="s">
        <v>2318</v>
      </c>
      <c r="AV266" t="s">
        <v>2319</v>
      </c>
      <c r="AX266" t="s">
        <v>1006</v>
      </c>
      <c r="AY266" t="s">
        <v>1006</v>
      </c>
      <c r="AZ266" t="s">
        <v>2320</v>
      </c>
      <c r="BA266" t="s">
        <v>2313</v>
      </c>
      <c r="BB266" t="s">
        <v>1018</v>
      </c>
      <c r="BD266" t="s">
        <v>2039</v>
      </c>
      <c r="BE266" t="s">
        <v>1006</v>
      </c>
      <c r="BF266" t="s">
        <v>2321</v>
      </c>
      <c r="BG266" t="s">
        <v>2322</v>
      </c>
      <c r="BH266" t="s">
        <v>1021</v>
      </c>
      <c r="BI266" t="s">
        <v>2323</v>
      </c>
      <c r="BJ266" t="s">
        <v>1001</v>
      </c>
      <c r="BK266" t="s">
        <v>1001</v>
      </c>
      <c r="BL266" t="s">
        <v>2043</v>
      </c>
      <c r="BM266" t="s">
        <v>2043</v>
      </c>
      <c r="BN266" t="s">
        <v>1003</v>
      </c>
      <c r="BO266" t="s">
        <v>1001</v>
      </c>
      <c r="BP266" t="s">
        <v>2042</v>
      </c>
      <c r="BQ266" t="s">
        <v>1002</v>
      </c>
      <c r="BR266" t="s">
        <v>1004</v>
      </c>
      <c r="BS266" t="s">
        <v>2324</v>
      </c>
      <c r="BT266" t="s">
        <v>2044</v>
      </c>
      <c r="BU266" t="s">
        <v>1001</v>
      </c>
      <c r="BV266" t="s">
        <v>1006</v>
      </c>
      <c r="BW266" t="s">
        <v>2040</v>
      </c>
      <c r="BX266" t="s">
        <v>2325</v>
      </c>
      <c r="BY266" t="s">
        <v>1014</v>
      </c>
      <c r="BZ266" t="s">
        <v>2326</v>
      </c>
      <c r="CA266" t="s">
        <v>2327</v>
      </c>
    </row>
    <row r="267" spans="1:79" x14ac:dyDescent="0.3">
      <c r="A267" s="155">
        <v>965</v>
      </c>
      <c r="B267" t="s">
        <v>1008</v>
      </c>
      <c r="D267">
        <v>0</v>
      </c>
      <c r="E267">
        <v>0</v>
      </c>
      <c r="F267">
        <v>0</v>
      </c>
      <c r="G267">
        <v>0</v>
      </c>
      <c r="H267">
        <v>0</v>
      </c>
      <c r="I267">
        <v>0</v>
      </c>
      <c r="J267">
        <v>0</v>
      </c>
      <c r="K267">
        <v>0</v>
      </c>
      <c r="L267">
        <v>0</v>
      </c>
      <c r="M267">
        <v>0</v>
      </c>
      <c r="N267">
        <v>0</v>
      </c>
      <c r="O267">
        <v>0</v>
      </c>
      <c r="P267">
        <v>0</v>
      </c>
      <c r="Q267">
        <v>0</v>
      </c>
      <c r="R267">
        <v>0</v>
      </c>
      <c r="S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P267">
        <v>0</v>
      </c>
      <c r="AQ267">
        <v>0</v>
      </c>
      <c r="AR267">
        <v>0</v>
      </c>
      <c r="AS267">
        <v>0</v>
      </c>
      <c r="AT267">
        <v>0</v>
      </c>
      <c r="AU267">
        <v>0</v>
      </c>
      <c r="AV267">
        <v>0</v>
      </c>
      <c r="AX267">
        <v>0</v>
      </c>
      <c r="AY267">
        <v>0</v>
      </c>
      <c r="AZ267">
        <v>0</v>
      </c>
      <c r="BA267">
        <v>0</v>
      </c>
      <c r="BB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row>
    <row r="268" spans="1:79" x14ac:dyDescent="0.3">
      <c r="A268" s="155">
        <v>966</v>
      </c>
      <c r="B268" t="s">
        <v>1009</v>
      </c>
      <c r="D268" t="s">
        <v>2568</v>
      </c>
      <c r="E268" t="s">
        <v>2328</v>
      </c>
      <c r="F268" t="s">
        <v>2329</v>
      </c>
      <c r="G268" t="s">
        <v>2330</v>
      </c>
      <c r="H268" t="s">
        <v>2331</v>
      </c>
      <c r="I268" t="s">
        <v>2332</v>
      </c>
      <c r="J268" t="s">
        <v>2333</v>
      </c>
      <c r="K268" t="s">
        <v>2334</v>
      </c>
      <c r="L268" t="s">
        <v>2335</v>
      </c>
      <c r="M268" t="s">
        <v>2336</v>
      </c>
      <c r="N268" t="s">
        <v>2337</v>
      </c>
      <c r="O268" t="s">
        <v>2338</v>
      </c>
      <c r="P268" t="s">
        <v>2339</v>
      </c>
      <c r="Q268" t="s">
        <v>2340</v>
      </c>
      <c r="R268" t="s">
        <v>2341</v>
      </c>
      <c r="S268" t="s">
        <v>2342</v>
      </c>
      <c r="U268" t="s">
        <v>2343</v>
      </c>
      <c r="V268" t="s">
        <v>2344</v>
      </c>
      <c r="W268" t="s">
        <v>2345</v>
      </c>
      <c r="X268" t="s">
        <v>2346</v>
      </c>
      <c r="Y268" t="s">
        <v>2347</v>
      </c>
      <c r="Z268" t="s">
        <v>2348</v>
      </c>
      <c r="AA268" t="s">
        <v>2349</v>
      </c>
      <c r="AB268" t="s">
        <v>2350</v>
      </c>
      <c r="AC268" t="s">
        <v>2351</v>
      </c>
      <c r="AD268" t="s">
        <v>2352</v>
      </c>
      <c r="AE268" t="s">
        <v>2353</v>
      </c>
      <c r="AF268" t="s">
        <v>2354</v>
      </c>
      <c r="AG268" t="s">
        <v>2355</v>
      </c>
      <c r="AH268" t="s">
        <v>2356</v>
      </c>
      <c r="AI268" t="s">
        <v>2357</v>
      </c>
      <c r="AJ268" t="s">
        <v>2358</v>
      </c>
      <c r="AK268" t="s">
        <v>2359</v>
      </c>
      <c r="AL268" t="s">
        <v>2360</v>
      </c>
      <c r="AM268" t="s">
        <v>2361</v>
      </c>
      <c r="AN268" t="s">
        <v>2362</v>
      </c>
      <c r="AP268" t="s">
        <v>2363</v>
      </c>
      <c r="AQ268" t="s">
        <v>2364</v>
      </c>
      <c r="AR268" t="s">
        <v>2365</v>
      </c>
      <c r="AS268" t="s">
        <v>2366</v>
      </c>
      <c r="AT268" t="s">
        <v>2367</v>
      </c>
      <c r="AV268" t="s">
        <v>2368</v>
      </c>
      <c r="AX268" t="s">
        <v>2369</v>
      </c>
      <c r="AY268" t="s">
        <v>2370</v>
      </c>
      <c r="AZ268" t="s">
        <v>2371</v>
      </c>
      <c r="BA268" t="s">
        <v>2372</v>
      </c>
      <c r="BB268" t="s">
        <v>2373</v>
      </c>
      <c r="BD268" t="s">
        <v>2374</v>
      </c>
      <c r="BE268" t="s">
        <v>2375</v>
      </c>
      <c r="BF268" t="s">
        <v>2376</v>
      </c>
      <c r="BG268" t="s">
        <v>2377</v>
      </c>
      <c r="BH268" t="s">
        <v>2378</v>
      </c>
      <c r="BI268" t="s">
        <v>2379</v>
      </c>
      <c r="BJ268" t="s">
        <v>2380</v>
      </c>
      <c r="BK268" t="s">
        <v>2381</v>
      </c>
      <c r="BL268" t="s">
        <v>2382</v>
      </c>
      <c r="BM268" t="s">
        <v>2383</v>
      </c>
      <c r="BN268" t="s">
        <v>2384</v>
      </c>
      <c r="BO268" t="s">
        <v>2385</v>
      </c>
      <c r="BP268" t="s">
        <v>2386</v>
      </c>
      <c r="BQ268" t="s">
        <v>2387</v>
      </c>
      <c r="BR268" t="s">
        <v>2388</v>
      </c>
      <c r="BS268" t="s">
        <v>2389</v>
      </c>
      <c r="BT268" t="s">
        <v>2390</v>
      </c>
      <c r="BU268" t="s">
        <v>2391</v>
      </c>
      <c r="BV268" t="s">
        <v>2392</v>
      </c>
      <c r="BW268" t="s">
        <v>2393</v>
      </c>
      <c r="BX268" t="s">
        <v>2394</v>
      </c>
      <c r="BY268" t="s">
        <v>2395</v>
      </c>
      <c r="BZ268" t="s">
        <v>2396</v>
      </c>
      <c r="CA268" t="s">
        <v>2397</v>
      </c>
    </row>
    <row r="269" spans="1:79" x14ac:dyDescent="0.3">
      <c r="A269" s="155">
        <v>968</v>
      </c>
      <c r="B269" t="s">
        <v>1010</v>
      </c>
      <c r="D269" t="s">
        <v>2583</v>
      </c>
      <c r="E269" t="s">
        <v>2398</v>
      </c>
      <c r="F269" t="s">
        <v>2399</v>
      </c>
      <c r="G269" t="s">
        <v>2400</v>
      </c>
      <c r="H269" t="s">
        <v>2401</v>
      </c>
      <c r="I269" t="s">
        <v>2402</v>
      </c>
      <c r="J269" t="s">
        <v>2403</v>
      </c>
      <c r="K269" t="s">
        <v>2404</v>
      </c>
      <c r="L269" t="s">
        <v>2405</v>
      </c>
      <c r="M269" t="s">
        <v>2406</v>
      </c>
      <c r="N269" t="s">
        <v>2407</v>
      </c>
      <c r="O269" t="s">
        <v>2408</v>
      </c>
      <c r="P269" t="s">
        <v>2409</v>
      </c>
      <c r="Q269" t="s">
        <v>2410</v>
      </c>
      <c r="R269" t="s">
        <v>2411</v>
      </c>
      <c r="S269" t="s">
        <v>2412</v>
      </c>
      <c r="U269" t="s">
        <v>2413</v>
      </c>
      <c r="V269" t="s">
        <v>2414</v>
      </c>
      <c r="W269" t="s">
        <v>2415</v>
      </c>
      <c r="X269" t="s">
        <v>2416</v>
      </c>
      <c r="Y269" t="s">
        <v>2417</v>
      </c>
      <c r="Z269" t="s">
        <v>2418</v>
      </c>
      <c r="AA269" t="s">
        <v>2419</v>
      </c>
      <c r="AB269" t="s">
        <v>2420</v>
      </c>
      <c r="AC269" t="s">
        <v>2421</v>
      </c>
      <c r="AD269" t="s">
        <v>2422</v>
      </c>
      <c r="AE269" t="s">
        <v>2423</v>
      </c>
      <c r="AF269" t="s">
        <v>2424</v>
      </c>
      <c r="AG269" t="s">
        <v>2425</v>
      </c>
      <c r="AH269" t="s">
        <v>2426</v>
      </c>
      <c r="AI269" t="s">
        <v>2427</v>
      </c>
      <c r="AJ269" t="s">
        <v>2428</v>
      </c>
      <c r="AK269" t="s">
        <v>2429</v>
      </c>
      <c r="AL269" t="s">
        <v>2430</v>
      </c>
      <c r="AM269" t="s">
        <v>2431</v>
      </c>
      <c r="AN269" t="s">
        <v>2432</v>
      </c>
      <c r="AP269" t="s">
        <v>2433</v>
      </c>
      <c r="AQ269" t="s">
        <v>2434</v>
      </c>
      <c r="AR269" t="s">
        <v>2435</v>
      </c>
      <c r="AS269" t="s">
        <v>2436</v>
      </c>
      <c r="AT269" t="s">
        <v>2437</v>
      </c>
      <c r="AU269" t="s">
        <v>2438</v>
      </c>
      <c r="AV269" t="s">
        <v>2439</v>
      </c>
      <c r="AX269" t="s">
        <v>2440</v>
      </c>
      <c r="AY269" t="s">
        <v>2441</v>
      </c>
      <c r="AZ269" t="s">
        <v>2442</v>
      </c>
      <c r="BA269" t="s">
        <v>2443</v>
      </c>
      <c r="BB269" t="s">
        <v>2444</v>
      </c>
      <c r="BD269" t="s">
        <v>2445</v>
      </c>
      <c r="BE269" t="s">
        <v>2446</v>
      </c>
      <c r="BF269" t="s">
        <v>2447</v>
      </c>
      <c r="BG269" t="s">
        <v>2448</v>
      </c>
      <c r="BH269" t="s">
        <v>2449</v>
      </c>
      <c r="BI269" t="s">
        <v>2450</v>
      </c>
      <c r="BJ269" t="s">
        <v>2451</v>
      </c>
      <c r="BK269" t="s">
        <v>2452</v>
      </c>
      <c r="BL269" t="s">
        <v>2453</v>
      </c>
      <c r="BM269" t="s">
        <v>2454</v>
      </c>
      <c r="BN269" t="s">
        <v>2455</v>
      </c>
      <c r="BO269" t="s">
        <v>2456</v>
      </c>
      <c r="BP269" t="s">
        <v>2457</v>
      </c>
      <c r="BQ269" t="s">
        <v>2458</v>
      </c>
      <c r="BR269" t="s">
        <v>2459</v>
      </c>
      <c r="BS269" t="s">
        <v>2460</v>
      </c>
      <c r="BT269" t="s">
        <v>2461</v>
      </c>
      <c r="BU269" t="s">
        <v>2462</v>
      </c>
      <c r="BV269" t="s">
        <v>2463</v>
      </c>
      <c r="BW269" t="s">
        <v>2464</v>
      </c>
      <c r="BX269" t="s">
        <v>2465</v>
      </c>
      <c r="BY269" t="s">
        <v>2466</v>
      </c>
      <c r="BZ269" t="s">
        <v>2467</v>
      </c>
      <c r="CA269" t="s">
        <v>2468</v>
      </c>
    </row>
    <row r="270" spans="1:79" x14ac:dyDescent="0.3">
      <c r="A270" s="155">
        <v>973</v>
      </c>
      <c r="B270" t="s">
        <v>626</v>
      </c>
      <c r="D270">
        <v>0</v>
      </c>
      <c r="E270">
        <v>0</v>
      </c>
      <c r="F270">
        <v>0</v>
      </c>
      <c r="G270">
        <v>0</v>
      </c>
      <c r="H270">
        <v>0</v>
      </c>
      <c r="I270">
        <v>0</v>
      </c>
      <c r="J270">
        <v>0</v>
      </c>
      <c r="K270">
        <v>0</v>
      </c>
      <c r="L270">
        <v>0</v>
      </c>
      <c r="M270">
        <v>0</v>
      </c>
      <c r="N270">
        <v>0</v>
      </c>
      <c r="O270">
        <v>0</v>
      </c>
      <c r="P270">
        <v>0</v>
      </c>
      <c r="Q270">
        <v>0</v>
      </c>
      <c r="R270">
        <v>0</v>
      </c>
      <c r="S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P270">
        <v>0</v>
      </c>
      <c r="AQ270">
        <v>0</v>
      </c>
      <c r="AR270">
        <v>3</v>
      </c>
      <c r="AS270">
        <v>2</v>
      </c>
      <c r="AT270">
        <v>1</v>
      </c>
      <c r="AU270">
        <v>0</v>
      </c>
      <c r="AV270">
        <v>0</v>
      </c>
      <c r="AX270">
        <v>0</v>
      </c>
      <c r="AY270">
        <v>0</v>
      </c>
      <c r="AZ270">
        <v>1</v>
      </c>
      <c r="BA270">
        <v>0</v>
      </c>
      <c r="BB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row>
    <row r="271" spans="1:79" x14ac:dyDescent="0.3">
      <c r="A271" s="155">
        <v>974</v>
      </c>
      <c r="B271" t="s">
        <v>1011</v>
      </c>
      <c r="D271">
        <v>3</v>
      </c>
      <c r="E271">
        <v>2</v>
      </c>
      <c r="F271">
        <v>2</v>
      </c>
      <c r="G271">
        <v>2</v>
      </c>
      <c r="H271">
        <v>2</v>
      </c>
      <c r="I271">
        <v>3</v>
      </c>
      <c r="J271">
        <v>2</v>
      </c>
      <c r="K271">
        <v>2</v>
      </c>
      <c r="L271">
        <v>2</v>
      </c>
      <c r="M271">
        <v>3</v>
      </c>
      <c r="N271">
        <v>2</v>
      </c>
      <c r="O271">
        <v>2</v>
      </c>
      <c r="P271">
        <v>2</v>
      </c>
      <c r="Q271">
        <v>2</v>
      </c>
      <c r="R271">
        <v>2</v>
      </c>
      <c r="S271">
        <v>2</v>
      </c>
      <c r="U271">
        <v>2</v>
      </c>
      <c r="V271">
        <v>2</v>
      </c>
      <c r="W271">
        <v>2</v>
      </c>
      <c r="X271">
        <v>2</v>
      </c>
      <c r="Y271">
        <v>2</v>
      </c>
      <c r="Z271">
        <v>2</v>
      </c>
      <c r="AA271">
        <v>2</v>
      </c>
      <c r="AB271">
        <v>3</v>
      </c>
      <c r="AC271">
        <v>2</v>
      </c>
      <c r="AD271">
        <v>2</v>
      </c>
      <c r="AE271">
        <v>2</v>
      </c>
      <c r="AF271">
        <v>3</v>
      </c>
      <c r="AG271">
        <v>2</v>
      </c>
      <c r="AH271">
        <v>2</v>
      </c>
      <c r="AI271">
        <v>2</v>
      </c>
      <c r="AJ271">
        <v>2</v>
      </c>
      <c r="AK271">
        <v>3</v>
      </c>
      <c r="AL271">
        <v>2</v>
      </c>
      <c r="AM271">
        <v>2</v>
      </c>
      <c r="AN271">
        <v>2</v>
      </c>
      <c r="AP271">
        <v>2</v>
      </c>
      <c r="AQ271">
        <v>2</v>
      </c>
      <c r="AR271">
        <v>2</v>
      </c>
      <c r="AS271">
        <v>2</v>
      </c>
      <c r="AT271">
        <v>2</v>
      </c>
      <c r="AU271">
        <v>2</v>
      </c>
      <c r="AV271">
        <v>2</v>
      </c>
      <c r="AX271">
        <v>2</v>
      </c>
      <c r="AY271">
        <v>2</v>
      </c>
      <c r="AZ271">
        <v>2</v>
      </c>
      <c r="BA271">
        <v>2</v>
      </c>
      <c r="BB271">
        <v>2</v>
      </c>
      <c r="BD271">
        <v>3</v>
      </c>
      <c r="BE271">
        <v>2</v>
      </c>
      <c r="BF271">
        <v>2</v>
      </c>
      <c r="BG271">
        <v>3</v>
      </c>
      <c r="BH271">
        <v>2</v>
      </c>
      <c r="BI271">
        <v>2</v>
      </c>
      <c r="BJ271">
        <v>2</v>
      </c>
      <c r="BK271">
        <v>2</v>
      </c>
      <c r="BL271">
        <v>2</v>
      </c>
      <c r="BM271">
        <v>3</v>
      </c>
      <c r="BN271">
        <v>2</v>
      </c>
      <c r="BO271">
        <v>3</v>
      </c>
      <c r="BP271">
        <v>2</v>
      </c>
      <c r="BQ271">
        <v>3</v>
      </c>
      <c r="BR271">
        <v>2</v>
      </c>
      <c r="BS271">
        <v>2</v>
      </c>
      <c r="BT271">
        <v>3</v>
      </c>
      <c r="BU271">
        <v>2</v>
      </c>
      <c r="BV271">
        <v>3</v>
      </c>
      <c r="BW271">
        <v>3</v>
      </c>
      <c r="BX271">
        <v>3</v>
      </c>
      <c r="BY271">
        <v>3</v>
      </c>
      <c r="BZ271">
        <v>2</v>
      </c>
      <c r="CA271">
        <v>2</v>
      </c>
    </row>
    <row r="272" spans="1:79" x14ac:dyDescent="0.3">
      <c r="A272" s="155">
        <v>975</v>
      </c>
      <c r="B272" t="s">
        <v>606</v>
      </c>
      <c r="D272">
        <v>1</v>
      </c>
      <c r="E272">
        <v>2</v>
      </c>
      <c r="F272">
        <v>1</v>
      </c>
      <c r="G272">
        <v>2</v>
      </c>
      <c r="H272">
        <v>1</v>
      </c>
      <c r="I272">
        <v>1</v>
      </c>
      <c r="J272">
        <v>1</v>
      </c>
      <c r="K272">
        <v>1</v>
      </c>
      <c r="L272">
        <v>2</v>
      </c>
      <c r="M272">
        <v>1</v>
      </c>
      <c r="N272">
        <v>1</v>
      </c>
      <c r="O272">
        <v>1</v>
      </c>
      <c r="P272">
        <v>2</v>
      </c>
      <c r="Q272">
        <v>2</v>
      </c>
      <c r="R272">
        <v>1</v>
      </c>
      <c r="S272">
        <v>1</v>
      </c>
      <c r="U272">
        <v>2</v>
      </c>
      <c r="V272">
        <v>2</v>
      </c>
      <c r="W272">
        <v>2</v>
      </c>
      <c r="X272">
        <v>2</v>
      </c>
      <c r="Y272">
        <v>2</v>
      </c>
      <c r="Z272">
        <v>2</v>
      </c>
      <c r="AA272">
        <v>1</v>
      </c>
      <c r="AB272">
        <v>2</v>
      </c>
      <c r="AC272">
        <v>1</v>
      </c>
      <c r="AD272">
        <v>1</v>
      </c>
      <c r="AE272">
        <v>1</v>
      </c>
      <c r="AF272">
        <v>1</v>
      </c>
      <c r="AG272">
        <v>2</v>
      </c>
      <c r="AH272">
        <v>1</v>
      </c>
      <c r="AI272">
        <v>1</v>
      </c>
      <c r="AJ272">
        <v>1</v>
      </c>
      <c r="AK272">
        <v>1</v>
      </c>
      <c r="AL272">
        <v>2</v>
      </c>
      <c r="AM272">
        <v>1</v>
      </c>
      <c r="AN272">
        <v>2</v>
      </c>
      <c r="AP272">
        <v>2</v>
      </c>
      <c r="AQ272">
        <v>1</v>
      </c>
      <c r="AR272">
        <v>1</v>
      </c>
      <c r="AS272">
        <v>1</v>
      </c>
      <c r="AT272">
        <v>1</v>
      </c>
      <c r="AU272">
        <v>1</v>
      </c>
      <c r="AV272">
        <v>1</v>
      </c>
      <c r="AX272">
        <v>1</v>
      </c>
      <c r="AY272">
        <v>1</v>
      </c>
      <c r="AZ272">
        <v>1</v>
      </c>
      <c r="BA272">
        <v>1</v>
      </c>
      <c r="BB272">
        <v>1</v>
      </c>
      <c r="BD272">
        <v>1</v>
      </c>
      <c r="BE272">
        <v>1</v>
      </c>
      <c r="BF272">
        <v>1</v>
      </c>
      <c r="BG272">
        <v>1</v>
      </c>
      <c r="BH272">
        <v>1</v>
      </c>
      <c r="BI272">
        <v>2</v>
      </c>
      <c r="BJ272">
        <v>1</v>
      </c>
      <c r="BK272">
        <v>1</v>
      </c>
      <c r="BL272">
        <v>2</v>
      </c>
      <c r="BM272">
        <v>1</v>
      </c>
      <c r="BN272">
        <v>2</v>
      </c>
      <c r="BO272">
        <v>2</v>
      </c>
      <c r="BP272">
        <v>1</v>
      </c>
      <c r="BQ272">
        <v>1</v>
      </c>
      <c r="BR272">
        <v>1</v>
      </c>
      <c r="BS272">
        <v>1</v>
      </c>
      <c r="BT272">
        <v>2</v>
      </c>
      <c r="BU272">
        <v>2</v>
      </c>
      <c r="BV272">
        <v>1</v>
      </c>
      <c r="BW272">
        <v>1</v>
      </c>
      <c r="BX272">
        <v>1</v>
      </c>
      <c r="BY272">
        <v>1</v>
      </c>
      <c r="BZ272">
        <v>2</v>
      </c>
      <c r="CA272">
        <v>1</v>
      </c>
    </row>
    <row r="273" spans="1:79" x14ac:dyDescent="0.3">
      <c r="A273" s="155">
        <v>976</v>
      </c>
      <c r="B273" t="s">
        <v>627</v>
      </c>
      <c r="D273">
        <v>1</v>
      </c>
      <c r="E273">
        <v>3</v>
      </c>
      <c r="F273">
        <v>1</v>
      </c>
      <c r="G273">
        <v>3</v>
      </c>
      <c r="H273">
        <v>1</v>
      </c>
      <c r="I273">
        <v>1</v>
      </c>
      <c r="J273">
        <v>1</v>
      </c>
      <c r="K273">
        <v>1</v>
      </c>
      <c r="L273">
        <v>3</v>
      </c>
      <c r="M273">
        <v>3</v>
      </c>
      <c r="N273">
        <v>1</v>
      </c>
      <c r="O273">
        <v>1</v>
      </c>
      <c r="P273">
        <v>3</v>
      </c>
      <c r="Q273">
        <v>3</v>
      </c>
      <c r="R273">
        <v>1</v>
      </c>
      <c r="S273">
        <v>1</v>
      </c>
      <c r="U273">
        <v>3</v>
      </c>
      <c r="V273">
        <v>3</v>
      </c>
      <c r="W273">
        <v>3</v>
      </c>
      <c r="X273">
        <v>3</v>
      </c>
      <c r="Y273">
        <v>3</v>
      </c>
      <c r="Z273">
        <v>3</v>
      </c>
      <c r="AA273">
        <v>1</v>
      </c>
      <c r="AB273">
        <v>3</v>
      </c>
      <c r="AC273">
        <v>1</v>
      </c>
      <c r="AD273">
        <v>1</v>
      </c>
      <c r="AE273">
        <v>1</v>
      </c>
      <c r="AF273">
        <v>1</v>
      </c>
      <c r="AG273">
        <v>3</v>
      </c>
      <c r="AH273">
        <v>1</v>
      </c>
      <c r="AI273">
        <v>1</v>
      </c>
      <c r="AJ273">
        <v>1</v>
      </c>
      <c r="AK273">
        <v>1</v>
      </c>
      <c r="AL273">
        <v>3</v>
      </c>
      <c r="AM273">
        <v>1</v>
      </c>
      <c r="AN273">
        <v>3</v>
      </c>
      <c r="AP273">
        <v>3</v>
      </c>
      <c r="AQ273">
        <v>1</v>
      </c>
      <c r="AR273">
        <v>1</v>
      </c>
      <c r="AS273">
        <v>1</v>
      </c>
      <c r="AT273">
        <v>1</v>
      </c>
      <c r="AU273">
        <v>1</v>
      </c>
      <c r="AV273">
        <v>1</v>
      </c>
      <c r="AX273">
        <v>1</v>
      </c>
      <c r="AY273">
        <v>1</v>
      </c>
      <c r="AZ273">
        <v>1</v>
      </c>
      <c r="BA273">
        <v>1</v>
      </c>
      <c r="BB273">
        <v>1</v>
      </c>
      <c r="BD273">
        <v>1</v>
      </c>
      <c r="BE273">
        <v>1</v>
      </c>
      <c r="BF273">
        <v>1</v>
      </c>
      <c r="BG273">
        <v>1</v>
      </c>
      <c r="BH273">
        <v>1</v>
      </c>
      <c r="BI273">
        <v>3</v>
      </c>
      <c r="BJ273">
        <v>1</v>
      </c>
      <c r="BK273">
        <v>1</v>
      </c>
      <c r="BL273">
        <v>3</v>
      </c>
      <c r="BM273">
        <v>2</v>
      </c>
      <c r="BN273">
        <v>3</v>
      </c>
      <c r="BO273">
        <v>3</v>
      </c>
      <c r="BP273">
        <v>1</v>
      </c>
      <c r="BQ273">
        <v>1</v>
      </c>
      <c r="BR273">
        <v>1</v>
      </c>
      <c r="BS273">
        <v>1</v>
      </c>
      <c r="BT273">
        <v>3</v>
      </c>
      <c r="BU273">
        <v>3</v>
      </c>
      <c r="BV273">
        <v>1</v>
      </c>
      <c r="BW273">
        <v>1</v>
      </c>
      <c r="BX273">
        <v>3</v>
      </c>
      <c r="BY273">
        <v>1</v>
      </c>
      <c r="BZ273">
        <v>3</v>
      </c>
      <c r="CA273">
        <v>1</v>
      </c>
    </row>
    <row r="274" spans="1:79" x14ac:dyDescent="0.3">
      <c r="A274" s="155">
        <v>977</v>
      </c>
      <c r="B274" t="s">
        <v>1012</v>
      </c>
      <c r="D274">
        <v>1</v>
      </c>
      <c r="E274">
        <v>1</v>
      </c>
      <c r="F274" s="581">
        <v>2</v>
      </c>
      <c r="G274">
        <v>1</v>
      </c>
      <c r="H274">
        <v>1</v>
      </c>
      <c r="I274">
        <v>1</v>
      </c>
      <c r="J274">
        <v>1</v>
      </c>
      <c r="K274">
        <v>1</v>
      </c>
      <c r="L274">
        <v>1</v>
      </c>
      <c r="M274">
        <v>1</v>
      </c>
      <c r="N274">
        <v>1</v>
      </c>
      <c r="O274">
        <v>1</v>
      </c>
      <c r="P274">
        <v>1</v>
      </c>
      <c r="Q274">
        <v>1</v>
      </c>
      <c r="R274">
        <v>1</v>
      </c>
      <c r="S274">
        <v>1</v>
      </c>
      <c r="U274">
        <v>1</v>
      </c>
      <c r="V274">
        <v>1</v>
      </c>
      <c r="W274">
        <v>1</v>
      </c>
      <c r="X274">
        <v>1</v>
      </c>
      <c r="Y274">
        <v>1</v>
      </c>
      <c r="Z274">
        <v>1</v>
      </c>
      <c r="AA274">
        <v>1</v>
      </c>
      <c r="AB274">
        <v>1</v>
      </c>
      <c r="AC274">
        <v>1</v>
      </c>
      <c r="AD274">
        <v>1</v>
      </c>
      <c r="AE274">
        <v>1</v>
      </c>
      <c r="AF274">
        <v>1</v>
      </c>
      <c r="AG274">
        <v>1</v>
      </c>
      <c r="AH274">
        <v>2</v>
      </c>
      <c r="AI274">
        <v>1</v>
      </c>
      <c r="AJ274">
        <v>1</v>
      </c>
      <c r="AK274">
        <v>1</v>
      </c>
      <c r="AL274">
        <v>1</v>
      </c>
      <c r="AM274">
        <v>1</v>
      </c>
      <c r="AN274">
        <v>1</v>
      </c>
      <c r="AP274">
        <v>1</v>
      </c>
      <c r="AQ274">
        <v>1</v>
      </c>
      <c r="AR274">
        <v>2</v>
      </c>
      <c r="AS274">
        <v>1</v>
      </c>
      <c r="AT274">
        <v>1</v>
      </c>
      <c r="AU274">
        <v>1</v>
      </c>
      <c r="AV274">
        <v>1</v>
      </c>
      <c r="AX274">
        <v>1</v>
      </c>
      <c r="AY274">
        <v>1</v>
      </c>
      <c r="AZ274">
        <v>1</v>
      </c>
      <c r="BA274">
        <v>2</v>
      </c>
      <c r="BB274">
        <v>1</v>
      </c>
      <c r="BD274">
        <v>1</v>
      </c>
      <c r="BE274">
        <v>1</v>
      </c>
      <c r="BF274">
        <v>2</v>
      </c>
      <c r="BG274">
        <v>1</v>
      </c>
      <c r="BH274">
        <v>2</v>
      </c>
      <c r="BI274">
        <v>1</v>
      </c>
      <c r="BJ274">
        <v>1</v>
      </c>
      <c r="BK274">
        <v>1</v>
      </c>
      <c r="BL274">
        <v>1</v>
      </c>
      <c r="BM274">
        <v>1</v>
      </c>
      <c r="BN274">
        <v>1</v>
      </c>
      <c r="BO274">
        <v>1</v>
      </c>
      <c r="BP274">
        <v>1</v>
      </c>
      <c r="BQ274">
        <v>1</v>
      </c>
      <c r="BR274">
        <v>1</v>
      </c>
      <c r="BS274">
        <v>1</v>
      </c>
      <c r="BT274">
        <v>1</v>
      </c>
      <c r="BU274">
        <v>1</v>
      </c>
      <c r="BV274">
        <v>1</v>
      </c>
      <c r="BW274">
        <v>1</v>
      </c>
      <c r="BX274">
        <v>1</v>
      </c>
      <c r="BY274">
        <v>1</v>
      </c>
      <c r="BZ274">
        <v>1</v>
      </c>
      <c r="CA274">
        <v>1</v>
      </c>
    </row>
    <row r="275" spans="1:79" x14ac:dyDescent="0.3">
      <c r="A275" s="155">
        <v>978</v>
      </c>
      <c r="B275" t="s">
        <v>593</v>
      </c>
      <c r="D275">
        <v>2</v>
      </c>
      <c r="E275">
        <v>2</v>
      </c>
      <c r="F275">
        <v>2</v>
      </c>
      <c r="G275">
        <v>2</v>
      </c>
      <c r="H275">
        <v>2</v>
      </c>
      <c r="I275">
        <v>2</v>
      </c>
      <c r="J275">
        <v>1</v>
      </c>
      <c r="K275">
        <v>2</v>
      </c>
      <c r="L275">
        <v>2</v>
      </c>
      <c r="M275">
        <v>1</v>
      </c>
      <c r="N275">
        <v>2</v>
      </c>
      <c r="O275">
        <v>2</v>
      </c>
      <c r="P275">
        <v>2</v>
      </c>
      <c r="Q275">
        <v>2</v>
      </c>
      <c r="R275">
        <v>2</v>
      </c>
      <c r="S275">
        <v>2</v>
      </c>
      <c r="U275">
        <v>2</v>
      </c>
      <c r="V275">
        <v>2</v>
      </c>
      <c r="W275">
        <v>2</v>
      </c>
      <c r="X275">
        <v>2</v>
      </c>
      <c r="Y275">
        <v>2</v>
      </c>
      <c r="Z275">
        <v>2</v>
      </c>
      <c r="AA275">
        <v>2</v>
      </c>
      <c r="AB275">
        <v>2</v>
      </c>
      <c r="AC275">
        <v>2</v>
      </c>
      <c r="AD275">
        <v>2</v>
      </c>
      <c r="AE275">
        <v>2</v>
      </c>
      <c r="AF275">
        <v>2</v>
      </c>
      <c r="AG275">
        <v>2</v>
      </c>
      <c r="AH275">
        <v>1</v>
      </c>
      <c r="AI275">
        <v>1</v>
      </c>
      <c r="AJ275">
        <v>2</v>
      </c>
      <c r="AK275">
        <v>2</v>
      </c>
      <c r="AL275">
        <v>2</v>
      </c>
      <c r="AM275">
        <v>2</v>
      </c>
      <c r="AN275">
        <v>2</v>
      </c>
      <c r="AP275">
        <v>2</v>
      </c>
      <c r="AQ275">
        <v>2</v>
      </c>
      <c r="AR275">
        <v>2</v>
      </c>
      <c r="AS275">
        <v>1</v>
      </c>
      <c r="AT275">
        <v>1</v>
      </c>
      <c r="AU275">
        <v>2</v>
      </c>
      <c r="AV275">
        <v>2</v>
      </c>
      <c r="AX275">
        <v>2</v>
      </c>
      <c r="AY275">
        <v>2</v>
      </c>
      <c r="AZ275">
        <v>1</v>
      </c>
      <c r="BA275">
        <v>2</v>
      </c>
      <c r="BB275">
        <v>2</v>
      </c>
      <c r="BD275">
        <v>2</v>
      </c>
      <c r="BE275">
        <v>2</v>
      </c>
      <c r="BF275">
        <v>2</v>
      </c>
      <c r="BG275">
        <v>2</v>
      </c>
      <c r="BH275">
        <v>2</v>
      </c>
      <c r="BI275">
        <v>2</v>
      </c>
      <c r="BJ275">
        <v>2</v>
      </c>
      <c r="BK275">
        <v>2</v>
      </c>
      <c r="BL275">
        <v>2</v>
      </c>
      <c r="BM275">
        <v>2</v>
      </c>
      <c r="BN275">
        <v>2</v>
      </c>
      <c r="BO275">
        <v>2</v>
      </c>
      <c r="BP275">
        <v>2</v>
      </c>
      <c r="BQ275">
        <v>2</v>
      </c>
      <c r="BR275">
        <v>2</v>
      </c>
      <c r="BS275">
        <v>2</v>
      </c>
      <c r="BT275">
        <v>2</v>
      </c>
      <c r="BU275">
        <v>2</v>
      </c>
      <c r="BV275">
        <v>2</v>
      </c>
      <c r="BW275">
        <v>2</v>
      </c>
      <c r="BX275">
        <v>2</v>
      </c>
      <c r="BY275">
        <v>1</v>
      </c>
      <c r="BZ275">
        <v>2</v>
      </c>
      <c r="CA275">
        <v>2</v>
      </c>
    </row>
    <row r="276" spans="1:79" x14ac:dyDescent="0.3">
      <c r="A276" s="155">
        <v>979</v>
      </c>
      <c r="B276" t="s">
        <v>1013</v>
      </c>
      <c r="D276">
        <v>1</v>
      </c>
      <c r="E276">
        <v>1</v>
      </c>
      <c r="F276">
        <v>2</v>
      </c>
      <c r="G276">
        <v>1</v>
      </c>
      <c r="H276">
        <v>2</v>
      </c>
      <c r="I276">
        <v>2</v>
      </c>
      <c r="J276">
        <v>2</v>
      </c>
      <c r="K276">
        <v>2</v>
      </c>
      <c r="L276">
        <v>1</v>
      </c>
      <c r="M276">
        <v>2</v>
      </c>
      <c r="N276">
        <v>1</v>
      </c>
      <c r="O276">
        <v>2</v>
      </c>
      <c r="P276">
        <v>1</v>
      </c>
      <c r="Q276">
        <v>1</v>
      </c>
      <c r="R276">
        <v>2</v>
      </c>
      <c r="S276">
        <v>1</v>
      </c>
      <c r="U276">
        <v>1</v>
      </c>
      <c r="V276">
        <v>1</v>
      </c>
      <c r="W276">
        <v>1</v>
      </c>
      <c r="X276">
        <v>1</v>
      </c>
      <c r="Y276">
        <v>1</v>
      </c>
      <c r="Z276">
        <v>1</v>
      </c>
      <c r="AA276">
        <v>1</v>
      </c>
      <c r="AB276">
        <v>1</v>
      </c>
      <c r="AC276">
        <v>1</v>
      </c>
      <c r="AD276">
        <v>2</v>
      </c>
      <c r="AE276">
        <v>1</v>
      </c>
      <c r="AF276">
        <v>1</v>
      </c>
      <c r="AG276">
        <v>1</v>
      </c>
      <c r="AH276">
        <v>1</v>
      </c>
      <c r="AI276">
        <v>1</v>
      </c>
      <c r="AJ276">
        <v>1</v>
      </c>
      <c r="AK276">
        <v>1</v>
      </c>
      <c r="AL276">
        <v>1</v>
      </c>
      <c r="AM276">
        <v>1</v>
      </c>
      <c r="AN276">
        <v>1</v>
      </c>
      <c r="AP276">
        <v>1</v>
      </c>
      <c r="AQ276">
        <v>1</v>
      </c>
      <c r="AR276">
        <v>2</v>
      </c>
      <c r="AS276">
        <v>1</v>
      </c>
      <c r="AT276">
        <v>2</v>
      </c>
      <c r="AU276">
        <v>2</v>
      </c>
      <c r="AV276">
        <v>2</v>
      </c>
      <c r="AX276">
        <v>1</v>
      </c>
      <c r="AY276">
        <v>1</v>
      </c>
      <c r="AZ276">
        <v>2</v>
      </c>
      <c r="BA276">
        <v>1</v>
      </c>
      <c r="BB276">
        <v>2</v>
      </c>
      <c r="BD276">
        <v>1</v>
      </c>
      <c r="BE276">
        <v>1</v>
      </c>
      <c r="BF276">
        <v>2</v>
      </c>
      <c r="BG276">
        <v>2</v>
      </c>
      <c r="BH276">
        <v>2</v>
      </c>
      <c r="BI276">
        <v>1</v>
      </c>
      <c r="BJ276">
        <v>2</v>
      </c>
      <c r="BK276">
        <v>1</v>
      </c>
      <c r="BL276">
        <v>1</v>
      </c>
      <c r="BM276">
        <v>1</v>
      </c>
      <c r="BN276">
        <v>1</v>
      </c>
      <c r="BO276">
        <v>1</v>
      </c>
      <c r="BP276">
        <v>1</v>
      </c>
      <c r="BQ276">
        <v>1</v>
      </c>
      <c r="BR276">
        <v>1</v>
      </c>
      <c r="BS276">
        <v>2</v>
      </c>
      <c r="BT276">
        <v>1</v>
      </c>
      <c r="BU276">
        <v>1</v>
      </c>
      <c r="BV276">
        <v>1</v>
      </c>
      <c r="BW276">
        <v>1</v>
      </c>
      <c r="BX276">
        <v>1</v>
      </c>
      <c r="BY276">
        <v>2</v>
      </c>
      <c r="BZ276">
        <v>1</v>
      </c>
      <c r="CA276">
        <v>2</v>
      </c>
    </row>
    <row r="277" spans="1:79" x14ac:dyDescent="0.3">
      <c r="A277" s="155">
        <v>980</v>
      </c>
      <c r="B277" t="s">
        <v>592</v>
      </c>
      <c r="D277" t="s">
        <v>2492</v>
      </c>
      <c r="E277" t="s">
        <v>2469</v>
      </c>
      <c r="F277" t="s">
        <v>2470</v>
      </c>
      <c r="G277" t="s">
        <v>1003</v>
      </c>
      <c r="H277" t="s">
        <v>1017</v>
      </c>
      <c r="I277" t="s">
        <v>2471</v>
      </c>
      <c r="J277" t="s">
        <v>1014</v>
      </c>
      <c r="K277" t="s">
        <v>2472</v>
      </c>
      <c r="L277" t="s">
        <v>1019</v>
      </c>
      <c r="M277" t="s">
        <v>2473</v>
      </c>
      <c r="N277" t="s">
        <v>2474</v>
      </c>
      <c r="O277" t="s">
        <v>2475</v>
      </c>
      <c r="Q277" t="s">
        <v>1019</v>
      </c>
      <c r="R277" t="s">
        <v>2476</v>
      </c>
      <c r="S277" t="s">
        <v>1006</v>
      </c>
      <c r="U277" t="s">
        <v>1021</v>
      </c>
      <c r="V277" t="s">
        <v>2477</v>
      </c>
      <c r="W277" t="s">
        <v>1998</v>
      </c>
      <c r="X277" t="s">
        <v>1007</v>
      </c>
      <c r="Y277" t="s">
        <v>1000</v>
      </c>
      <c r="Z277" t="s">
        <v>1015</v>
      </c>
      <c r="AA277" t="s">
        <v>1016</v>
      </c>
      <c r="AB277" t="s">
        <v>1018</v>
      </c>
      <c r="AC277" t="s">
        <v>1627</v>
      </c>
      <c r="AD277" t="s">
        <v>2478</v>
      </c>
      <c r="AE277" t="s">
        <v>1019</v>
      </c>
      <c r="AF277" t="s">
        <v>1007</v>
      </c>
      <c r="AG277" t="s">
        <v>1001</v>
      </c>
      <c r="AH277" t="s">
        <v>2001</v>
      </c>
      <c r="AI277" t="s">
        <v>2002</v>
      </c>
      <c r="AJ277" t="s">
        <v>1018</v>
      </c>
      <c r="AK277" t="s">
        <v>2479</v>
      </c>
      <c r="AL277" t="s">
        <v>1016</v>
      </c>
      <c r="AM277" t="s">
        <v>2002</v>
      </c>
      <c r="AN277" t="s">
        <v>2480</v>
      </c>
      <c r="AP277" t="s">
        <v>2326</v>
      </c>
      <c r="AQ277" t="s">
        <v>1004</v>
      </c>
      <c r="AR277" t="s">
        <v>2481</v>
      </c>
      <c r="AS277" t="s">
        <v>2005</v>
      </c>
      <c r="AT277" t="s">
        <v>2482</v>
      </c>
      <c r="AU277" t="s">
        <v>2483</v>
      </c>
      <c r="AV277" t="s">
        <v>2484</v>
      </c>
      <c r="AX277" t="s">
        <v>1020</v>
      </c>
      <c r="AZ277" t="s">
        <v>2485</v>
      </c>
      <c r="BA277" t="s">
        <v>2486</v>
      </c>
      <c r="BB277" t="s">
        <v>2478</v>
      </c>
      <c r="BD277" t="s">
        <v>2487</v>
      </c>
      <c r="BE277" t="s">
        <v>2003</v>
      </c>
      <c r="BF277" t="s">
        <v>1684</v>
      </c>
      <c r="BG277" t="s">
        <v>2488</v>
      </c>
      <c r="BH277" t="s">
        <v>2489</v>
      </c>
      <c r="BI277" t="s">
        <v>2490</v>
      </c>
      <c r="BJ277" t="s">
        <v>2479</v>
      </c>
      <c r="BK277" t="s">
        <v>1018</v>
      </c>
      <c r="BL277" t="s">
        <v>1626</v>
      </c>
      <c r="BM277" t="s">
        <v>2043</v>
      </c>
      <c r="BN277" t="s">
        <v>1003</v>
      </c>
      <c r="BO277" t="s">
        <v>1015</v>
      </c>
      <c r="BP277" t="s">
        <v>1014</v>
      </c>
      <c r="BQ277" t="s">
        <v>1014</v>
      </c>
      <c r="BR277" t="s">
        <v>2487</v>
      </c>
      <c r="BS277" t="s">
        <v>2491</v>
      </c>
      <c r="BT277" t="s">
        <v>1017</v>
      </c>
      <c r="BU277" t="s">
        <v>2487</v>
      </c>
      <c r="BV277" t="s">
        <v>2492</v>
      </c>
      <c r="BW277" t="s">
        <v>2493</v>
      </c>
      <c r="BX277" t="s">
        <v>2325</v>
      </c>
      <c r="BY277" t="s">
        <v>2007</v>
      </c>
      <c r="BZ277" t="s">
        <v>1015</v>
      </c>
      <c r="CA277" t="s">
        <v>2494</v>
      </c>
    </row>
    <row r="278" spans="1:79" x14ac:dyDescent="0.3">
      <c r="A278" s="155">
        <v>984</v>
      </c>
      <c r="B278" t="s">
        <v>1022</v>
      </c>
      <c r="D278">
        <v>1286994</v>
      </c>
      <c r="E278">
        <v>7882668</v>
      </c>
      <c r="F278">
        <v>159113</v>
      </c>
      <c r="G278">
        <v>23959198</v>
      </c>
      <c r="H278">
        <v>2449294</v>
      </c>
      <c r="I278">
        <v>142715</v>
      </c>
      <c r="J278">
        <v>620972</v>
      </c>
      <c r="K278">
        <v>961677</v>
      </c>
      <c r="L278">
        <v>32888682</v>
      </c>
      <c r="M278">
        <v>31478</v>
      </c>
      <c r="N278">
        <v>304625</v>
      </c>
      <c r="O278">
        <v>1021279</v>
      </c>
      <c r="P278">
        <v>18740650</v>
      </c>
      <c r="Q278">
        <v>10062733</v>
      </c>
      <c r="R278">
        <v>2789299</v>
      </c>
      <c r="S278">
        <v>6887368</v>
      </c>
      <c r="U278">
        <v>10575357</v>
      </c>
      <c r="V278">
        <v>8730</v>
      </c>
      <c r="W278">
        <v>5044271</v>
      </c>
      <c r="X278">
        <v>10244885</v>
      </c>
      <c r="Y278">
        <v>3165498</v>
      </c>
      <c r="Z278">
        <v>723080</v>
      </c>
      <c r="AA278">
        <v>3524641</v>
      </c>
      <c r="AB278">
        <v>705862</v>
      </c>
      <c r="AC278">
        <v>0</v>
      </c>
      <c r="AD278">
        <v>535489</v>
      </c>
      <c r="AE278">
        <v>1820446</v>
      </c>
      <c r="AF278">
        <v>35885</v>
      </c>
      <c r="AG278">
        <v>10137</v>
      </c>
      <c r="AH278">
        <v>37807</v>
      </c>
      <c r="AI278">
        <v>1928127</v>
      </c>
      <c r="AJ278">
        <v>3320790</v>
      </c>
      <c r="AK278">
        <v>81571</v>
      </c>
      <c r="AL278">
        <v>12456</v>
      </c>
      <c r="AM278">
        <v>7646026</v>
      </c>
      <c r="AN278">
        <v>9129203</v>
      </c>
      <c r="AP278">
        <v>2573535</v>
      </c>
      <c r="AQ278">
        <v>10760803</v>
      </c>
      <c r="AR278">
        <v>1299035</v>
      </c>
      <c r="AS278">
        <v>90576</v>
      </c>
      <c r="AT278">
        <v>2037935</v>
      </c>
      <c r="AU278">
        <v>5605996</v>
      </c>
      <c r="AV278">
        <v>30281</v>
      </c>
      <c r="AX278">
        <v>1843378</v>
      </c>
      <c r="AY278">
        <v>1801676</v>
      </c>
      <c r="AZ278">
        <v>1319867</v>
      </c>
      <c r="BA278">
        <v>30157</v>
      </c>
      <c r="BB278">
        <v>1538819</v>
      </c>
      <c r="BD278">
        <v>33086</v>
      </c>
      <c r="BE278">
        <v>10335824</v>
      </c>
      <c r="BF278">
        <v>72911</v>
      </c>
      <c r="BG278">
        <v>15400</v>
      </c>
      <c r="BH278">
        <v>1737662</v>
      </c>
      <c r="BI278">
        <v>1825337</v>
      </c>
      <c r="BJ278">
        <v>0</v>
      </c>
      <c r="BK278">
        <v>6748009</v>
      </c>
      <c r="BL278">
        <v>2360159</v>
      </c>
      <c r="BN278">
        <v>2999457</v>
      </c>
      <c r="BO278">
        <v>719442</v>
      </c>
      <c r="BP278">
        <v>601339</v>
      </c>
      <c r="BQ278">
        <v>1084251</v>
      </c>
      <c r="BR278">
        <v>759751</v>
      </c>
      <c r="BS278">
        <v>14701041</v>
      </c>
      <c r="BT278">
        <v>918075</v>
      </c>
      <c r="BU278">
        <v>1585320</v>
      </c>
      <c r="BV278">
        <v>269538</v>
      </c>
      <c r="BW278">
        <v>487565</v>
      </c>
      <c r="BX278">
        <v>0</v>
      </c>
      <c r="BY278">
        <v>9945</v>
      </c>
      <c r="BZ278">
        <v>11339347</v>
      </c>
      <c r="CA278">
        <v>31797</v>
      </c>
    </row>
    <row r="279" spans="1:79" x14ac:dyDescent="0.3">
      <c r="A279" s="155">
        <v>985</v>
      </c>
      <c r="B279" t="s">
        <v>1023</v>
      </c>
      <c r="D279">
        <v>1269209</v>
      </c>
      <c r="E279">
        <v>7470099</v>
      </c>
      <c r="F279">
        <v>160550</v>
      </c>
      <c r="G279">
        <v>23812468</v>
      </c>
      <c r="H279">
        <v>2399810</v>
      </c>
      <c r="I279">
        <v>146500</v>
      </c>
      <c r="J279">
        <v>521800</v>
      </c>
      <c r="K279">
        <v>955600</v>
      </c>
      <c r="L279">
        <v>31638633</v>
      </c>
      <c r="M279">
        <v>23354</v>
      </c>
      <c r="N279">
        <v>310879</v>
      </c>
      <c r="O279">
        <v>928266</v>
      </c>
      <c r="P279">
        <v>18081762</v>
      </c>
      <c r="Q279">
        <v>9518709</v>
      </c>
      <c r="R279">
        <v>2797500</v>
      </c>
      <c r="S279">
        <v>6690000</v>
      </c>
      <c r="U279">
        <v>10135935</v>
      </c>
      <c r="V279">
        <v>8500</v>
      </c>
      <c r="W279">
        <v>4564983</v>
      </c>
      <c r="X279">
        <v>10099181</v>
      </c>
      <c r="Y279">
        <v>3104950</v>
      </c>
      <c r="Z279">
        <v>685936</v>
      </c>
      <c r="AA279">
        <v>3511722</v>
      </c>
      <c r="AB279">
        <v>691641</v>
      </c>
      <c r="AC279">
        <v>0</v>
      </c>
      <c r="AD279">
        <v>526797</v>
      </c>
      <c r="AE279">
        <v>1779931</v>
      </c>
      <c r="AF279">
        <v>41942</v>
      </c>
      <c r="AG279">
        <v>9900</v>
      </c>
      <c r="AH279">
        <v>37700</v>
      </c>
      <c r="AI279">
        <v>1843000</v>
      </c>
      <c r="AJ279">
        <v>3253190</v>
      </c>
      <c r="AK279">
        <v>74200</v>
      </c>
      <c r="AL279">
        <v>9500</v>
      </c>
      <c r="AM279">
        <v>7872248</v>
      </c>
      <c r="AN279">
        <v>8780276</v>
      </c>
      <c r="AP279">
        <v>2452605</v>
      </c>
      <c r="AQ279">
        <v>10253000</v>
      </c>
      <c r="AR279">
        <v>1116800</v>
      </c>
      <c r="AS279">
        <v>95000</v>
      </c>
      <c r="AT279">
        <v>1965000</v>
      </c>
      <c r="AU279">
        <v>5508000</v>
      </c>
      <c r="AV279">
        <v>33100</v>
      </c>
      <c r="AX279">
        <v>1818019</v>
      </c>
      <c r="AY279">
        <v>1607000</v>
      </c>
      <c r="AZ279">
        <v>1328083</v>
      </c>
      <c r="BA279">
        <v>24750</v>
      </c>
      <c r="BB279">
        <v>1485266</v>
      </c>
      <c r="BD279">
        <v>33000</v>
      </c>
      <c r="BE279">
        <v>10538195</v>
      </c>
      <c r="BF279">
        <v>75150</v>
      </c>
      <c r="BG279">
        <v>20500</v>
      </c>
      <c r="BH279">
        <v>1618000</v>
      </c>
      <c r="BI279">
        <v>1739050</v>
      </c>
      <c r="BJ279">
        <v>0</v>
      </c>
      <c r="BK279">
        <v>6694545</v>
      </c>
      <c r="BL279">
        <v>2361393</v>
      </c>
      <c r="BN279">
        <v>2915986</v>
      </c>
      <c r="BO279">
        <v>639159</v>
      </c>
      <c r="BP279">
        <v>579061</v>
      </c>
      <c r="BQ279">
        <v>932565</v>
      </c>
      <c r="BR279">
        <v>715266</v>
      </c>
      <c r="BS279">
        <v>14618453</v>
      </c>
      <c r="BT279">
        <v>802000</v>
      </c>
      <c r="BU279">
        <v>1520073</v>
      </c>
      <c r="BV279">
        <v>247300</v>
      </c>
      <c r="BW279">
        <v>470000</v>
      </c>
      <c r="BX279">
        <v>0</v>
      </c>
      <c r="BY279">
        <v>7928</v>
      </c>
      <c r="BZ279">
        <v>11036912</v>
      </c>
      <c r="CA279">
        <v>35375</v>
      </c>
    </row>
    <row r="280" spans="1:79" x14ac:dyDescent="0.3">
      <c r="A280" s="155">
        <v>986</v>
      </c>
      <c r="B280" t="s">
        <v>594</v>
      </c>
      <c r="D280">
        <v>0</v>
      </c>
      <c r="E280">
        <v>0</v>
      </c>
      <c r="F280">
        <v>0</v>
      </c>
      <c r="G280">
        <v>119448</v>
      </c>
      <c r="H280">
        <v>0</v>
      </c>
      <c r="I280">
        <v>0</v>
      </c>
      <c r="J280">
        <v>200000</v>
      </c>
      <c r="K280">
        <v>0</v>
      </c>
      <c r="L280">
        <v>0</v>
      </c>
      <c r="M280">
        <v>0</v>
      </c>
      <c r="N280">
        <v>0</v>
      </c>
      <c r="O280">
        <v>0</v>
      </c>
      <c r="P280">
        <v>0</v>
      </c>
      <c r="Q280">
        <v>0</v>
      </c>
      <c r="R280">
        <v>0</v>
      </c>
      <c r="S280">
        <v>0</v>
      </c>
      <c r="U280">
        <v>65992</v>
      </c>
      <c r="V280">
        <v>0</v>
      </c>
      <c r="W280">
        <v>0</v>
      </c>
      <c r="X280">
        <v>0</v>
      </c>
      <c r="Y280">
        <v>0</v>
      </c>
      <c r="Z280">
        <v>0</v>
      </c>
      <c r="AA280">
        <v>0</v>
      </c>
      <c r="AB280">
        <v>0</v>
      </c>
      <c r="AC280">
        <v>0</v>
      </c>
      <c r="AD280">
        <v>0</v>
      </c>
      <c r="AE280">
        <v>478848</v>
      </c>
      <c r="AF280">
        <v>0</v>
      </c>
      <c r="AG280">
        <v>0</v>
      </c>
      <c r="AH280">
        <v>0</v>
      </c>
      <c r="AI280">
        <v>0</v>
      </c>
      <c r="AJ280">
        <v>0</v>
      </c>
      <c r="AK280">
        <v>0</v>
      </c>
      <c r="AL280">
        <v>0</v>
      </c>
      <c r="AM280">
        <v>0</v>
      </c>
      <c r="AN280">
        <v>0</v>
      </c>
      <c r="AP280">
        <v>0</v>
      </c>
      <c r="AQ280">
        <v>0</v>
      </c>
      <c r="AR280">
        <v>0</v>
      </c>
      <c r="AS280">
        <v>10655</v>
      </c>
      <c r="AT280">
        <v>0</v>
      </c>
      <c r="AU280">
        <v>0</v>
      </c>
      <c r="AV280">
        <v>0</v>
      </c>
      <c r="AX280">
        <v>0</v>
      </c>
      <c r="AY280">
        <v>0</v>
      </c>
      <c r="AZ280">
        <v>0</v>
      </c>
      <c r="BA280">
        <v>0</v>
      </c>
      <c r="BB280">
        <v>0</v>
      </c>
      <c r="BD280">
        <v>0</v>
      </c>
      <c r="BE280">
        <v>0</v>
      </c>
      <c r="BF280">
        <v>0</v>
      </c>
      <c r="BG280">
        <v>0</v>
      </c>
      <c r="BH280">
        <v>0</v>
      </c>
      <c r="BI280">
        <v>0</v>
      </c>
      <c r="BJ280">
        <v>0</v>
      </c>
      <c r="BK280">
        <v>0</v>
      </c>
      <c r="BL280">
        <v>0</v>
      </c>
      <c r="BM280">
        <v>0</v>
      </c>
      <c r="BN280">
        <v>0</v>
      </c>
      <c r="BO280">
        <v>0</v>
      </c>
      <c r="BP280">
        <v>0</v>
      </c>
      <c r="BQ280">
        <v>0</v>
      </c>
      <c r="BR280">
        <v>0</v>
      </c>
      <c r="BS280">
        <v>0</v>
      </c>
      <c r="BT280">
        <v>18446</v>
      </c>
      <c r="BU280">
        <v>0</v>
      </c>
      <c r="BV280">
        <v>0</v>
      </c>
      <c r="BW280">
        <v>0</v>
      </c>
      <c r="BX280">
        <v>0</v>
      </c>
      <c r="BY280">
        <v>0</v>
      </c>
      <c r="BZ280">
        <v>0</v>
      </c>
      <c r="CA280">
        <v>0</v>
      </c>
    </row>
    <row r="281" spans="1:79" x14ac:dyDescent="0.3">
      <c r="A281" s="155">
        <v>987</v>
      </c>
      <c r="B281" t="s">
        <v>1024</v>
      </c>
      <c r="D281">
        <v>0</v>
      </c>
      <c r="E281">
        <v>0</v>
      </c>
      <c r="F281">
        <v>0</v>
      </c>
      <c r="G281">
        <v>0</v>
      </c>
      <c r="H281">
        <v>0</v>
      </c>
      <c r="I281">
        <v>0</v>
      </c>
      <c r="J281">
        <v>0</v>
      </c>
      <c r="K281">
        <v>0</v>
      </c>
      <c r="L281">
        <v>0</v>
      </c>
      <c r="M281">
        <v>0</v>
      </c>
      <c r="N281">
        <v>0</v>
      </c>
      <c r="O281">
        <v>0</v>
      </c>
      <c r="P281">
        <v>0</v>
      </c>
      <c r="Q281">
        <v>0</v>
      </c>
      <c r="R281">
        <v>0</v>
      </c>
      <c r="S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P281">
        <v>0</v>
      </c>
      <c r="AQ281">
        <v>0</v>
      </c>
      <c r="AR281">
        <v>0</v>
      </c>
      <c r="AS281">
        <v>0</v>
      </c>
      <c r="AT281">
        <v>0</v>
      </c>
      <c r="AU281">
        <v>0</v>
      </c>
      <c r="AV281">
        <v>0</v>
      </c>
      <c r="AX281">
        <v>0</v>
      </c>
      <c r="AY281">
        <v>0</v>
      </c>
      <c r="AZ281">
        <v>0</v>
      </c>
      <c r="BA281">
        <v>0</v>
      </c>
      <c r="BB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row>
    <row r="282" spans="1:79" x14ac:dyDescent="0.3">
      <c r="A282" s="155">
        <v>988</v>
      </c>
      <c r="B282" t="s">
        <v>1025</v>
      </c>
      <c r="D282">
        <v>2</v>
      </c>
      <c r="E282">
        <v>2</v>
      </c>
      <c r="F282">
        <v>2</v>
      </c>
      <c r="G282">
        <v>2</v>
      </c>
      <c r="H282">
        <v>2</v>
      </c>
      <c r="I282">
        <v>2</v>
      </c>
      <c r="J282">
        <v>2</v>
      </c>
      <c r="K282">
        <v>2</v>
      </c>
      <c r="L282">
        <v>2</v>
      </c>
      <c r="M282">
        <v>0</v>
      </c>
      <c r="N282">
        <v>2</v>
      </c>
      <c r="O282">
        <v>2</v>
      </c>
      <c r="P282">
        <v>0</v>
      </c>
      <c r="Q282">
        <v>2</v>
      </c>
      <c r="R282">
        <v>0</v>
      </c>
      <c r="S282">
        <v>2</v>
      </c>
      <c r="U282">
        <v>2</v>
      </c>
      <c r="V282">
        <v>2</v>
      </c>
      <c r="W282">
        <v>0</v>
      </c>
      <c r="X282">
        <v>2</v>
      </c>
      <c r="Y282">
        <v>2</v>
      </c>
      <c r="Z282">
        <v>2</v>
      </c>
      <c r="AA282">
        <v>2</v>
      </c>
      <c r="AB282">
        <v>2</v>
      </c>
      <c r="AC282">
        <v>2</v>
      </c>
      <c r="AD282">
        <v>2</v>
      </c>
      <c r="AE282">
        <v>2</v>
      </c>
      <c r="AF282">
        <v>2</v>
      </c>
      <c r="AG282">
        <v>2</v>
      </c>
      <c r="AH282">
        <v>2</v>
      </c>
      <c r="AI282">
        <v>2</v>
      </c>
      <c r="AJ282">
        <v>2</v>
      </c>
      <c r="AK282">
        <v>2</v>
      </c>
      <c r="AL282">
        <v>2</v>
      </c>
      <c r="AM282">
        <v>2</v>
      </c>
      <c r="AN282">
        <v>2</v>
      </c>
      <c r="AP282">
        <v>2</v>
      </c>
      <c r="AQ282">
        <v>2</v>
      </c>
      <c r="AR282">
        <v>0</v>
      </c>
      <c r="AS282">
        <v>2</v>
      </c>
      <c r="AT282">
        <v>2</v>
      </c>
      <c r="AU282">
        <v>2</v>
      </c>
      <c r="AV282">
        <v>2</v>
      </c>
      <c r="AX282">
        <v>2</v>
      </c>
      <c r="AY282">
        <v>2</v>
      </c>
      <c r="AZ282">
        <v>2</v>
      </c>
      <c r="BA282">
        <v>2</v>
      </c>
      <c r="BB282">
        <v>2</v>
      </c>
      <c r="BD282">
        <v>2</v>
      </c>
      <c r="BE282">
        <v>2</v>
      </c>
      <c r="BF282">
        <v>2</v>
      </c>
      <c r="BG282">
        <v>2</v>
      </c>
      <c r="BH282">
        <v>2</v>
      </c>
      <c r="BI282">
        <v>2</v>
      </c>
      <c r="BJ282">
        <v>0</v>
      </c>
      <c r="BK282">
        <v>2</v>
      </c>
      <c r="BL282">
        <v>0</v>
      </c>
      <c r="BM282">
        <v>2</v>
      </c>
      <c r="BN282">
        <v>2</v>
      </c>
      <c r="BO282">
        <v>2</v>
      </c>
      <c r="BP282">
        <v>2</v>
      </c>
      <c r="BQ282">
        <v>2</v>
      </c>
      <c r="BR282">
        <v>2</v>
      </c>
      <c r="BS282">
        <v>2</v>
      </c>
      <c r="BT282">
        <v>2</v>
      </c>
      <c r="BU282">
        <v>2</v>
      </c>
      <c r="BV282">
        <v>2</v>
      </c>
      <c r="BW282">
        <v>2</v>
      </c>
      <c r="BX282">
        <v>2</v>
      </c>
      <c r="BY282">
        <v>2</v>
      </c>
      <c r="BZ282">
        <v>2</v>
      </c>
      <c r="CA282">
        <v>2</v>
      </c>
    </row>
    <row r="283" spans="1:79" x14ac:dyDescent="0.3">
      <c r="A283" s="155">
        <v>989</v>
      </c>
      <c r="B283" t="s">
        <v>1026</v>
      </c>
      <c r="D283">
        <v>0</v>
      </c>
      <c r="E283">
        <v>0</v>
      </c>
      <c r="F283">
        <v>3</v>
      </c>
      <c r="G283">
        <v>0</v>
      </c>
      <c r="H283">
        <v>3</v>
      </c>
      <c r="I283">
        <v>0</v>
      </c>
      <c r="J283">
        <v>3</v>
      </c>
      <c r="K283">
        <v>3</v>
      </c>
      <c r="L283">
        <v>3</v>
      </c>
      <c r="M283">
        <v>0</v>
      </c>
      <c r="N283">
        <v>3</v>
      </c>
      <c r="O283">
        <v>3</v>
      </c>
      <c r="P283">
        <v>0</v>
      </c>
      <c r="Q283">
        <v>0</v>
      </c>
      <c r="R283">
        <v>0</v>
      </c>
      <c r="S283">
        <v>3</v>
      </c>
      <c r="U283">
        <v>3</v>
      </c>
      <c r="V283">
        <v>0</v>
      </c>
      <c r="W283">
        <v>0</v>
      </c>
      <c r="X283">
        <v>0</v>
      </c>
      <c r="Y283">
        <v>3</v>
      </c>
      <c r="Z283">
        <v>3</v>
      </c>
      <c r="AA283">
        <v>3</v>
      </c>
      <c r="AB283">
        <v>0</v>
      </c>
      <c r="AC283">
        <v>0</v>
      </c>
      <c r="AD283">
        <v>3</v>
      </c>
      <c r="AE283">
        <v>3</v>
      </c>
      <c r="AF283">
        <v>3</v>
      </c>
      <c r="AG283">
        <v>0</v>
      </c>
      <c r="AH283">
        <v>0</v>
      </c>
      <c r="AI283">
        <v>3</v>
      </c>
      <c r="AJ283">
        <v>3</v>
      </c>
      <c r="AK283">
        <v>0</v>
      </c>
      <c r="AL283">
        <v>0</v>
      </c>
      <c r="AM283">
        <v>3</v>
      </c>
      <c r="AN283">
        <v>0</v>
      </c>
      <c r="AP283">
        <v>3</v>
      </c>
      <c r="AQ283">
        <v>3</v>
      </c>
      <c r="AR283">
        <v>0</v>
      </c>
      <c r="AS283">
        <v>0</v>
      </c>
      <c r="AT283">
        <v>3</v>
      </c>
      <c r="AU283">
        <v>3</v>
      </c>
      <c r="AV283">
        <v>3</v>
      </c>
      <c r="AX283">
        <v>3</v>
      </c>
      <c r="AY283">
        <v>0</v>
      </c>
      <c r="AZ283">
        <v>3</v>
      </c>
      <c r="BA283">
        <v>3</v>
      </c>
      <c r="BB283">
        <v>3</v>
      </c>
      <c r="BD283">
        <v>3</v>
      </c>
      <c r="BE283">
        <v>3</v>
      </c>
      <c r="BF283">
        <v>3</v>
      </c>
      <c r="BG283">
        <v>3</v>
      </c>
      <c r="BH283">
        <v>3</v>
      </c>
      <c r="BI283">
        <v>0</v>
      </c>
      <c r="BJ283">
        <v>0</v>
      </c>
      <c r="BK283">
        <v>0</v>
      </c>
      <c r="BL283">
        <v>0</v>
      </c>
      <c r="BM283">
        <v>3</v>
      </c>
      <c r="BN283">
        <v>3</v>
      </c>
      <c r="BO283">
        <v>3</v>
      </c>
      <c r="BP283">
        <v>3</v>
      </c>
      <c r="BQ283">
        <v>3</v>
      </c>
      <c r="BR283">
        <v>3</v>
      </c>
      <c r="BS283">
        <v>3</v>
      </c>
      <c r="BT283">
        <v>3</v>
      </c>
      <c r="BU283">
        <v>0</v>
      </c>
      <c r="BV283">
        <v>3</v>
      </c>
      <c r="BW283">
        <v>3</v>
      </c>
      <c r="BX283">
        <v>3</v>
      </c>
      <c r="BY283">
        <v>0</v>
      </c>
      <c r="BZ283">
        <v>3</v>
      </c>
      <c r="CA283">
        <v>3</v>
      </c>
    </row>
    <row r="284" spans="1:79" x14ac:dyDescent="0.3">
      <c r="A284" s="155">
        <v>990</v>
      </c>
      <c r="B284" t="s">
        <v>583</v>
      </c>
      <c r="D284">
        <v>0</v>
      </c>
      <c r="E284">
        <v>0</v>
      </c>
      <c r="F284">
        <v>0</v>
      </c>
      <c r="G284">
        <v>0</v>
      </c>
      <c r="H284">
        <v>0</v>
      </c>
      <c r="I284">
        <v>0</v>
      </c>
      <c r="J284">
        <v>0</v>
      </c>
      <c r="K284">
        <v>0</v>
      </c>
      <c r="L284">
        <v>0</v>
      </c>
      <c r="M284">
        <v>0</v>
      </c>
      <c r="N284">
        <v>0</v>
      </c>
      <c r="O284">
        <v>0</v>
      </c>
      <c r="P284">
        <v>0</v>
      </c>
      <c r="Q284">
        <v>0</v>
      </c>
      <c r="R284">
        <v>0</v>
      </c>
      <c r="S284">
        <v>0</v>
      </c>
      <c r="U284">
        <v>382739</v>
      </c>
      <c r="V284">
        <v>0</v>
      </c>
      <c r="W284">
        <v>0</v>
      </c>
      <c r="X284">
        <v>0</v>
      </c>
      <c r="Y284">
        <v>0</v>
      </c>
      <c r="Z284">
        <v>0</v>
      </c>
      <c r="AA284">
        <v>0</v>
      </c>
      <c r="AB284">
        <v>0</v>
      </c>
      <c r="AC284">
        <v>0</v>
      </c>
      <c r="AD284">
        <v>0</v>
      </c>
      <c r="AE284">
        <v>0</v>
      </c>
      <c r="AF284">
        <v>0</v>
      </c>
      <c r="AG284">
        <v>0</v>
      </c>
      <c r="AH284">
        <v>0</v>
      </c>
      <c r="AI284">
        <v>0</v>
      </c>
      <c r="AJ284">
        <v>83109</v>
      </c>
      <c r="AK284">
        <v>0</v>
      </c>
      <c r="AL284">
        <v>0</v>
      </c>
      <c r="AM284">
        <v>0</v>
      </c>
      <c r="AN284">
        <v>0</v>
      </c>
      <c r="AP284">
        <v>0</v>
      </c>
      <c r="AQ284">
        <v>0</v>
      </c>
      <c r="AR284">
        <v>0</v>
      </c>
      <c r="AS284">
        <v>0</v>
      </c>
      <c r="AT284">
        <v>0</v>
      </c>
      <c r="AU284">
        <v>30465</v>
      </c>
      <c r="AV284">
        <v>0</v>
      </c>
      <c r="AX284">
        <v>0</v>
      </c>
      <c r="AY284">
        <v>0</v>
      </c>
      <c r="AZ284">
        <v>53680</v>
      </c>
      <c r="BA284">
        <v>0</v>
      </c>
      <c r="BB284">
        <v>0</v>
      </c>
      <c r="BD284">
        <v>0</v>
      </c>
      <c r="BE284">
        <v>244865</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row>
    <row r="285" spans="1:79" x14ac:dyDescent="0.3">
      <c r="A285" s="155">
        <v>991</v>
      </c>
      <c r="B285" t="s">
        <v>1027</v>
      </c>
      <c r="D285">
        <v>23</v>
      </c>
      <c r="E285">
        <v>23</v>
      </c>
      <c r="F285">
        <v>22</v>
      </c>
      <c r="G285">
        <v>0</v>
      </c>
      <c r="H285">
        <v>23</v>
      </c>
      <c r="I285">
        <v>0</v>
      </c>
      <c r="J285">
        <v>23</v>
      </c>
      <c r="K285">
        <v>23</v>
      </c>
      <c r="L285">
        <v>23</v>
      </c>
      <c r="M285">
        <v>0</v>
      </c>
      <c r="N285">
        <v>23</v>
      </c>
      <c r="O285">
        <v>23</v>
      </c>
      <c r="P285">
        <v>22</v>
      </c>
      <c r="Q285">
        <v>23</v>
      </c>
      <c r="R285">
        <v>23</v>
      </c>
      <c r="S285">
        <v>23</v>
      </c>
      <c r="U285">
        <v>23</v>
      </c>
      <c r="V285">
        <v>0</v>
      </c>
      <c r="W285">
        <v>23</v>
      </c>
      <c r="X285">
        <v>0</v>
      </c>
      <c r="Y285">
        <v>22</v>
      </c>
      <c r="Z285">
        <v>23</v>
      </c>
      <c r="AA285">
        <v>0</v>
      </c>
      <c r="AB285">
        <v>23</v>
      </c>
      <c r="AC285">
        <v>23</v>
      </c>
      <c r="AD285">
        <v>22</v>
      </c>
      <c r="AE285">
        <v>23</v>
      </c>
      <c r="AF285">
        <v>23</v>
      </c>
      <c r="AG285">
        <v>0</v>
      </c>
      <c r="AH285">
        <v>0</v>
      </c>
      <c r="AI285">
        <v>23</v>
      </c>
      <c r="AJ285">
        <v>23</v>
      </c>
      <c r="AK285">
        <v>23</v>
      </c>
      <c r="AL285">
        <v>0</v>
      </c>
      <c r="AM285">
        <v>23</v>
      </c>
      <c r="AN285">
        <v>0</v>
      </c>
      <c r="AP285">
        <v>22</v>
      </c>
      <c r="AQ285">
        <v>23</v>
      </c>
      <c r="AR285">
        <v>23</v>
      </c>
      <c r="AS285">
        <v>0</v>
      </c>
      <c r="AT285">
        <v>23</v>
      </c>
      <c r="AU285">
        <v>23</v>
      </c>
      <c r="AV285">
        <v>23</v>
      </c>
      <c r="AX285">
        <v>22</v>
      </c>
      <c r="AY285">
        <v>0</v>
      </c>
      <c r="AZ285">
        <v>23</v>
      </c>
      <c r="BA285">
        <v>23</v>
      </c>
      <c r="BB285">
        <v>0</v>
      </c>
      <c r="BD285">
        <v>22</v>
      </c>
      <c r="BE285">
        <v>23</v>
      </c>
      <c r="BF285">
        <v>23</v>
      </c>
      <c r="BG285">
        <v>0</v>
      </c>
      <c r="BH285">
        <v>23</v>
      </c>
      <c r="BI285">
        <v>0</v>
      </c>
      <c r="BJ285">
        <v>0</v>
      </c>
      <c r="BK285">
        <v>0</v>
      </c>
      <c r="BL285">
        <v>0</v>
      </c>
      <c r="BM285">
        <v>23</v>
      </c>
      <c r="BN285">
        <v>0</v>
      </c>
      <c r="BO285">
        <v>23</v>
      </c>
      <c r="BP285">
        <v>23</v>
      </c>
      <c r="BQ285">
        <v>23</v>
      </c>
      <c r="BR285">
        <v>23</v>
      </c>
      <c r="BS285">
        <v>23</v>
      </c>
      <c r="BT285">
        <v>22</v>
      </c>
      <c r="BU285">
        <v>22</v>
      </c>
      <c r="BV285">
        <v>23</v>
      </c>
      <c r="BW285">
        <v>0</v>
      </c>
      <c r="BX285">
        <v>23</v>
      </c>
      <c r="BY285">
        <v>0</v>
      </c>
      <c r="BZ285">
        <v>23</v>
      </c>
      <c r="CA285">
        <v>23</v>
      </c>
    </row>
    <row r="286" spans="1:79" x14ac:dyDescent="0.3">
      <c r="A286" s="155">
        <v>995</v>
      </c>
      <c r="B286" t="s">
        <v>1735</v>
      </c>
      <c r="D286">
        <v>0</v>
      </c>
      <c r="E286">
        <v>0</v>
      </c>
      <c r="F286">
        <v>0</v>
      </c>
      <c r="G286">
        <v>0</v>
      </c>
      <c r="H286">
        <v>0</v>
      </c>
      <c r="I286">
        <v>0</v>
      </c>
      <c r="J286">
        <v>0</v>
      </c>
      <c r="K286">
        <v>0</v>
      </c>
      <c r="L286">
        <v>0</v>
      </c>
      <c r="M286">
        <v>0</v>
      </c>
      <c r="N286">
        <v>0</v>
      </c>
      <c r="O286">
        <v>0</v>
      </c>
      <c r="P286">
        <v>0</v>
      </c>
      <c r="Q286">
        <v>0</v>
      </c>
      <c r="R286">
        <v>0</v>
      </c>
      <c r="S286">
        <v>0.09</v>
      </c>
      <c r="T286">
        <v>0</v>
      </c>
      <c r="U286">
        <v>0.08</v>
      </c>
      <c r="V286">
        <v>0</v>
      </c>
      <c r="W286">
        <v>0</v>
      </c>
      <c r="X286">
        <v>0</v>
      </c>
      <c r="Y286">
        <v>0</v>
      </c>
      <c r="Z286">
        <v>0.08</v>
      </c>
      <c r="AA286">
        <v>0</v>
      </c>
      <c r="AB286">
        <v>0</v>
      </c>
      <c r="AC286">
        <v>0</v>
      </c>
      <c r="AD286">
        <v>0</v>
      </c>
      <c r="AE286">
        <v>7.0000000000000007E-2</v>
      </c>
      <c r="AF286">
        <v>0</v>
      </c>
      <c r="AG286">
        <v>0</v>
      </c>
      <c r="AH286">
        <v>0</v>
      </c>
      <c r="AI286">
        <v>0</v>
      </c>
      <c r="AJ286">
        <v>0.08</v>
      </c>
      <c r="AK286">
        <v>0</v>
      </c>
      <c r="AL286">
        <v>0</v>
      </c>
      <c r="AM286">
        <v>0</v>
      </c>
      <c r="AN286">
        <v>0</v>
      </c>
      <c r="AO286">
        <v>0</v>
      </c>
      <c r="AP286">
        <v>0</v>
      </c>
      <c r="AQ286">
        <v>7.0000000000000007E-2</v>
      </c>
      <c r="AR286">
        <v>0</v>
      </c>
      <c r="AS286">
        <v>0</v>
      </c>
      <c r="AT286">
        <v>0</v>
      </c>
      <c r="AU286">
        <v>7.0000000000000007E-2</v>
      </c>
      <c r="AV286">
        <v>0</v>
      </c>
      <c r="AW286">
        <v>0</v>
      </c>
      <c r="AX286">
        <v>0</v>
      </c>
      <c r="AY286">
        <v>0</v>
      </c>
      <c r="AZ286">
        <v>0.08</v>
      </c>
      <c r="BA286">
        <v>0</v>
      </c>
      <c r="BB286">
        <v>0</v>
      </c>
      <c r="BC286">
        <v>0.09</v>
      </c>
      <c r="BD286">
        <v>0</v>
      </c>
      <c r="BE286">
        <v>0.08</v>
      </c>
      <c r="BF286">
        <v>0.09</v>
      </c>
      <c r="BG286">
        <v>0</v>
      </c>
      <c r="BH286">
        <v>0</v>
      </c>
      <c r="BI286">
        <v>0</v>
      </c>
      <c r="BJ286">
        <v>0</v>
      </c>
      <c r="BK286">
        <v>7.0000000000000007E-2</v>
      </c>
      <c r="BL286">
        <v>0</v>
      </c>
      <c r="BM286">
        <v>0</v>
      </c>
      <c r="BN286">
        <v>0</v>
      </c>
      <c r="BO286">
        <v>0</v>
      </c>
      <c r="BP286">
        <v>0</v>
      </c>
      <c r="BQ286">
        <v>0</v>
      </c>
      <c r="BR286">
        <v>0</v>
      </c>
      <c r="BS286">
        <v>0</v>
      </c>
      <c r="BT286">
        <v>0</v>
      </c>
      <c r="BU286">
        <v>0</v>
      </c>
      <c r="BV286">
        <v>0</v>
      </c>
      <c r="BW286">
        <v>0</v>
      </c>
      <c r="BX286">
        <v>0</v>
      </c>
      <c r="BY286">
        <v>0</v>
      </c>
      <c r="BZ286">
        <v>0</v>
      </c>
      <c r="CA286">
        <v>0</v>
      </c>
    </row>
    <row r="287" spans="1:79" x14ac:dyDescent="0.3">
      <c r="A287" s="155">
        <v>996</v>
      </c>
      <c r="B287" t="s">
        <v>276</v>
      </c>
      <c r="D287">
        <v>0</v>
      </c>
      <c r="E287">
        <v>0</v>
      </c>
      <c r="F287">
        <v>0.01</v>
      </c>
      <c r="G287">
        <v>0.01</v>
      </c>
      <c r="H287">
        <v>0.01</v>
      </c>
      <c r="I287">
        <v>0.01</v>
      </c>
      <c r="J287">
        <v>0.01</v>
      </c>
      <c r="K287">
        <v>0.01</v>
      </c>
      <c r="L287">
        <v>0.01</v>
      </c>
      <c r="M287">
        <v>0</v>
      </c>
      <c r="N287">
        <v>0.01</v>
      </c>
      <c r="O287">
        <v>0.01</v>
      </c>
      <c r="P287">
        <v>0</v>
      </c>
      <c r="Q287">
        <v>0.01</v>
      </c>
      <c r="R287">
        <v>0.01</v>
      </c>
      <c r="S287">
        <v>0.01</v>
      </c>
      <c r="T287">
        <v>0.01</v>
      </c>
      <c r="U287">
        <v>0.01</v>
      </c>
      <c r="V287">
        <v>0</v>
      </c>
      <c r="W287">
        <v>0</v>
      </c>
      <c r="X287">
        <v>0</v>
      </c>
      <c r="Y287">
        <v>0.01</v>
      </c>
      <c r="Z287">
        <v>0.01</v>
      </c>
      <c r="AA287">
        <v>0.01</v>
      </c>
      <c r="AB287">
        <v>0</v>
      </c>
      <c r="AC287">
        <v>0.01</v>
      </c>
      <c r="AD287">
        <v>0.01</v>
      </c>
      <c r="AE287">
        <v>0.01</v>
      </c>
      <c r="AF287">
        <v>0.01</v>
      </c>
      <c r="AG287">
        <v>0</v>
      </c>
      <c r="AH287">
        <v>0</v>
      </c>
      <c r="AI287">
        <v>0</v>
      </c>
      <c r="AJ287">
        <v>0.01</v>
      </c>
      <c r="AK287">
        <v>0.01</v>
      </c>
      <c r="AL287">
        <v>0</v>
      </c>
      <c r="AM287">
        <v>0</v>
      </c>
      <c r="AN287">
        <v>0.01</v>
      </c>
      <c r="AO287">
        <v>0.01</v>
      </c>
      <c r="AP287">
        <v>0</v>
      </c>
      <c r="AQ287">
        <v>0.01</v>
      </c>
      <c r="AR287">
        <v>0.01</v>
      </c>
      <c r="AS287">
        <v>0.01</v>
      </c>
      <c r="AT287">
        <v>0.01</v>
      </c>
      <c r="AU287">
        <v>0.01</v>
      </c>
      <c r="AV287">
        <v>0.01</v>
      </c>
      <c r="AW287">
        <v>0.01</v>
      </c>
      <c r="AX287">
        <v>0.01</v>
      </c>
      <c r="AY287">
        <v>0.01</v>
      </c>
      <c r="AZ287">
        <v>0.01</v>
      </c>
      <c r="BA287">
        <v>0.01</v>
      </c>
      <c r="BB287">
        <v>0.01</v>
      </c>
      <c r="BC287">
        <v>0.01</v>
      </c>
      <c r="BD287">
        <v>0</v>
      </c>
      <c r="BE287">
        <v>0.01</v>
      </c>
      <c r="BF287">
        <v>0.01</v>
      </c>
      <c r="BG287">
        <v>0</v>
      </c>
      <c r="BH287">
        <v>0.01</v>
      </c>
      <c r="BI287">
        <v>0.01</v>
      </c>
      <c r="BJ287">
        <v>0.01</v>
      </c>
      <c r="BK287">
        <v>0.01</v>
      </c>
      <c r="BL287">
        <v>0.01</v>
      </c>
      <c r="BM287">
        <v>0</v>
      </c>
      <c r="BN287">
        <v>0.01</v>
      </c>
      <c r="BO287">
        <v>0.01</v>
      </c>
      <c r="BP287">
        <v>0.01</v>
      </c>
      <c r="BQ287">
        <v>0.01</v>
      </c>
      <c r="BR287">
        <v>0</v>
      </c>
      <c r="BS287">
        <v>0</v>
      </c>
      <c r="BT287">
        <v>0.01</v>
      </c>
      <c r="BU287">
        <v>0.01</v>
      </c>
      <c r="BV287">
        <v>0.01</v>
      </c>
      <c r="BW287">
        <v>0.01</v>
      </c>
      <c r="BX287">
        <v>0</v>
      </c>
      <c r="BY287">
        <v>0</v>
      </c>
      <c r="BZ287">
        <v>0.01</v>
      </c>
      <c r="CA287">
        <v>0</v>
      </c>
    </row>
    <row r="288" spans="1:79" x14ac:dyDescent="0.3">
      <c r="A288" s="155">
        <v>998</v>
      </c>
      <c r="B288" t="s">
        <v>277</v>
      </c>
      <c r="D288">
        <v>50</v>
      </c>
      <c r="E288">
        <v>50</v>
      </c>
      <c r="F288">
        <v>50</v>
      </c>
      <c r="G288">
        <v>50</v>
      </c>
      <c r="H288">
        <v>50</v>
      </c>
      <c r="I288">
        <v>50</v>
      </c>
      <c r="J288">
        <v>50</v>
      </c>
      <c r="K288">
        <v>50</v>
      </c>
      <c r="L288">
        <v>50</v>
      </c>
      <c r="M288">
        <v>50</v>
      </c>
      <c r="N288">
        <v>50</v>
      </c>
      <c r="O288">
        <v>50</v>
      </c>
      <c r="P288">
        <v>50</v>
      </c>
      <c r="Q288">
        <v>50</v>
      </c>
      <c r="R288">
        <v>50</v>
      </c>
      <c r="S288">
        <v>50</v>
      </c>
      <c r="T288">
        <v>50</v>
      </c>
      <c r="U288">
        <v>50</v>
      </c>
      <c r="V288">
        <v>50</v>
      </c>
      <c r="W288">
        <v>50</v>
      </c>
      <c r="X288">
        <v>50</v>
      </c>
      <c r="Y288">
        <v>50</v>
      </c>
      <c r="Z288">
        <v>50</v>
      </c>
      <c r="AA288">
        <v>50</v>
      </c>
      <c r="AB288">
        <v>50</v>
      </c>
      <c r="AC288">
        <v>50</v>
      </c>
      <c r="AD288">
        <v>50</v>
      </c>
      <c r="AE288">
        <v>50</v>
      </c>
      <c r="AF288">
        <v>50</v>
      </c>
      <c r="AG288">
        <v>50</v>
      </c>
      <c r="AH288">
        <v>50</v>
      </c>
      <c r="AI288">
        <v>50</v>
      </c>
      <c r="AJ288">
        <v>50</v>
      </c>
      <c r="AK288">
        <v>50</v>
      </c>
      <c r="AL288">
        <v>50</v>
      </c>
      <c r="AM288">
        <v>50</v>
      </c>
      <c r="AN288">
        <v>50</v>
      </c>
      <c r="AO288">
        <v>50</v>
      </c>
      <c r="AP288">
        <v>50</v>
      </c>
      <c r="AQ288">
        <v>50</v>
      </c>
      <c r="AR288">
        <v>50</v>
      </c>
      <c r="AS288">
        <v>50</v>
      </c>
      <c r="AT288">
        <v>50</v>
      </c>
      <c r="AU288">
        <v>50</v>
      </c>
      <c r="AV288">
        <v>50</v>
      </c>
      <c r="AW288">
        <v>50</v>
      </c>
      <c r="AX288">
        <v>50</v>
      </c>
      <c r="AY288">
        <v>50</v>
      </c>
      <c r="AZ288">
        <v>50</v>
      </c>
      <c r="BA288">
        <v>50</v>
      </c>
      <c r="BB288">
        <v>50</v>
      </c>
      <c r="BC288">
        <v>50</v>
      </c>
      <c r="BD288">
        <v>50</v>
      </c>
      <c r="BE288">
        <v>50</v>
      </c>
      <c r="BF288">
        <v>50</v>
      </c>
      <c r="BG288">
        <v>50</v>
      </c>
      <c r="BH288">
        <v>50</v>
      </c>
      <c r="BI288">
        <v>50</v>
      </c>
      <c r="BJ288">
        <v>50</v>
      </c>
      <c r="BK288">
        <v>50</v>
      </c>
      <c r="BL288">
        <v>50</v>
      </c>
      <c r="BM288">
        <v>50</v>
      </c>
      <c r="BN288">
        <v>50</v>
      </c>
      <c r="BO288">
        <v>50</v>
      </c>
      <c r="BP288">
        <v>50</v>
      </c>
      <c r="BQ288">
        <v>50</v>
      </c>
      <c r="BR288">
        <v>50</v>
      </c>
      <c r="BS288">
        <v>50</v>
      </c>
      <c r="BT288">
        <v>50</v>
      </c>
      <c r="BU288">
        <v>50</v>
      </c>
      <c r="BV288">
        <v>50</v>
      </c>
      <c r="BW288">
        <v>50</v>
      </c>
      <c r="BX288">
        <v>50</v>
      </c>
      <c r="BY288">
        <v>50</v>
      </c>
      <c r="BZ288">
        <v>50</v>
      </c>
      <c r="CA288">
        <v>50</v>
      </c>
    </row>
    <row r="289" spans="1:79" x14ac:dyDescent="0.3">
      <c r="A289" s="155">
        <v>999</v>
      </c>
      <c r="B289" t="s">
        <v>278</v>
      </c>
      <c r="D289">
        <v>50476</v>
      </c>
      <c r="E289">
        <v>50191</v>
      </c>
      <c r="F289">
        <v>50192</v>
      </c>
      <c r="G289">
        <v>50193</v>
      </c>
      <c r="H289">
        <v>50194</v>
      </c>
      <c r="I289">
        <v>50195</v>
      </c>
      <c r="J289">
        <v>50196</v>
      </c>
      <c r="K289">
        <v>50197</v>
      </c>
      <c r="L289">
        <v>50498</v>
      </c>
      <c r="M289">
        <v>50198</v>
      </c>
      <c r="N289">
        <v>50199</v>
      </c>
      <c r="O289">
        <v>50200</v>
      </c>
      <c r="P289">
        <v>50201</v>
      </c>
      <c r="Q289">
        <v>50202</v>
      </c>
      <c r="R289">
        <v>50493</v>
      </c>
      <c r="S289">
        <v>50203</v>
      </c>
      <c r="T289">
        <v>50518</v>
      </c>
      <c r="U289">
        <v>50204</v>
      </c>
      <c r="V289">
        <v>50205</v>
      </c>
      <c r="W289">
        <v>50206</v>
      </c>
      <c r="X289">
        <v>50207</v>
      </c>
      <c r="Y289">
        <v>50208</v>
      </c>
      <c r="Z289">
        <v>50209</v>
      </c>
      <c r="AA289">
        <v>50210</v>
      </c>
      <c r="AB289">
        <v>50519</v>
      </c>
      <c r="AC289">
        <v>50528</v>
      </c>
      <c r="AD289">
        <v>50211</v>
      </c>
      <c r="AE289">
        <v>50212</v>
      </c>
      <c r="AF289">
        <v>50213</v>
      </c>
      <c r="AG289">
        <v>50214</v>
      </c>
      <c r="AH289">
        <v>50215</v>
      </c>
      <c r="AI289">
        <v>50216</v>
      </c>
      <c r="AJ289">
        <v>50217</v>
      </c>
      <c r="AK289">
        <v>50218</v>
      </c>
      <c r="AL289">
        <v>50477</v>
      </c>
      <c r="AM289">
        <v>50520</v>
      </c>
      <c r="AN289">
        <v>50219</v>
      </c>
      <c r="AO289">
        <v>50220</v>
      </c>
      <c r="AP289">
        <v>50536</v>
      </c>
      <c r="AQ289">
        <v>50221</v>
      </c>
      <c r="AR289">
        <v>50222</v>
      </c>
      <c r="AS289">
        <v>50223</v>
      </c>
      <c r="AT289">
        <v>50224</v>
      </c>
      <c r="AU289">
        <v>50225</v>
      </c>
      <c r="AV289">
        <v>50226</v>
      </c>
      <c r="AW289">
        <v>50227</v>
      </c>
      <c r="AX289">
        <v>50455</v>
      </c>
      <c r="AY289">
        <v>50229</v>
      </c>
      <c r="AZ289">
        <v>50230</v>
      </c>
      <c r="BA289">
        <v>50231</v>
      </c>
      <c r="BB289">
        <v>50232</v>
      </c>
      <c r="BC289">
        <v>50233</v>
      </c>
      <c r="BD289">
        <v>50234</v>
      </c>
      <c r="BE289">
        <v>50235</v>
      </c>
      <c r="BF289">
        <v>50236</v>
      </c>
      <c r="BG289">
        <v>50237</v>
      </c>
      <c r="BH289">
        <v>50238</v>
      </c>
      <c r="BI289">
        <v>50444</v>
      </c>
      <c r="BJ289">
        <v>50239</v>
      </c>
      <c r="BK289">
        <v>50240</v>
      </c>
      <c r="BL289">
        <v>50241</v>
      </c>
      <c r="BM289">
        <v>50521</v>
      </c>
      <c r="BN289">
        <v>50242</v>
      </c>
      <c r="BO289">
        <v>50244</v>
      </c>
      <c r="BP289">
        <v>50243</v>
      </c>
      <c r="BQ289">
        <v>50245</v>
      </c>
      <c r="BR289">
        <v>50522</v>
      </c>
      <c r="BS289">
        <v>50246</v>
      </c>
      <c r="BT289">
        <v>50247</v>
      </c>
      <c r="BU289">
        <v>50248</v>
      </c>
      <c r="BV289">
        <v>50249</v>
      </c>
      <c r="BW289">
        <v>50250</v>
      </c>
      <c r="BX289">
        <v>50251</v>
      </c>
      <c r="BY289">
        <v>50252</v>
      </c>
      <c r="BZ289">
        <v>50253</v>
      </c>
      <c r="CA289">
        <v>50454</v>
      </c>
    </row>
    <row r="290" spans="1:79" x14ac:dyDescent="0.3">
      <c r="A290" s="155">
        <v>9000</v>
      </c>
      <c r="B290" t="s">
        <v>1028</v>
      </c>
      <c r="C290" t="s">
        <v>351</v>
      </c>
      <c r="D290">
        <v>45533121.225000001</v>
      </c>
      <c r="E290">
        <v>544631042.73500001</v>
      </c>
      <c r="F290">
        <v>17709809.164999999</v>
      </c>
      <c r="G290">
        <v>2455212707.802</v>
      </c>
      <c r="H290">
        <v>272263670.13800001</v>
      </c>
      <c r="I290">
        <v>13231680.800000001</v>
      </c>
      <c r="J290">
        <v>112530301.16</v>
      </c>
      <c r="K290">
        <v>78349394.329999998</v>
      </c>
      <c r="L290">
        <v>2668379996.5799999</v>
      </c>
      <c r="M290">
        <v>2947991.37</v>
      </c>
      <c r="N290">
        <v>49032112.369999997</v>
      </c>
      <c r="O290">
        <v>87286284.519999996</v>
      </c>
      <c r="P290">
        <v>981997571.13999999</v>
      </c>
      <c r="Q290">
        <v>646478814.77999997</v>
      </c>
      <c r="R290">
        <v>337972926.06480002</v>
      </c>
      <c r="S290">
        <v>900178218.41999996</v>
      </c>
      <c r="T290">
        <v>50568.01</v>
      </c>
      <c r="U290">
        <v>1638120289.4300001</v>
      </c>
      <c r="V290">
        <v>2132122.3199999998</v>
      </c>
      <c r="W290">
        <v>259713239.66999999</v>
      </c>
      <c r="X290">
        <v>657946838.90999997</v>
      </c>
      <c r="Y290">
        <v>212618834.80000001</v>
      </c>
      <c r="Z290">
        <v>190657709.602</v>
      </c>
      <c r="AA290">
        <v>178469182.84</v>
      </c>
      <c r="AB290">
        <v>20126237.190000001</v>
      </c>
      <c r="AC290">
        <v>8946711.8526000008</v>
      </c>
      <c r="AD290">
        <v>90549210.159999996</v>
      </c>
      <c r="AE290">
        <v>232859070.09</v>
      </c>
      <c r="AF290">
        <v>10083461</v>
      </c>
      <c r="AG290">
        <v>1406320.3</v>
      </c>
      <c r="AH290">
        <v>7144264.7300000004</v>
      </c>
      <c r="AI290">
        <v>56626654.125</v>
      </c>
      <c r="AJ290">
        <v>581797979.71000004</v>
      </c>
      <c r="AK290">
        <v>16667268.43</v>
      </c>
      <c r="AL290">
        <v>1085609.4099999999</v>
      </c>
      <c r="AM290">
        <v>810637655.26999998</v>
      </c>
      <c r="AN290">
        <v>896655209.33850002</v>
      </c>
      <c r="AO290">
        <v>50270.01</v>
      </c>
      <c r="AP290">
        <v>131228972.707</v>
      </c>
      <c r="AQ290">
        <v>1638881194.75</v>
      </c>
      <c r="AR290">
        <v>93107909.180000007</v>
      </c>
      <c r="AS290">
        <v>40633822.700000003</v>
      </c>
      <c r="AT290">
        <v>128234763.53</v>
      </c>
      <c r="AU290">
        <v>632520254.75</v>
      </c>
      <c r="AV290">
        <v>21472916.899999999</v>
      </c>
      <c r="AW290">
        <v>50277.01</v>
      </c>
      <c r="AX290">
        <v>163471960.22</v>
      </c>
      <c r="AY290">
        <v>137329383.75999999</v>
      </c>
      <c r="AZ290">
        <v>271577621.72000003</v>
      </c>
      <c r="BA290">
        <v>1751340.37</v>
      </c>
      <c r="BB290">
        <v>82991984.799999997</v>
      </c>
      <c r="BC290">
        <v>50283.1</v>
      </c>
      <c r="BD290">
        <v>3603797.81</v>
      </c>
      <c r="BE290">
        <v>1235795871.28</v>
      </c>
      <c r="BF290">
        <v>27942206.120000001</v>
      </c>
      <c r="BG290">
        <v>2339803.04</v>
      </c>
      <c r="BH290">
        <v>132762628.09</v>
      </c>
      <c r="BI290">
        <v>123819769.34999999</v>
      </c>
      <c r="BJ290">
        <v>40482701.609999999</v>
      </c>
      <c r="BK290">
        <v>353405114.12</v>
      </c>
      <c r="BL290">
        <v>190676976.31</v>
      </c>
      <c r="BM290">
        <v>1372950</v>
      </c>
      <c r="BN290">
        <v>281286940.75</v>
      </c>
      <c r="BO290">
        <v>146873341.19999999</v>
      </c>
      <c r="BP290">
        <v>75195513.769999996</v>
      </c>
      <c r="BQ290">
        <v>86920862.260000005</v>
      </c>
      <c r="BR290">
        <v>65428720.140000001</v>
      </c>
      <c r="BS290">
        <v>1081568478.0150001</v>
      </c>
      <c r="BT290">
        <v>85882731.299999997</v>
      </c>
      <c r="BU290">
        <v>161446690.16999999</v>
      </c>
      <c r="BV290">
        <v>52331713.740000002</v>
      </c>
      <c r="BW290">
        <v>50325534.799999997</v>
      </c>
      <c r="BX290">
        <v>1745946.18</v>
      </c>
      <c r="BY290">
        <v>1994869.06</v>
      </c>
      <c r="BZ290">
        <v>867773962.91999996</v>
      </c>
      <c r="CA290">
        <v>2157396.36</v>
      </c>
    </row>
    <row r="291" spans="1:79" x14ac:dyDescent="0.3">
      <c r="A291" s="155">
        <v>9001</v>
      </c>
      <c r="B291" t="s">
        <v>1029</v>
      </c>
      <c r="C291" t="s">
        <v>1030</v>
      </c>
      <c r="D291">
        <v>6574829</v>
      </c>
      <c r="E291">
        <v>87756751</v>
      </c>
      <c r="F291">
        <v>837116</v>
      </c>
      <c r="G291">
        <v>170888898</v>
      </c>
      <c r="H291">
        <v>16646056</v>
      </c>
      <c r="I291">
        <v>806733</v>
      </c>
      <c r="J291">
        <v>3915329</v>
      </c>
      <c r="K291">
        <v>5181227</v>
      </c>
      <c r="L291">
        <v>336522359</v>
      </c>
      <c r="M291">
        <v>373048</v>
      </c>
      <c r="N291">
        <v>2464585</v>
      </c>
      <c r="O291">
        <v>3044451</v>
      </c>
      <c r="P291">
        <v>183432414</v>
      </c>
      <c r="Q291">
        <v>60737146</v>
      </c>
      <c r="R291">
        <v>15757151</v>
      </c>
      <c r="S291">
        <v>36218040</v>
      </c>
      <c r="T291">
        <v>0</v>
      </c>
      <c r="U291">
        <v>54455531</v>
      </c>
      <c r="V291">
        <v>272392</v>
      </c>
      <c r="W291">
        <v>31042599</v>
      </c>
      <c r="X291">
        <v>133962029</v>
      </c>
      <c r="Y291">
        <v>19621644</v>
      </c>
      <c r="Z291">
        <v>5591736</v>
      </c>
      <c r="AA291">
        <v>16360644</v>
      </c>
      <c r="AB291">
        <v>1802208</v>
      </c>
      <c r="AC291">
        <v>522547</v>
      </c>
      <c r="AD291">
        <v>3958287</v>
      </c>
      <c r="AE291">
        <v>10530310</v>
      </c>
      <c r="AF291">
        <v>1337233</v>
      </c>
      <c r="AG291">
        <v>181148</v>
      </c>
      <c r="AH291">
        <v>1305218</v>
      </c>
      <c r="AI291">
        <v>5115160</v>
      </c>
      <c r="AJ291">
        <v>19298553</v>
      </c>
      <c r="AK291">
        <v>1018117</v>
      </c>
      <c r="AL291">
        <v>147125</v>
      </c>
      <c r="AM291">
        <v>131337265</v>
      </c>
      <c r="AN291">
        <v>45091471</v>
      </c>
      <c r="AO291">
        <v>0</v>
      </c>
      <c r="AP291">
        <v>22802072</v>
      </c>
      <c r="AQ291">
        <v>78052097</v>
      </c>
      <c r="AR291">
        <v>5439831</v>
      </c>
      <c r="AS291">
        <v>2887387</v>
      </c>
      <c r="AT291">
        <v>11006860</v>
      </c>
      <c r="AU291">
        <v>31369179</v>
      </c>
      <c r="AV291">
        <v>1084614</v>
      </c>
      <c r="AW291">
        <v>0</v>
      </c>
      <c r="AX291">
        <v>17280523</v>
      </c>
      <c r="AY291">
        <v>7042466</v>
      </c>
      <c r="AZ291">
        <v>11411375</v>
      </c>
      <c r="BA291">
        <v>182825</v>
      </c>
      <c r="BB291">
        <v>4681794</v>
      </c>
      <c r="BC291">
        <v>0</v>
      </c>
      <c r="BD291">
        <v>433085</v>
      </c>
      <c r="BE291">
        <v>65491152</v>
      </c>
      <c r="BF291">
        <v>996611</v>
      </c>
      <c r="BG291">
        <v>267031</v>
      </c>
      <c r="BH291">
        <v>10134826</v>
      </c>
      <c r="BI291">
        <v>12289427</v>
      </c>
      <c r="BJ291">
        <v>1165899</v>
      </c>
      <c r="BK291">
        <v>16790416</v>
      </c>
      <c r="BL291">
        <v>16415699</v>
      </c>
      <c r="BM291">
        <v>209754</v>
      </c>
      <c r="BN291">
        <v>18199607</v>
      </c>
      <c r="BO291">
        <v>8771121</v>
      </c>
      <c r="BP291">
        <v>2423574</v>
      </c>
      <c r="BQ291">
        <v>3458724</v>
      </c>
      <c r="BR291">
        <v>14570932</v>
      </c>
      <c r="BS291">
        <v>280528944</v>
      </c>
      <c r="BT291">
        <v>5564026</v>
      </c>
      <c r="BU291">
        <v>6308842</v>
      </c>
      <c r="BV291">
        <v>2369609</v>
      </c>
      <c r="BW291">
        <v>4916431</v>
      </c>
      <c r="BX291">
        <v>205702</v>
      </c>
      <c r="BY291">
        <v>235597</v>
      </c>
      <c r="BZ291">
        <v>86753627</v>
      </c>
      <c r="CA291">
        <v>353728</v>
      </c>
    </row>
    <row r="292" spans="1:79" x14ac:dyDescent="0.3">
      <c r="A292" s="155">
        <v>9002</v>
      </c>
      <c r="B292" t="s">
        <v>1031</v>
      </c>
      <c r="C292" t="s">
        <v>1032</v>
      </c>
      <c r="D292">
        <v>164184</v>
      </c>
      <c r="E292">
        <v>2799837</v>
      </c>
      <c r="F292">
        <v>117964</v>
      </c>
      <c r="G292">
        <v>8586725</v>
      </c>
      <c r="H292">
        <v>688826</v>
      </c>
      <c r="I292">
        <v>15383</v>
      </c>
      <c r="J292">
        <v>41323</v>
      </c>
      <c r="K292">
        <v>62084</v>
      </c>
      <c r="L292">
        <v>21086181</v>
      </c>
      <c r="M292">
        <v>14081</v>
      </c>
      <c r="N292">
        <v>46674</v>
      </c>
      <c r="O292">
        <v>100074</v>
      </c>
      <c r="P292">
        <v>8118225</v>
      </c>
      <c r="Q292">
        <v>4241686</v>
      </c>
      <c r="R292">
        <v>756026</v>
      </c>
      <c r="S292">
        <v>2370798</v>
      </c>
      <c r="T292">
        <v>0</v>
      </c>
      <c r="U292">
        <v>4056092</v>
      </c>
      <c r="V292">
        <v>704</v>
      </c>
      <c r="W292">
        <v>2572786</v>
      </c>
      <c r="X292">
        <v>3293682</v>
      </c>
      <c r="Y292">
        <v>949060</v>
      </c>
      <c r="Z292">
        <v>116290</v>
      </c>
      <c r="AA292">
        <v>552250</v>
      </c>
      <c r="AB292">
        <v>20945</v>
      </c>
      <c r="AC292">
        <v>9324</v>
      </c>
      <c r="AD292">
        <v>73874</v>
      </c>
      <c r="AE292">
        <v>174462</v>
      </c>
      <c r="AF292">
        <v>9021</v>
      </c>
      <c r="AG292">
        <v>1346</v>
      </c>
      <c r="AH292">
        <v>436</v>
      </c>
      <c r="AI292">
        <v>75331</v>
      </c>
      <c r="AJ292">
        <v>773783</v>
      </c>
      <c r="AK292">
        <v>5610</v>
      </c>
      <c r="AL292">
        <v>769</v>
      </c>
      <c r="AM292">
        <v>3695311</v>
      </c>
      <c r="AN292">
        <v>2988047</v>
      </c>
      <c r="AO292">
        <v>0</v>
      </c>
      <c r="AP292">
        <v>821487</v>
      </c>
      <c r="AQ292">
        <v>3732390</v>
      </c>
      <c r="AR292">
        <v>319827</v>
      </c>
      <c r="AS292">
        <v>142705</v>
      </c>
      <c r="AT292">
        <v>365880</v>
      </c>
      <c r="AU292">
        <v>846355</v>
      </c>
      <c r="AV292">
        <v>4936</v>
      </c>
      <c r="AW292">
        <v>0</v>
      </c>
      <c r="AX292">
        <v>627526</v>
      </c>
      <c r="AY292">
        <v>190083</v>
      </c>
      <c r="AZ292">
        <v>423886</v>
      </c>
      <c r="BA292">
        <v>0</v>
      </c>
      <c r="BB292">
        <v>184958</v>
      </c>
      <c r="BC292">
        <v>0</v>
      </c>
      <c r="BD292">
        <v>3352</v>
      </c>
      <c r="BE292">
        <v>4167761</v>
      </c>
      <c r="BF292">
        <v>20376</v>
      </c>
      <c r="BG292">
        <v>1857</v>
      </c>
      <c r="BH292">
        <v>43619</v>
      </c>
      <c r="BI292">
        <v>169344</v>
      </c>
      <c r="BJ292">
        <v>43702</v>
      </c>
      <c r="BK292">
        <v>385598</v>
      </c>
      <c r="BL292">
        <v>165031</v>
      </c>
      <c r="BM292">
        <v>0</v>
      </c>
      <c r="BN292">
        <v>932613</v>
      </c>
      <c r="BO292">
        <v>74705</v>
      </c>
      <c r="BP292">
        <v>32852</v>
      </c>
      <c r="BQ292">
        <v>33637</v>
      </c>
      <c r="BR292">
        <v>347934</v>
      </c>
      <c r="BS292">
        <v>3134763</v>
      </c>
      <c r="BT292">
        <v>167015</v>
      </c>
      <c r="BU292">
        <v>4815168</v>
      </c>
      <c r="BV292">
        <v>120136</v>
      </c>
      <c r="BW292">
        <v>13281</v>
      </c>
      <c r="BX292">
        <v>0</v>
      </c>
      <c r="BY292">
        <v>0</v>
      </c>
      <c r="BZ292">
        <v>3872041</v>
      </c>
      <c r="CA292">
        <v>3201</v>
      </c>
    </row>
    <row r="293" spans="1:79" ht="28.8" x14ac:dyDescent="0.3">
      <c r="A293" s="155">
        <v>9003</v>
      </c>
      <c r="B293" s="527" t="s">
        <v>1033</v>
      </c>
      <c r="C293" t="s">
        <v>1034</v>
      </c>
      <c r="D293">
        <v>2238469</v>
      </c>
      <c r="E293">
        <v>16160606</v>
      </c>
      <c r="F293">
        <v>183129</v>
      </c>
      <c r="G293">
        <v>44447928</v>
      </c>
      <c r="H293">
        <v>0</v>
      </c>
      <c r="I293">
        <v>486912</v>
      </c>
      <c r="J293">
        <v>524333</v>
      </c>
      <c r="K293">
        <v>2288682</v>
      </c>
      <c r="L293">
        <v>230038665</v>
      </c>
      <c r="M293">
        <v>14081</v>
      </c>
      <c r="N293">
        <v>1100857</v>
      </c>
      <c r="O293">
        <v>963192</v>
      </c>
      <c r="P293">
        <v>50859018</v>
      </c>
      <c r="Q293">
        <v>24087414</v>
      </c>
      <c r="R293">
        <v>5446425</v>
      </c>
      <c r="S293">
        <v>21082398</v>
      </c>
      <c r="T293">
        <v>0</v>
      </c>
      <c r="U293">
        <v>29264769</v>
      </c>
      <c r="V293">
        <v>704</v>
      </c>
      <c r="W293">
        <v>7450684</v>
      </c>
      <c r="X293">
        <v>29041933</v>
      </c>
      <c r="Y293">
        <v>8869543</v>
      </c>
      <c r="Z293">
        <v>498801</v>
      </c>
      <c r="AA293">
        <v>7292099</v>
      </c>
      <c r="AB293">
        <v>21061</v>
      </c>
      <c r="AC293">
        <v>9324</v>
      </c>
      <c r="AD293">
        <v>322449</v>
      </c>
      <c r="AE293">
        <v>1725106</v>
      </c>
      <c r="AF293">
        <v>9021</v>
      </c>
      <c r="AG293">
        <v>1346</v>
      </c>
      <c r="AH293">
        <v>436</v>
      </c>
      <c r="AI293">
        <v>952530</v>
      </c>
      <c r="AJ293">
        <v>11177551</v>
      </c>
      <c r="AK293">
        <v>5610</v>
      </c>
      <c r="AL293">
        <v>769</v>
      </c>
      <c r="AM293">
        <v>20634226</v>
      </c>
      <c r="AN293">
        <v>13239503</v>
      </c>
      <c r="AO293">
        <v>0</v>
      </c>
      <c r="AP293">
        <v>2870133</v>
      </c>
      <c r="AQ293">
        <v>37293844</v>
      </c>
      <c r="AR293">
        <v>1496672</v>
      </c>
      <c r="AS293">
        <v>1304470</v>
      </c>
      <c r="AT293">
        <v>6285943</v>
      </c>
      <c r="AU293">
        <v>16323472</v>
      </c>
      <c r="AV293">
        <v>6473</v>
      </c>
      <c r="AW293">
        <v>0</v>
      </c>
      <c r="AX293">
        <v>3258267</v>
      </c>
      <c r="AY293">
        <v>2633371</v>
      </c>
      <c r="AZ293">
        <v>3944305</v>
      </c>
      <c r="BA293">
        <v>0</v>
      </c>
      <c r="BB293">
        <v>1730659</v>
      </c>
      <c r="BC293">
        <v>0</v>
      </c>
      <c r="BD293">
        <v>3352</v>
      </c>
      <c r="BE293">
        <v>68750645</v>
      </c>
      <c r="BF293">
        <v>36702</v>
      </c>
      <c r="BG293">
        <v>1857</v>
      </c>
      <c r="BH293">
        <v>6982861</v>
      </c>
      <c r="BI293">
        <v>1294784</v>
      </c>
      <c r="BJ293">
        <v>245456</v>
      </c>
      <c r="BK293">
        <v>4091608</v>
      </c>
      <c r="BL293">
        <v>3864944</v>
      </c>
      <c r="BM293">
        <v>0</v>
      </c>
      <c r="BN293">
        <v>5377467</v>
      </c>
      <c r="BO293">
        <v>650209</v>
      </c>
      <c r="BP293">
        <v>272388</v>
      </c>
      <c r="BQ293">
        <v>878039</v>
      </c>
      <c r="BR293">
        <v>1590670</v>
      </c>
      <c r="BS293">
        <v>17388355</v>
      </c>
      <c r="BT293">
        <v>1288723</v>
      </c>
      <c r="BU293">
        <v>5248533</v>
      </c>
      <c r="BV293">
        <v>465518</v>
      </c>
      <c r="BW293">
        <v>61417</v>
      </c>
      <c r="BX293">
        <v>0</v>
      </c>
      <c r="BY293">
        <v>0</v>
      </c>
      <c r="BZ293">
        <v>25868243</v>
      </c>
      <c r="CA293">
        <v>31005</v>
      </c>
    </row>
    <row r="294" spans="1:79" x14ac:dyDescent="0.3">
      <c r="A294" s="155">
        <v>9004</v>
      </c>
      <c r="B294" t="s">
        <v>1035</v>
      </c>
      <c r="C294" t="s">
        <v>1036</v>
      </c>
      <c r="D294" t="s">
        <v>351</v>
      </c>
      <c r="E294" t="s">
        <v>351</v>
      </c>
      <c r="F294" t="s">
        <v>1037</v>
      </c>
      <c r="G294" t="s">
        <v>1037</v>
      </c>
      <c r="H294" t="s">
        <v>1037</v>
      </c>
      <c r="I294" t="s">
        <v>1037</v>
      </c>
      <c r="J294" t="s">
        <v>1037</v>
      </c>
      <c r="K294" t="s">
        <v>1037</v>
      </c>
      <c r="L294" t="s">
        <v>1037</v>
      </c>
      <c r="M294" t="s">
        <v>351</v>
      </c>
      <c r="N294" t="s">
        <v>1037</v>
      </c>
      <c r="O294" t="s">
        <v>1037</v>
      </c>
      <c r="P294" t="s">
        <v>351</v>
      </c>
      <c r="Q294" t="s">
        <v>1037</v>
      </c>
      <c r="R294" t="s">
        <v>1037</v>
      </c>
      <c r="S294" t="s">
        <v>1037</v>
      </c>
      <c r="T294" t="s">
        <v>1037</v>
      </c>
      <c r="U294" t="s">
        <v>1037</v>
      </c>
      <c r="V294" t="s">
        <v>351</v>
      </c>
      <c r="W294" t="s">
        <v>351</v>
      </c>
      <c r="X294" t="s">
        <v>351</v>
      </c>
      <c r="Y294" t="s">
        <v>1037</v>
      </c>
      <c r="Z294" t="s">
        <v>1037</v>
      </c>
      <c r="AA294" t="s">
        <v>1037</v>
      </c>
      <c r="AB294" t="s">
        <v>351</v>
      </c>
      <c r="AC294" t="s">
        <v>1037</v>
      </c>
      <c r="AD294" t="s">
        <v>1037</v>
      </c>
      <c r="AE294" t="s">
        <v>1037</v>
      </c>
      <c r="AF294" t="s">
        <v>1037</v>
      </c>
      <c r="AG294" t="s">
        <v>351</v>
      </c>
      <c r="AH294" t="s">
        <v>351</v>
      </c>
      <c r="AI294" t="s">
        <v>351</v>
      </c>
      <c r="AJ294" t="s">
        <v>1037</v>
      </c>
      <c r="AK294" t="s">
        <v>1037</v>
      </c>
      <c r="AL294" t="s">
        <v>351</v>
      </c>
      <c r="AM294" t="s">
        <v>351</v>
      </c>
      <c r="AN294" t="s">
        <v>1037</v>
      </c>
      <c r="AO294" t="s">
        <v>1037</v>
      </c>
      <c r="AP294" t="s">
        <v>351</v>
      </c>
      <c r="AQ294" t="s">
        <v>1037</v>
      </c>
      <c r="AR294" t="s">
        <v>1037</v>
      </c>
      <c r="AS294" t="s">
        <v>1037</v>
      </c>
      <c r="AT294" t="s">
        <v>1037</v>
      </c>
      <c r="AU294" t="s">
        <v>1037</v>
      </c>
      <c r="AV294" t="s">
        <v>1037</v>
      </c>
      <c r="AW294" t="s">
        <v>1037</v>
      </c>
      <c r="AX294" t="s">
        <v>1037</v>
      </c>
      <c r="AY294" t="s">
        <v>1037</v>
      </c>
      <c r="AZ294" t="s">
        <v>1037</v>
      </c>
      <c r="BA294" t="s">
        <v>1037</v>
      </c>
      <c r="BB294" t="s">
        <v>1037</v>
      </c>
      <c r="BC294" t="s">
        <v>1037</v>
      </c>
      <c r="BD294" t="s">
        <v>351</v>
      </c>
      <c r="BE294" t="s">
        <v>1037</v>
      </c>
      <c r="BF294" t="s">
        <v>1037</v>
      </c>
      <c r="BG294" t="s">
        <v>351</v>
      </c>
      <c r="BH294" t="s">
        <v>1037</v>
      </c>
      <c r="BI294" t="s">
        <v>1037</v>
      </c>
      <c r="BJ294" t="s">
        <v>1037</v>
      </c>
      <c r="BK294" t="s">
        <v>1037</v>
      </c>
      <c r="BL294" t="s">
        <v>1037</v>
      </c>
      <c r="BM294" t="s">
        <v>351</v>
      </c>
      <c r="BN294" t="s">
        <v>1037</v>
      </c>
      <c r="BO294" t="s">
        <v>1037</v>
      </c>
      <c r="BP294" t="s">
        <v>1037</v>
      </c>
      <c r="BQ294" t="s">
        <v>1037</v>
      </c>
      <c r="BR294" t="s">
        <v>351</v>
      </c>
      <c r="BS294" t="s">
        <v>351</v>
      </c>
      <c r="BT294" t="s">
        <v>1037</v>
      </c>
      <c r="BU294" t="s">
        <v>1037</v>
      </c>
      <c r="BV294" t="s">
        <v>1037</v>
      </c>
      <c r="BW294" t="s">
        <v>1037</v>
      </c>
      <c r="BX294" t="s">
        <v>351</v>
      </c>
      <c r="BY294" t="s">
        <v>351</v>
      </c>
      <c r="BZ294" t="s">
        <v>1037</v>
      </c>
      <c r="CA294" t="s">
        <v>351</v>
      </c>
    </row>
    <row r="295" spans="1:79" ht="22.2" customHeight="1" x14ac:dyDescent="0.3">
      <c r="A295" s="155">
        <v>9005</v>
      </c>
      <c r="B295" t="s">
        <v>1038</v>
      </c>
      <c r="C295" t="s">
        <v>1039</v>
      </c>
      <c r="D295">
        <v>499680</v>
      </c>
      <c r="E295">
        <v>21722589</v>
      </c>
      <c r="F295">
        <v>494191</v>
      </c>
      <c r="G295">
        <v>24078945</v>
      </c>
      <c r="H295">
        <v>3480953</v>
      </c>
      <c r="I295">
        <v>418708</v>
      </c>
      <c r="J295">
        <v>2495493</v>
      </c>
      <c r="K295">
        <v>1179324</v>
      </c>
      <c r="L295">
        <v>21779714</v>
      </c>
      <c r="M295">
        <v>229983</v>
      </c>
      <c r="N295">
        <v>582808</v>
      </c>
      <c r="O295">
        <v>794254</v>
      </c>
      <c r="P295">
        <v>10675284</v>
      </c>
      <c r="Q295">
        <v>18264631</v>
      </c>
      <c r="R295">
        <v>2695897</v>
      </c>
      <c r="S295">
        <v>8540760</v>
      </c>
      <c r="T295">
        <v>0</v>
      </c>
      <c r="U295">
        <v>5757506</v>
      </c>
      <c r="V295">
        <v>164674</v>
      </c>
      <c r="W295">
        <v>12713897</v>
      </c>
      <c r="X295">
        <v>6406756</v>
      </c>
      <c r="Y295">
        <v>5342498</v>
      </c>
      <c r="Z295">
        <v>2072018</v>
      </c>
      <c r="AA295">
        <v>4091618</v>
      </c>
      <c r="AB295">
        <v>1249690</v>
      </c>
      <c r="AC295">
        <v>177182</v>
      </c>
      <c r="AD295">
        <v>1329736</v>
      </c>
      <c r="AE295">
        <v>1736375</v>
      </c>
      <c r="AF295">
        <v>76982</v>
      </c>
      <c r="AG295">
        <v>72492</v>
      </c>
      <c r="AH295">
        <v>148435</v>
      </c>
      <c r="AI295">
        <v>2654417</v>
      </c>
      <c r="AJ295">
        <v>2853741</v>
      </c>
      <c r="AK295">
        <v>294803</v>
      </c>
      <c r="AL295">
        <v>121667</v>
      </c>
      <c r="AM295">
        <v>11674197</v>
      </c>
      <c r="AN295">
        <v>12785106</v>
      </c>
      <c r="AO295">
        <v>0</v>
      </c>
      <c r="AP295">
        <v>5249133</v>
      </c>
      <c r="AQ295">
        <v>9332636</v>
      </c>
      <c r="AR295">
        <v>2430346</v>
      </c>
      <c r="AS295">
        <v>518881</v>
      </c>
      <c r="AT295">
        <v>1632310</v>
      </c>
      <c r="AU295">
        <v>4251091</v>
      </c>
      <c r="AV295">
        <v>191074</v>
      </c>
      <c r="AW295">
        <v>0</v>
      </c>
      <c r="AX295">
        <v>3590984</v>
      </c>
      <c r="AY295">
        <v>2631493</v>
      </c>
      <c r="AZ295">
        <v>1343449</v>
      </c>
      <c r="BA295">
        <v>113831</v>
      </c>
      <c r="BB295">
        <v>1774444</v>
      </c>
      <c r="BC295">
        <v>0</v>
      </c>
      <c r="BD295">
        <v>389859</v>
      </c>
      <c r="BE295">
        <v>2171505</v>
      </c>
      <c r="BF295">
        <v>614934</v>
      </c>
      <c r="BG295">
        <v>179679</v>
      </c>
      <c r="BH295">
        <v>3088583</v>
      </c>
      <c r="BI295">
        <v>3721568</v>
      </c>
      <c r="BJ295">
        <v>157332</v>
      </c>
      <c r="BK295">
        <v>3527456</v>
      </c>
      <c r="BL295">
        <v>6361301</v>
      </c>
      <c r="BM295">
        <v>160550</v>
      </c>
      <c r="BN295">
        <v>3604912</v>
      </c>
      <c r="BO295">
        <v>4103376</v>
      </c>
      <c r="BP295">
        <v>1306048</v>
      </c>
      <c r="BQ295">
        <v>578087</v>
      </c>
      <c r="BR295">
        <v>2251798</v>
      </c>
      <c r="BS295">
        <v>10709284</v>
      </c>
      <c r="BT295">
        <v>2396822</v>
      </c>
      <c r="BU295">
        <v>1925014</v>
      </c>
      <c r="BV295">
        <v>847906</v>
      </c>
      <c r="BW295">
        <v>1011215</v>
      </c>
      <c r="BX295">
        <v>177412</v>
      </c>
      <c r="BY295">
        <v>186933</v>
      </c>
      <c r="BZ295">
        <v>12284871</v>
      </c>
      <c r="CA295">
        <v>85769</v>
      </c>
    </row>
    <row r="296" spans="1:79" ht="19.2" customHeight="1" x14ac:dyDescent="0.3">
      <c r="A296" s="155">
        <v>9006</v>
      </c>
      <c r="B296" t="s">
        <v>1040</v>
      </c>
      <c r="C296" t="s">
        <v>1041</v>
      </c>
      <c r="D296">
        <v>2347955</v>
      </c>
      <c r="E296">
        <v>13535404</v>
      </c>
      <c r="F296">
        <v>359447</v>
      </c>
      <c r="G296">
        <v>49780904</v>
      </c>
      <c r="H296">
        <v>5562487</v>
      </c>
      <c r="I296">
        <v>270150</v>
      </c>
      <c r="J296">
        <v>1508178</v>
      </c>
      <c r="K296">
        <v>1957540</v>
      </c>
      <c r="L296">
        <v>47010834</v>
      </c>
      <c r="M296">
        <v>82771</v>
      </c>
      <c r="N296">
        <v>831445</v>
      </c>
      <c r="O296">
        <v>1480093</v>
      </c>
      <c r="P296">
        <v>37836016</v>
      </c>
      <c r="Q296">
        <v>20156025</v>
      </c>
      <c r="R296">
        <v>7037392</v>
      </c>
      <c r="S296">
        <v>18847561</v>
      </c>
      <c r="T296">
        <v>0</v>
      </c>
      <c r="U296">
        <v>21555111</v>
      </c>
      <c r="V296">
        <v>29184</v>
      </c>
      <c r="W296">
        <v>10360206</v>
      </c>
      <c r="X296">
        <v>18595712</v>
      </c>
      <c r="Y296">
        <v>5769562</v>
      </c>
      <c r="Z296">
        <v>1561521</v>
      </c>
      <c r="AA296">
        <v>5978405</v>
      </c>
      <c r="AB296">
        <v>1321566</v>
      </c>
      <c r="AC296">
        <v>389912</v>
      </c>
      <c r="AD296">
        <v>1166914</v>
      </c>
      <c r="AE296">
        <v>3859070</v>
      </c>
      <c r="AF296">
        <v>122794</v>
      </c>
      <c r="AG296">
        <v>43000</v>
      </c>
      <c r="AH296">
        <v>117135</v>
      </c>
      <c r="AI296">
        <v>2406852</v>
      </c>
      <c r="AJ296">
        <v>7532764</v>
      </c>
      <c r="AK296">
        <v>225083</v>
      </c>
      <c r="AL296">
        <v>24268</v>
      </c>
      <c r="AM296">
        <v>22444565</v>
      </c>
      <c r="AN296">
        <v>18099980</v>
      </c>
      <c r="AO296">
        <v>0</v>
      </c>
      <c r="AP296">
        <v>6449059</v>
      </c>
      <c r="AQ296">
        <v>22411131</v>
      </c>
      <c r="AR296">
        <v>2987458</v>
      </c>
      <c r="AS296">
        <v>588872</v>
      </c>
      <c r="AT296">
        <v>5111253</v>
      </c>
      <c r="AU296">
        <v>13375219</v>
      </c>
      <c r="AV296">
        <v>129719</v>
      </c>
      <c r="AW296">
        <v>0</v>
      </c>
      <c r="AX296">
        <v>3549037</v>
      </c>
      <c r="AY296">
        <v>4120487</v>
      </c>
      <c r="AZ296">
        <v>4312961</v>
      </c>
      <c r="BA296">
        <v>55229</v>
      </c>
      <c r="BB296">
        <v>2430436</v>
      </c>
      <c r="BC296">
        <v>0</v>
      </c>
      <c r="BD296">
        <v>72957</v>
      </c>
      <c r="BE296">
        <v>26905746</v>
      </c>
      <c r="BF296">
        <v>207430</v>
      </c>
      <c r="BG296">
        <v>51967</v>
      </c>
      <c r="BH296">
        <v>2812543</v>
      </c>
      <c r="BI296">
        <v>2684796</v>
      </c>
      <c r="BJ296">
        <v>649606</v>
      </c>
      <c r="BK296">
        <v>9279766</v>
      </c>
      <c r="BL296">
        <v>4639312</v>
      </c>
      <c r="BM296">
        <v>36442</v>
      </c>
      <c r="BN296">
        <v>8117392</v>
      </c>
      <c r="BO296">
        <v>1764238</v>
      </c>
      <c r="BP296">
        <v>1331289</v>
      </c>
      <c r="BQ296">
        <v>4249029</v>
      </c>
      <c r="BR296">
        <v>1367261</v>
      </c>
      <c r="BS296">
        <v>23089974</v>
      </c>
      <c r="BT296">
        <v>2159132</v>
      </c>
      <c r="BU296">
        <v>2736879</v>
      </c>
      <c r="BV296">
        <v>1157270</v>
      </c>
      <c r="BW296">
        <v>755051</v>
      </c>
      <c r="BX296">
        <v>31175</v>
      </c>
      <c r="BY296">
        <v>52367</v>
      </c>
      <c r="BZ296">
        <v>19977707</v>
      </c>
      <c r="CA296">
        <v>84272</v>
      </c>
    </row>
    <row r="297" spans="1:79" ht="28.8" x14ac:dyDescent="0.3">
      <c r="A297" s="155">
        <v>9007</v>
      </c>
      <c r="B297" s="527" t="s">
        <v>1607</v>
      </c>
      <c r="C297" s="527" t="s">
        <v>1042</v>
      </c>
      <c r="D297">
        <v>0.21279999999999999</v>
      </c>
      <c r="E297">
        <v>1.6049</v>
      </c>
      <c r="F297">
        <v>1.3749</v>
      </c>
      <c r="G297">
        <v>0.48370000000000002</v>
      </c>
      <c r="H297">
        <v>0.62580000000000002</v>
      </c>
      <c r="I297">
        <v>1.5499000000000001</v>
      </c>
      <c r="J297">
        <v>1.6546000000000001</v>
      </c>
      <c r="K297">
        <v>0.60250000000000004</v>
      </c>
      <c r="L297">
        <v>0.46329999999999999</v>
      </c>
      <c r="M297">
        <v>2.7785000000000002</v>
      </c>
      <c r="N297">
        <v>0.70099999999999996</v>
      </c>
      <c r="O297">
        <v>0.53659999999999997</v>
      </c>
      <c r="P297">
        <v>0.28210000000000002</v>
      </c>
      <c r="Q297">
        <v>0.90620000000000001</v>
      </c>
      <c r="R297">
        <v>0.3831</v>
      </c>
      <c r="S297">
        <v>0.4531</v>
      </c>
      <c r="T297">
        <v>0</v>
      </c>
      <c r="U297">
        <v>0.2671</v>
      </c>
      <c r="V297">
        <v>5.6425999999999998</v>
      </c>
      <c r="W297">
        <v>1.2272000000000001</v>
      </c>
      <c r="X297">
        <v>0.34449999999999997</v>
      </c>
      <c r="Y297">
        <v>0.92600000000000005</v>
      </c>
      <c r="Z297" s="180">
        <v>1.3269</v>
      </c>
      <c r="AA297">
        <v>0.68440000000000001</v>
      </c>
      <c r="AB297">
        <v>0.9456</v>
      </c>
      <c r="AC297">
        <v>0.45440000000000003</v>
      </c>
      <c r="AD297">
        <v>1.1395</v>
      </c>
      <c r="AE297">
        <v>0.44990000000000002</v>
      </c>
      <c r="AF297">
        <v>0.62690000000000001</v>
      </c>
      <c r="AG297">
        <v>1.6859</v>
      </c>
      <c r="AH297">
        <v>1.2672000000000001</v>
      </c>
      <c r="AI297">
        <v>1.1029</v>
      </c>
      <c r="AJ297">
        <v>0.37880000000000003</v>
      </c>
      <c r="AK297">
        <v>1.3098000000000001</v>
      </c>
      <c r="AL297">
        <v>5.0134999999999996</v>
      </c>
      <c r="AM297">
        <v>0.52010000000000001</v>
      </c>
      <c r="AN297">
        <v>0.70640000000000003</v>
      </c>
      <c r="AO297">
        <v>0</v>
      </c>
      <c r="AP297">
        <v>0.81389999999999996</v>
      </c>
      <c r="AQ297">
        <v>0.41639999999999999</v>
      </c>
      <c r="AR297">
        <v>0.8135</v>
      </c>
      <c r="AS297">
        <v>0.88109999999999999</v>
      </c>
      <c r="AT297">
        <v>0.31940000000000002</v>
      </c>
      <c r="AU297">
        <v>0.31780000000000003</v>
      </c>
      <c r="AV297">
        <v>1.4730000000000001</v>
      </c>
      <c r="AW297">
        <v>0</v>
      </c>
      <c r="AX297">
        <v>1.0118</v>
      </c>
      <c r="AY297">
        <v>0.63859999999999995</v>
      </c>
      <c r="AZ297">
        <v>0.3115</v>
      </c>
      <c r="BA297">
        <v>2.0611000000000002</v>
      </c>
      <c r="BB297">
        <v>0.73009999999999997</v>
      </c>
      <c r="BC297">
        <v>0</v>
      </c>
      <c r="BD297">
        <v>5.3437000000000001</v>
      </c>
      <c r="BE297">
        <v>8.0699999999999994E-2</v>
      </c>
      <c r="BF297">
        <v>2.9645000000000001</v>
      </c>
      <c r="BG297">
        <v>3.4575999999999998</v>
      </c>
      <c r="BH297">
        <v>1.0981000000000001</v>
      </c>
      <c r="BI297">
        <v>1.3862000000000001</v>
      </c>
      <c r="BJ297">
        <v>0.2422</v>
      </c>
      <c r="BK297">
        <v>0.38009999999999999</v>
      </c>
      <c r="BL297">
        <v>1.3712</v>
      </c>
      <c r="BM297">
        <v>4.4055999999999997</v>
      </c>
      <c r="BN297">
        <v>0.44409999999999999</v>
      </c>
      <c r="BO297">
        <v>2.3258999999999999</v>
      </c>
      <c r="BP297">
        <v>0.98099999999999998</v>
      </c>
      <c r="BQ297">
        <v>0.1361</v>
      </c>
      <c r="BR297">
        <v>1.6469</v>
      </c>
      <c r="BS297">
        <v>0.46379999999999999</v>
      </c>
      <c r="BT297">
        <v>1.1101000000000001</v>
      </c>
      <c r="BU297">
        <v>0.70340000000000003</v>
      </c>
      <c r="BV297">
        <v>0.73270000000000002</v>
      </c>
      <c r="BW297">
        <v>1.3392999999999999</v>
      </c>
      <c r="BX297">
        <v>5.6908000000000003</v>
      </c>
      <c r="BY297">
        <v>3.5697000000000001</v>
      </c>
      <c r="BZ297">
        <v>0.6149</v>
      </c>
      <c r="CA297">
        <v>1.0178</v>
      </c>
    </row>
    <row r="298" spans="1:79" ht="21" customHeight="1" x14ac:dyDescent="0.3">
      <c r="A298" s="155">
        <v>9008</v>
      </c>
      <c r="B298" t="s">
        <v>1043</v>
      </c>
      <c r="C298" t="s">
        <v>351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row>
    <row r="299" spans="1:79" x14ac:dyDescent="0.3">
      <c r="A299" s="155">
        <v>9010</v>
      </c>
      <c r="B299" t="s">
        <v>1044</v>
      </c>
      <c r="C299" t="s">
        <v>1045</v>
      </c>
      <c r="D299">
        <v>0</v>
      </c>
      <c r="E299">
        <v>0</v>
      </c>
      <c r="F299">
        <v>15.04</v>
      </c>
      <c r="G299">
        <v>4.78</v>
      </c>
      <c r="H299">
        <v>26.54</v>
      </c>
      <c r="I299">
        <v>8.85</v>
      </c>
      <c r="J299">
        <v>238.85</v>
      </c>
      <c r="K299">
        <v>3.81</v>
      </c>
      <c r="L299">
        <v>1.74</v>
      </c>
      <c r="M299">
        <v>0</v>
      </c>
      <c r="N299">
        <v>144.72</v>
      </c>
      <c r="O299">
        <v>39.57</v>
      </c>
      <c r="P299">
        <v>0</v>
      </c>
      <c r="Q299">
        <v>6.91</v>
      </c>
      <c r="R299">
        <v>5.85</v>
      </c>
      <c r="S299">
        <v>4.34</v>
      </c>
      <c r="T299">
        <v>0</v>
      </c>
      <c r="U299">
        <v>4.09</v>
      </c>
      <c r="V299">
        <v>0</v>
      </c>
      <c r="W299">
        <v>0</v>
      </c>
      <c r="X299">
        <v>82.71</v>
      </c>
      <c r="Y299">
        <v>6.44</v>
      </c>
      <c r="Z299">
        <v>31.94</v>
      </c>
      <c r="AA299">
        <v>3.62</v>
      </c>
      <c r="AB299">
        <v>0</v>
      </c>
      <c r="AC299">
        <v>5.9</v>
      </c>
      <c r="AD299">
        <v>5.95</v>
      </c>
      <c r="AE299">
        <v>7.61</v>
      </c>
      <c r="AF299">
        <v>99.87</v>
      </c>
      <c r="AG299">
        <v>0</v>
      </c>
      <c r="AH299">
        <v>0</v>
      </c>
      <c r="AI299">
        <v>39.18</v>
      </c>
      <c r="AJ299">
        <v>3.51</v>
      </c>
      <c r="AK299">
        <v>8.31</v>
      </c>
      <c r="AL299">
        <v>0</v>
      </c>
      <c r="AM299">
        <v>0</v>
      </c>
      <c r="AN299">
        <v>6.3</v>
      </c>
      <c r="AO299">
        <v>0</v>
      </c>
      <c r="AP299">
        <v>0</v>
      </c>
      <c r="AQ299">
        <v>8.9600000000000009</v>
      </c>
      <c r="AR299">
        <v>20.85</v>
      </c>
      <c r="AS299">
        <v>25.34</v>
      </c>
      <c r="AT299">
        <v>9.02</v>
      </c>
      <c r="AU299">
        <v>6.72</v>
      </c>
      <c r="AV299">
        <v>36.97</v>
      </c>
      <c r="AW299">
        <v>0</v>
      </c>
      <c r="AX299">
        <v>20.18</v>
      </c>
      <c r="AY299">
        <v>11.17</v>
      </c>
      <c r="AZ299">
        <v>5.88</v>
      </c>
      <c r="BA299">
        <v>0.1</v>
      </c>
      <c r="BB299">
        <v>4.24</v>
      </c>
      <c r="BC299">
        <v>0</v>
      </c>
      <c r="BD299">
        <v>0</v>
      </c>
      <c r="BE299">
        <v>11.88</v>
      </c>
      <c r="BF299">
        <v>0.28999999999999998</v>
      </c>
      <c r="BG299">
        <v>0</v>
      </c>
      <c r="BH299">
        <v>2.2999999999999998</v>
      </c>
      <c r="BI299">
        <v>12.73</v>
      </c>
      <c r="BJ299">
        <v>0.72</v>
      </c>
      <c r="BK299">
        <v>36.200000000000003</v>
      </c>
      <c r="BL299">
        <v>37.58</v>
      </c>
      <c r="BM299">
        <v>0</v>
      </c>
      <c r="BN299">
        <v>7.69</v>
      </c>
      <c r="BO299">
        <v>16.93</v>
      </c>
      <c r="BP299">
        <v>35.03</v>
      </c>
      <c r="BQ299">
        <v>20.04</v>
      </c>
      <c r="BR299">
        <v>0</v>
      </c>
      <c r="BS299">
        <v>0</v>
      </c>
      <c r="BT299">
        <v>11.51</v>
      </c>
      <c r="BU299">
        <v>24.01</v>
      </c>
      <c r="BV299">
        <v>13.7</v>
      </c>
      <c r="BW299">
        <v>8.31</v>
      </c>
      <c r="BX299">
        <v>0</v>
      </c>
      <c r="BY299">
        <v>0</v>
      </c>
      <c r="BZ299">
        <v>6.11</v>
      </c>
      <c r="CA299">
        <v>0</v>
      </c>
    </row>
    <row r="300" spans="1:79" x14ac:dyDescent="0.3">
      <c r="A300" s="155">
        <v>9011</v>
      </c>
      <c r="B300" t="s">
        <v>1724</v>
      </c>
      <c r="C300" t="s">
        <v>1046</v>
      </c>
      <c r="D300">
        <v>0</v>
      </c>
      <c r="E300">
        <v>0</v>
      </c>
      <c r="F300">
        <v>51127</v>
      </c>
      <c r="G300">
        <v>5201888</v>
      </c>
      <c r="H300">
        <v>847473</v>
      </c>
      <c r="I300">
        <v>-13161</v>
      </c>
      <c r="J300">
        <v>165602</v>
      </c>
      <c r="K300">
        <v>180218</v>
      </c>
      <c r="L300">
        <v>2137010</v>
      </c>
      <c r="M300">
        <v>0</v>
      </c>
      <c r="N300">
        <v>-10272</v>
      </c>
      <c r="O300">
        <v>81697</v>
      </c>
      <c r="P300">
        <v>0</v>
      </c>
      <c r="Q300">
        <v>1810242</v>
      </c>
      <c r="R300">
        <v>705979</v>
      </c>
      <c r="S300">
        <v>704951</v>
      </c>
      <c r="T300">
        <v>0</v>
      </c>
      <c r="U300">
        <v>2320668</v>
      </c>
      <c r="V300">
        <v>0</v>
      </c>
      <c r="W300">
        <v>0</v>
      </c>
      <c r="X300">
        <v>-146631</v>
      </c>
      <c r="Y300">
        <v>289869</v>
      </c>
      <c r="Z300">
        <v>240240</v>
      </c>
      <c r="AA300">
        <v>658835</v>
      </c>
      <c r="AB300">
        <v>0</v>
      </c>
      <c r="AC300">
        <v>19608</v>
      </c>
      <c r="AD300">
        <v>327059</v>
      </c>
      <c r="AE300">
        <v>210421</v>
      </c>
      <c r="AF300">
        <v>-2931</v>
      </c>
      <c r="AG300">
        <v>0</v>
      </c>
      <c r="AH300">
        <v>0</v>
      </c>
      <c r="AI300">
        <v>-2105</v>
      </c>
      <c r="AJ300">
        <v>924513</v>
      </c>
      <c r="AK300">
        <v>-47271</v>
      </c>
      <c r="AL300">
        <v>0</v>
      </c>
      <c r="AM300">
        <v>-5925235</v>
      </c>
      <c r="AN300">
        <v>1938064</v>
      </c>
      <c r="AO300">
        <v>0</v>
      </c>
      <c r="AP300">
        <v>0</v>
      </c>
      <c r="AQ300">
        <v>-548629</v>
      </c>
      <c r="AR300">
        <v>-685403</v>
      </c>
      <c r="AS300">
        <v>2508</v>
      </c>
      <c r="AT300">
        <v>-74663</v>
      </c>
      <c r="AU300">
        <v>-186098</v>
      </c>
      <c r="AV300">
        <v>130791</v>
      </c>
      <c r="AW300">
        <v>0</v>
      </c>
      <c r="AX300">
        <v>1005283</v>
      </c>
      <c r="AY300">
        <v>279111</v>
      </c>
      <c r="AZ300">
        <v>454884</v>
      </c>
      <c r="BA300">
        <v>-14885</v>
      </c>
      <c r="BB300">
        <v>-79427</v>
      </c>
      <c r="BC300">
        <v>0</v>
      </c>
      <c r="BD300">
        <v>0</v>
      </c>
      <c r="BE300">
        <v>2474326</v>
      </c>
      <c r="BF300">
        <v>-38483</v>
      </c>
      <c r="BG300">
        <v>0</v>
      </c>
      <c r="BH300">
        <v>-149481</v>
      </c>
      <c r="BI300">
        <v>252992</v>
      </c>
      <c r="BJ300">
        <v>-67692</v>
      </c>
      <c r="BK300">
        <v>-1654</v>
      </c>
      <c r="BL300">
        <v>291118</v>
      </c>
      <c r="BM300">
        <v>0</v>
      </c>
      <c r="BN300">
        <v>229042</v>
      </c>
      <c r="BO300">
        <v>162404</v>
      </c>
      <c r="BP300">
        <v>231265</v>
      </c>
      <c r="BQ300">
        <v>284702</v>
      </c>
      <c r="BR300">
        <v>0</v>
      </c>
      <c r="BS300">
        <v>0</v>
      </c>
      <c r="BT300">
        <v>1806</v>
      </c>
      <c r="BU300">
        <v>109470</v>
      </c>
      <c r="BV300">
        <v>138695</v>
      </c>
      <c r="BW300">
        <v>272803</v>
      </c>
      <c r="BX300">
        <v>0</v>
      </c>
      <c r="BY300">
        <v>0</v>
      </c>
      <c r="BZ300">
        <v>2363396</v>
      </c>
      <c r="CA300">
        <v>0</v>
      </c>
    </row>
    <row r="301" spans="1:79" x14ac:dyDescent="0.3">
      <c r="A301" s="155">
        <v>9012</v>
      </c>
      <c r="B301" t="s">
        <v>1725</v>
      </c>
      <c r="C301" t="s">
        <v>1046</v>
      </c>
      <c r="D301">
        <v>0</v>
      </c>
      <c r="E301">
        <v>0</v>
      </c>
      <c r="F301">
        <v>0.87560000000000004</v>
      </c>
      <c r="G301">
        <v>2.3302999999999998</v>
      </c>
      <c r="H301">
        <v>3.0680000000000001</v>
      </c>
      <c r="I301">
        <v>0.995</v>
      </c>
      <c r="J301">
        <v>9.1486999999999998</v>
      </c>
      <c r="K301">
        <v>0.93</v>
      </c>
      <c r="L301">
        <v>0.20619999999999999</v>
      </c>
      <c r="M301">
        <v>0</v>
      </c>
      <c r="N301">
        <v>2.7644000000000002</v>
      </c>
      <c r="O301">
        <v>0.81869999999999998</v>
      </c>
      <c r="P301">
        <v>0</v>
      </c>
      <c r="Q301">
        <v>1.9656</v>
      </c>
      <c r="R301">
        <v>1.2276</v>
      </c>
      <c r="S301">
        <v>1.1296999999999999</v>
      </c>
      <c r="T301">
        <v>0</v>
      </c>
      <c r="U301">
        <v>0.65129999999999999</v>
      </c>
      <c r="V301">
        <v>0</v>
      </c>
      <c r="W301">
        <v>0</v>
      </c>
      <c r="X301">
        <v>0.26569999999999999</v>
      </c>
      <c r="Y301">
        <v>1.3329</v>
      </c>
      <c r="Z301">
        <v>0.9607</v>
      </c>
      <c r="AA301">
        <v>1.0832999999999999</v>
      </c>
      <c r="AB301">
        <v>0</v>
      </c>
      <c r="AC301">
        <v>0.77890000000000004</v>
      </c>
      <c r="AD301">
        <v>2.2892999999999999</v>
      </c>
      <c r="AE301">
        <v>0.93840000000000001</v>
      </c>
      <c r="AF301">
        <v>0.92820000000000003</v>
      </c>
      <c r="AG301">
        <v>0</v>
      </c>
      <c r="AH301">
        <v>0</v>
      </c>
      <c r="AI301">
        <v>0.46410000000000001</v>
      </c>
      <c r="AJ301">
        <v>0.9254</v>
      </c>
      <c r="AK301">
        <v>1.1145</v>
      </c>
      <c r="AL301">
        <v>0</v>
      </c>
      <c r="AM301">
        <v>0</v>
      </c>
      <c r="AN301">
        <v>1.5470999999999999</v>
      </c>
      <c r="AO301">
        <v>0</v>
      </c>
      <c r="AP301">
        <v>0</v>
      </c>
      <c r="AQ301">
        <v>0.40489999999999998</v>
      </c>
      <c r="AR301">
        <v>0.49559999999999998</v>
      </c>
      <c r="AS301">
        <v>0.8075</v>
      </c>
      <c r="AT301">
        <v>0.37580000000000002</v>
      </c>
      <c r="AU301">
        <v>0.86670000000000003</v>
      </c>
      <c r="AV301">
        <v>4.0465</v>
      </c>
      <c r="AW301">
        <v>0</v>
      </c>
      <c r="AX301">
        <v>1.0098</v>
      </c>
      <c r="AY301">
        <v>0.60329999999999995</v>
      </c>
      <c r="AZ301">
        <v>0.4894</v>
      </c>
      <c r="BA301">
        <v>0.1084</v>
      </c>
      <c r="BB301">
        <v>0.31459999999999999</v>
      </c>
      <c r="BC301">
        <v>0</v>
      </c>
      <c r="BD301">
        <v>0</v>
      </c>
      <c r="BE301">
        <v>0.56299999999999994</v>
      </c>
      <c r="BF301">
        <v>0</v>
      </c>
      <c r="BG301">
        <v>0</v>
      </c>
      <c r="BH301">
        <v>0.35809999999999997</v>
      </c>
      <c r="BI301">
        <v>2.6373000000000002</v>
      </c>
      <c r="BJ301">
        <v>0</v>
      </c>
      <c r="BK301">
        <v>2.6888000000000001</v>
      </c>
      <c r="BL301">
        <v>1.7987</v>
      </c>
      <c r="BM301">
        <v>0</v>
      </c>
      <c r="BN301">
        <v>0.51429999999999998</v>
      </c>
      <c r="BO301">
        <v>4.1776</v>
      </c>
      <c r="BP301">
        <v>2.1545999999999998</v>
      </c>
      <c r="BQ301">
        <v>1.9237</v>
      </c>
      <c r="BR301">
        <v>0</v>
      </c>
      <c r="BS301">
        <v>0</v>
      </c>
      <c r="BT301">
        <v>1.6552</v>
      </c>
      <c r="BU301">
        <v>0.6522</v>
      </c>
      <c r="BV301">
        <v>0.97860000000000003</v>
      </c>
      <c r="BW301">
        <v>3.0849000000000002</v>
      </c>
      <c r="BX301">
        <v>0</v>
      </c>
      <c r="BY301">
        <v>0</v>
      </c>
      <c r="BZ301">
        <v>1.0907</v>
      </c>
      <c r="CA301">
        <v>0</v>
      </c>
    </row>
    <row r="302" spans="1:79" x14ac:dyDescent="0.3">
      <c r="A302" s="155">
        <v>9013</v>
      </c>
      <c r="B302" t="s">
        <v>1047</v>
      </c>
      <c r="C302" t="s">
        <v>1048</v>
      </c>
      <c r="D302">
        <v>0</v>
      </c>
      <c r="E302">
        <v>0</v>
      </c>
      <c r="F302">
        <v>15.04</v>
      </c>
      <c r="G302">
        <v>4.78</v>
      </c>
      <c r="H302">
        <v>26.54</v>
      </c>
      <c r="I302">
        <v>8.85</v>
      </c>
      <c r="J302">
        <v>238.85</v>
      </c>
      <c r="K302">
        <v>3.81</v>
      </c>
      <c r="L302">
        <v>1.74</v>
      </c>
      <c r="M302">
        <v>0</v>
      </c>
      <c r="N302">
        <v>144.72</v>
      </c>
      <c r="O302">
        <v>39.57</v>
      </c>
      <c r="P302">
        <v>0</v>
      </c>
      <c r="Q302">
        <v>6.91</v>
      </c>
      <c r="R302">
        <v>5.85</v>
      </c>
      <c r="S302">
        <v>4.34</v>
      </c>
      <c r="T302">
        <v>0</v>
      </c>
      <c r="U302">
        <v>4.09</v>
      </c>
      <c r="V302">
        <v>0</v>
      </c>
      <c r="W302">
        <v>0</v>
      </c>
      <c r="X302">
        <v>82.71</v>
      </c>
      <c r="Y302">
        <v>6.44</v>
      </c>
      <c r="Z302">
        <v>31.94</v>
      </c>
      <c r="AA302">
        <v>3.62</v>
      </c>
      <c r="AB302">
        <v>0</v>
      </c>
      <c r="AC302">
        <v>5.9</v>
      </c>
      <c r="AD302">
        <v>5.95</v>
      </c>
      <c r="AE302">
        <v>7.61</v>
      </c>
      <c r="AF302">
        <v>99.87</v>
      </c>
      <c r="AG302">
        <v>0</v>
      </c>
      <c r="AH302">
        <v>0</v>
      </c>
      <c r="AI302">
        <v>39.18</v>
      </c>
      <c r="AJ302">
        <v>3.51</v>
      </c>
      <c r="AK302">
        <v>8.31</v>
      </c>
      <c r="AL302">
        <v>0</v>
      </c>
      <c r="AM302">
        <v>0</v>
      </c>
      <c r="AN302">
        <v>6.3</v>
      </c>
      <c r="AO302">
        <v>0</v>
      </c>
      <c r="AP302">
        <v>0</v>
      </c>
      <c r="AQ302">
        <v>8.9600000000000009</v>
      </c>
      <c r="AR302">
        <v>20.85</v>
      </c>
      <c r="AS302">
        <v>25.34</v>
      </c>
      <c r="AT302">
        <v>9.02</v>
      </c>
      <c r="AU302">
        <v>6.72</v>
      </c>
      <c r="AV302">
        <v>36.97</v>
      </c>
      <c r="AW302">
        <v>0</v>
      </c>
      <c r="AX302">
        <v>20.18</v>
      </c>
      <c r="AY302">
        <v>11.17</v>
      </c>
      <c r="AZ302">
        <v>5.88</v>
      </c>
      <c r="BA302">
        <v>0.1</v>
      </c>
      <c r="BB302">
        <v>4.24</v>
      </c>
      <c r="BC302">
        <v>0</v>
      </c>
      <c r="BD302">
        <v>0</v>
      </c>
      <c r="BE302">
        <v>11.88</v>
      </c>
      <c r="BF302">
        <v>0.28999999999999998</v>
      </c>
      <c r="BG302">
        <v>0</v>
      </c>
      <c r="BH302">
        <v>2.2999999999999998</v>
      </c>
      <c r="BI302">
        <v>12.73</v>
      </c>
      <c r="BJ302">
        <v>0.72</v>
      </c>
      <c r="BK302">
        <v>36.200000000000003</v>
      </c>
      <c r="BL302">
        <v>37.58</v>
      </c>
      <c r="BM302">
        <v>0</v>
      </c>
      <c r="BN302">
        <v>7.69</v>
      </c>
      <c r="BO302">
        <v>16.93</v>
      </c>
      <c r="BP302">
        <v>35.03</v>
      </c>
      <c r="BQ302">
        <v>20.04</v>
      </c>
      <c r="BR302">
        <v>0</v>
      </c>
      <c r="BS302">
        <v>0</v>
      </c>
      <c r="BT302">
        <v>11.51</v>
      </c>
      <c r="BU302">
        <v>24.01</v>
      </c>
      <c r="BV302">
        <v>13.7</v>
      </c>
      <c r="BW302">
        <v>8.31</v>
      </c>
      <c r="BX302">
        <v>0</v>
      </c>
      <c r="BY302">
        <v>0</v>
      </c>
      <c r="BZ302">
        <v>6.11</v>
      </c>
      <c r="CA302">
        <v>0</v>
      </c>
    </row>
    <row r="303" spans="1:79" x14ac:dyDescent="0.3">
      <c r="A303" s="155">
        <v>9014</v>
      </c>
      <c r="B303" t="s">
        <v>1049</v>
      </c>
      <c r="C303" t="s">
        <v>1050</v>
      </c>
      <c r="D303">
        <v>0</v>
      </c>
      <c r="E303">
        <v>0</v>
      </c>
      <c r="F303">
        <v>0</v>
      </c>
      <c r="G303">
        <v>0</v>
      </c>
      <c r="H303">
        <v>0</v>
      </c>
      <c r="I303">
        <v>0</v>
      </c>
      <c r="J303">
        <v>0</v>
      </c>
      <c r="K303">
        <v>0</v>
      </c>
      <c r="L303">
        <v>0</v>
      </c>
      <c r="M303">
        <v>0</v>
      </c>
      <c r="N303">
        <v>0</v>
      </c>
      <c r="O303">
        <v>0</v>
      </c>
      <c r="P303">
        <v>0</v>
      </c>
      <c r="Q303">
        <v>0</v>
      </c>
      <c r="R303">
        <v>0</v>
      </c>
      <c r="S303">
        <v>7.12</v>
      </c>
      <c r="T303">
        <v>0</v>
      </c>
      <c r="U303">
        <v>19.649999999999999</v>
      </c>
      <c r="V303">
        <v>0</v>
      </c>
      <c r="W303">
        <v>0</v>
      </c>
      <c r="X303">
        <v>0</v>
      </c>
      <c r="Y303">
        <v>0</v>
      </c>
      <c r="Z303">
        <v>1.44</v>
      </c>
      <c r="AA303">
        <v>0</v>
      </c>
      <c r="AB303">
        <v>0</v>
      </c>
      <c r="AC303">
        <v>0</v>
      </c>
      <c r="AD303">
        <v>0</v>
      </c>
      <c r="AE303">
        <v>6</v>
      </c>
      <c r="AF303">
        <v>0</v>
      </c>
      <c r="AG303">
        <v>0</v>
      </c>
      <c r="AH303">
        <v>0</v>
      </c>
      <c r="AI303">
        <v>0</v>
      </c>
      <c r="AJ303">
        <v>1.47</v>
      </c>
      <c r="AK303">
        <v>0</v>
      </c>
      <c r="AL303">
        <v>0</v>
      </c>
      <c r="AM303">
        <v>0</v>
      </c>
      <c r="AN303">
        <v>0</v>
      </c>
      <c r="AO303">
        <v>0</v>
      </c>
      <c r="AP303">
        <v>0</v>
      </c>
      <c r="AQ303">
        <v>5.58</v>
      </c>
      <c r="AR303">
        <v>0</v>
      </c>
      <c r="AS303">
        <v>0</v>
      </c>
      <c r="AT303">
        <v>0</v>
      </c>
      <c r="AU303">
        <v>4.1100000000000003</v>
      </c>
      <c r="AV303">
        <v>0</v>
      </c>
      <c r="AW303">
        <v>0</v>
      </c>
      <c r="AX303">
        <v>0</v>
      </c>
      <c r="AY303">
        <v>0</v>
      </c>
      <c r="AZ303">
        <v>3.51</v>
      </c>
      <c r="BA303">
        <v>0</v>
      </c>
      <c r="BB303">
        <v>0</v>
      </c>
      <c r="BC303">
        <v>0</v>
      </c>
      <c r="BD303">
        <v>0</v>
      </c>
      <c r="BE303">
        <v>5.88</v>
      </c>
      <c r="BF303">
        <v>9.9600000000000009</v>
      </c>
      <c r="BG303">
        <v>0</v>
      </c>
      <c r="BH303">
        <v>0</v>
      </c>
      <c r="BI303">
        <v>0</v>
      </c>
      <c r="BJ303">
        <v>0</v>
      </c>
      <c r="BK303">
        <v>234.42</v>
      </c>
      <c r="BL303">
        <v>0</v>
      </c>
      <c r="BM303">
        <v>0</v>
      </c>
      <c r="BN303">
        <v>0</v>
      </c>
      <c r="BO303">
        <v>0</v>
      </c>
      <c r="BP303">
        <v>0</v>
      </c>
      <c r="BQ303">
        <v>0</v>
      </c>
      <c r="BR303">
        <v>0</v>
      </c>
      <c r="BS303">
        <v>0</v>
      </c>
      <c r="BT303">
        <v>0</v>
      </c>
      <c r="BU303">
        <v>0</v>
      </c>
      <c r="BV303">
        <v>0</v>
      </c>
      <c r="BW303">
        <v>0</v>
      </c>
      <c r="BX303">
        <v>0</v>
      </c>
      <c r="BY303">
        <v>0</v>
      </c>
      <c r="BZ303">
        <v>0</v>
      </c>
      <c r="CA303">
        <v>0</v>
      </c>
    </row>
    <row r="304" spans="1:79" x14ac:dyDescent="0.3">
      <c r="A304" s="155">
        <v>9015</v>
      </c>
      <c r="B304" t="s">
        <v>1726</v>
      </c>
      <c r="C304" t="s">
        <v>351</v>
      </c>
      <c r="D304">
        <v>0</v>
      </c>
      <c r="E304">
        <v>0</v>
      </c>
      <c r="F304">
        <v>0</v>
      </c>
      <c r="G304">
        <v>0</v>
      </c>
      <c r="H304">
        <v>0</v>
      </c>
      <c r="I304">
        <v>0</v>
      </c>
      <c r="J304">
        <v>0</v>
      </c>
      <c r="K304">
        <v>0</v>
      </c>
      <c r="L304">
        <v>0</v>
      </c>
      <c r="M304">
        <v>0</v>
      </c>
      <c r="N304">
        <v>0</v>
      </c>
      <c r="O304">
        <v>0</v>
      </c>
      <c r="P304">
        <v>0</v>
      </c>
      <c r="Q304">
        <v>0</v>
      </c>
      <c r="R304">
        <v>0</v>
      </c>
      <c r="S304">
        <v>4222217</v>
      </c>
      <c r="T304">
        <v>0</v>
      </c>
      <c r="U304">
        <v>9622762</v>
      </c>
      <c r="V304">
        <v>0</v>
      </c>
      <c r="W304">
        <v>0</v>
      </c>
      <c r="X304">
        <v>0</v>
      </c>
      <c r="Y304">
        <v>0</v>
      </c>
      <c r="Z304">
        <v>68355</v>
      </c>
      <c r="AA304">
        <v>348593</v>
      </c>
      <c r="AB304">
        <v>0</v>
      </c>
      <c r="AC304">
        <v>0</v>
      </c>
      <c r="AD304">
        <v>0</v>
      </c>
      <c r="AE304">
        <v>550063</v>
      </c>
      <c r="AF304">
        <v>0</v>
      </c>
      <c r="AG304">
        <v>0</v>
      </c>
      <c r="AH304">
        <v>0</v>
      </c>
      <c r="AI304">
        <v>0</v>
      </c>
      <c r="AJ304">
        <v>1617593</v>
      </c>
      <c r="AK304">
        <v>0</v>
      </c>
      <c r="AL304">
        <v>0</v>
      </c>
      <c r="AM304">
        <v>0</v>
      </c>
      <c r="AN304">
        <v>0</v>
      </c>
      <c r="AO304">
        <v>0</v>
      </c>
      <c r="AP304">
        <v>0</v>
      </c>
      <c r="AQ304">
        <v>4395080</v>
      </c>
      <c r="AR304">
        <v>0</v>
      </c>
      <c r="AS304">
        <v>0</v>
      </c>
      <c r="AT304">
        <v>0</v>
      </c>
      <c r="AU304">
        <v>1814657</v>
      </c>
      <c r="AV304">
        <v>0</v>
      </c>
      <c r="AW304">
        <v>0</v>
      </c>
      <c r="AX304">
        <v>0</v>
      </c>
      <c r="AY304">
        <v>0</v>
      </c>
      <c r="AZ304">
        <v>597272</v>
      </c>
      <c r="BA304">
        <v>0</v>
      </c>
      <c r="BB304">
        <v>0</v>
      </c>
      <c r="BC304">
        <v>0</v>
      </c>
      <c r="BD304">
        <v>0</v>
      </c>
      <c r="BE304">
        <v>2109138</v>
      </c>
      <c r="BF304">
        <v>-26502</v>
      </c>
      <c r="BG304">
        <v>0</v>
      </c>
      <c r="BH304">
        <v>0</v>
      </c>
      <c r="BI304">
        <v>0</v>
      </c>
      <c r="BJ304">
        <v>0</v>
      </c>
      <c r="BK304">
        <v>1067550</v>
      </c>
      <c r="BL304">
        <v>0</v>
      </c>
      <c r="BM304">
        <v>0</v>
      </c>
      <c r="BN304">
        <v>0</v>
      </c>
      <c r="BO304">
        <v>0</v>
      </c>
      <c r="BP304">
        <v>0</v>
      </c>
      <c r="BQ304">
        <v>0</v>
      </c>
      <c r="BR304">
        <v>0</v>
      </c>
      <c r="BS304">
        <v>0</v>
      </c>
      <c r="BT304">
        <v>0</v>
      </c>
      <c r="BU304">
        <v>0</v>
      </c>
      <c r="BV304">
        <v>0</v>
      </c>
      <c r="BW304">
        <v>0</v>
      </c>
      <c r="BX304">
        <v>0</v>
      </c>
      <c r="BY304">
        <v>0</v>
      </c>
      <c r="BZ304">
        <v>0</v>
      </c>
      <c r="CA304">
        <v>0</v>
      </c>
    </row>
    <row r="305" spans="1:89" x14ac:dyDescent="0.3">
      <c r="A305" s="155">
        <v>9016</v>
      </c>
      <c r="B305" t="s">
        <v>1727</v>
      </c>
      <c r="C305" t="s">
        <v>351</v>
      </c>
      <c r="D305">
        <v>0</v>
      </c>
      <c r="E305">
        <v>0</v>
      </c>
      <c r="F305">
        <v>0</v>
      </c>
      <c r="G305">
        <v>0</v>
      </c>
      <c r="H305">
        <v>0</v>
      </c>
      <c r="I305">
        <v>0</v>
      </c>
      <c r="J305">
        <v>0</v>
      </c>
      <c r="K305">
        <v>0</v>
      </c>
      <c r="L305">
        <v>0</v>
      </c>
      <c r="M305">
        <v>0</v>
      </c>
      <c r="N305">
        <v>0</v>
      </c>
      <c r="O305">
        <v>0</v>
      </c>
      <c r="P305">
        <v>0</v>
      </c>
      <c r="Q305">
        <v>0</v>
      </c>
      <c r="R305">
        <v>0</v>
      </c>
      <c r="S305">
        <v>0.63770000000000004</v>
      </c>
      <c r="T305">
        <v>0</v>
      </c>
      <c r="U305">
        <v>0.78439999999999999</v>
      </c>
      <c r="V305">
        <v>0</v>
      </c>
      <c r="W305">
        <v>0</v>
      </c>
      <c r="X305">
        <v>0</v>
      </c>
      <c r="Y305">
        <v>0</v>
      </c>
      <c r="Z305">
        <v>0.23069999999999999</v>
      </c>
      <c r="AA305">
        <v>0</v>
      </c>
      <c r="AB305">
        <v>0</v>
      </c>
      <c r="AC305">
        <v>0</v>
      </c>
      <c r="AD305">
        <v>0</v>
      </c>
      <c r="AE305">
        <v>0.28999999999999998</v>
      </c>
      <c r="AF305">
        <v>0</v>
      </c>
      <c r="AG305">
        <v>0</v>
      </c>
      <c r="AH305">
        <v>0</v>
      </c>
      <c r="AI305">
        <v>0</v>
      </c>
      <c r="AJ305">
        <v>0.12570000000000001</v>
      </c>
      <c r="AK305">
        <v>0</v>
      </c>
      <c r="AL305">
        <v>0</v>
      </c>
      <c r="AM305">
        <v>0</v>
      </c>
      <c r="AN305">
        <v>0</v>
      </c>
      <c r="AO305">
        <v>0</v>
      </c>
      <c r="AP305">
        <v>0</v>
      </c>
      <c r="AQ305">
        <v>0.4602</v>
      </c>
      <c r="AR305">
        <v>0</v>
      </c>
      <c r="AS305">
        <v>0</v>
      </c>
      <c r="AT305">
        <v>0</v>
      </c>
      <c r="AU305">
        <v>0.57979999999999998</v>
      </c>
      <c r="AV305">
        <v>0</v>
      </c>
      <c r="AW305">
        <v>0</v>
      </c>
      <c r="AX305">
        <v>0</v>
      </c>
      <c r="AY305">
        <v>0</v>
      </c>
      <c r="AZ305">
        <v>0.19900000000000001</v>
      </c>
      <c r="BA305">
        <v>0</v>
      </c>
      <c r="BB305">
        <v>0</v>
      </c>
      <c r="BC305">
        <v>0</v>
      </c>
      <c r="BD305">
        <v>0</v>
      </c>
      <c r="BE305">
        <v>0.16489999999999999</v>
      </c>
      <c r="BF305">
        <v>0.4299</v>
      </c>
      <c r="BG305">
        <v>0</v>
      </c>
      <c r="BH305">
        <v>0</v>
      </c>
      <c r="BI305">
        <v>0</v>
      </c>
      <c r="BJ305">
        <v>0</v>
      </c>
      <c r="BK305">
        <v>0.48459999999999998</v>
      </c>
      <c r="BL305">
        <v>0</v>
      </c>
      <c r="BM305">
        <v>0</v>
      </c>
      <c r="BN305">
        <v>0</v>
      </c>
      <c r="BO305">
        <v>0</v>
      </c>
      <c r="BP305">
        <v>0</v>
      </c>
      <c r="BQ305">
        <v>0</v>
      </c>
      <c r="BR305">
        <v>0</v>
      </c>
      <c r="BS305">
        <v>0</v>
      </c>
      <c r="BT305">
        <v>0</v>
      </c>
      <c r="BU305">
        <v>0</v>
      </c>
      <c r="BV305">
        <v>0</v>
      </c>
      <c r="BW305">
        <v>0</v>
      </c>
      <c r="BX305">
        <v>0</v>
      </c>
      <c r="BY305">
        <v>0</v>
      </c>
      <c r="BZ305">
        <v>0</v>
      </c>
      <c r="CA305">
        <v>0</v>
      </c>
    </row>
    <row r="306" spans="1:89" x14ac:dyDescent="0.3">
      <c r="A306" s="155">
        <v>9017</v>
      </c>
      <c r="B306" t="s">
        <v>1051</v>
      </c>
      <c r="C306" t="s">
        <v>1052</v>
      </c>
      <c r="D306">
        <v>0</v>
      </c>
      <c r="E306">
        <v>0</v>
      </c>
      <c r="F306">
        <v>0</v>
      </c>
      <c r="G306">
        <v>0</v>
      </c>
      <c r="H306">
        <v>0</v>
      </c>
      <c r="I306">
        <v>0</v>
      </c>
      <c r="J306">
        <v>0</v>
      </c>
      <c r="K306">
        <v>0</v>
      </c>
      <c r="L306">
        <v>0</v>
      </c>
      <c r="M306">
        <v>0</v>
      </c>
      <c r="N306">
        <v>0</v>
      </c>
      <c r="O306">
        <v>0</v>
      </c>
      <c r="P306">
        <v>0</v>
      </c>
      <c r="Q306">
        <v>0</v>
      </c>
      <c r="R306">
        <v>0</v>
      </c>
      <c r="S306">
        <v>7.12</v>
      </c>
      <c r="T306">
        <v>0</v>
      </c>
      <c r="U306">
        <v>19.649999999999999</v>
      </c>
      <c r="V306">
        <v>0</v>
      </c>
      <c r="W306">
        <v>0</v>
      </c>
      <c r="X306">
        <v>0</v>
      </c>
      <c r="Y306">
        <v>0</v>
      </c>
      <c r="Z306">
        <v>1.44</v>
      </c>
      <c r="AA306">
        <v>0</v>
      </c>
      <c r="AB306">
        <v>0</v>
      </c>
      <c r="AC306">
        <v>0</v>
      </c>
      <c r="AD306">
        <v>0</v>
      </c>
      <c r="AE306">
        <v>6</v>
      </c>
      <c r="AF306">
        <v>0</v>
      </c>
      <c r="AG306">
        <v>0</v>
      </c>
      <c r="AH306">
        <v>0</v>
      </c>
      <c r="AI306">
        <v>0</v>
      </c>
      <c r="AJ306">
        <v>1.47</v>
      </c>
      <c r="AK306">
        <v>0</v>
      </c>
      <c r="AL306">
        <v>0</v>
      </c>
      <c r="AM306">
        <v>0</v>
      </c>
      <c r="AN306">
        <v>0</v>
      </c>
      <c r="AO306">
        <v>0</v>
      </c>
      <c r="AP306">
        <v>0</v>
      </c>
      <c r="AQ306">
        <v>5.58</v>
      </c>
      <c r="AR306">
        <v>0</v>
      </c>
      <c r="AS306">
        <v>0</v>
      </c>
      <c r="AT306">
        <v>0</v>
      </c>
      <c r="AU306">
        <v>4.1100000000000003</v>
      </c>
      <c r="AV306">
        <v>0</v>
      </c>
      <c r="AW306">
        <v>0</v>
      </c>
      <c r="AX306">
        <v>0</v>
      </c>
      <c r="AY306">
        <v>0</v>
      </c>
      <c r="AZ306">
        <v>3.51</v>
      </c>
      <c r="BA306">
        <v>0</v>
      </c>
      <c r="BB306">
        <v>0</v>
      </c>
      <c r="BC306">
        <v>0</v>
      </c>
      <c r="BD306">
        <v>0</v>
      </c>
      <c r="BE306">
        <v>5.88</v>
      </c>
      <c r="BF306">
        <v>9.92</v>
      </c>
      <c r="BG306">
        <v>0</v>
      </c>
      <c r="BH306">
        <v>0</v>
      </c>
      <c r="BI306">
        <v>0</v>
      </c>
      <c r="BJ306">
        <v>0</v>
      </c>
      <c r="BK306">
        <v>234.42</v>
      </c>
      <c r="BL306">
        <v>0</v>
      </c>
      <c r="BM306">
        <v>0</v>
      </c>
      <c r="BN306">
        <v>0</v>
      </c>
      <c r="BO306">
        <v>0</v>
      </c>
      <c r="BP306">
        <v>0</v>
      </c>
      <c r="BQ306">
        <v>0</v>
      </c>
      <c r="BR306">
        <v>0</v>
      </c>
      <c r="BS306">
        <v>0</v>
      </c>
      <c r="BT306">
        <v>0</v>
      </c>
      <c r="BU306">
        <v>0</v>
      </c>
      <c r="BV306">
        <v>0</v>
      </c>
      <c r="BW306">
        <v>0</v>
      </c>
      <c r="BX306">
        <v>0</v>
      </c>
      <c r="BY306">
        <v>0</v>
      </c>
      <c r="BZ306">
        <v>0</v>
      </c>
      <c r="CA306">
        <v>0</v>
      </c>
    </row>
    <row r="307" spans="1:89" x14ac:dyDescent="0.3">
      <c r="A307" s="155">
        <v>9018</v>
      </c>
      <c r="B307" t="s">
        <v>1053</v>
      </c>
      <c r="C307" t="s">
        <v>1054</v>
      </c>
      <c r="D307">
        <v>110743</v>
      </c>
      <c r="E307">
        <v>2219326</v>
      </c>
      <c r="F307">
        <v>107766</v>
      </c>
      <c r="G307">
        <v>7787735</v>
      </c>
      <c r="H307">
        <v>670526</v>
      </c>
      <c r="I307">
        <v>14534</v>
      </c>
      <c r="J307">
        <v>24985</v>
      </c>
      <c r="K307">
        <v>50197</v>
      </c>
      <c r="L307">
        <v>15241734</v>
      </c>
      <c r="M307">
        <v>14081</v>
      </c>
      <c r="N307">
        <v>46534</v>
      </c>
      <c r="O307">
        <v>100074</v>
      </c>
      <c r="P307">
        <v>5752681</v>
      </c>
      <c r="Q307">
        <v>3641686</v>
      </c>
      <c r="R307">
        <v>505858</v>
      </c>
      <c r="S307">
        <v>2132760</v>
      </c>
      <c r="T307">
        <v>0</v>
      </c>
      <c r="U307">
        <v>3853401</v>
      </c>
      <c r="V307">
        <v>704</v>
      </c>
      <c r="W307">
        <v>2522786</v>
      </c>
      <c r="X307">
        <v>1378327</v>
      </c>
      <c r="Y307">
        <v>834060</v>
      </c>
      <c r="Z307">
        <v>273285</v>
      </c>
      <c r="AA307">
        <v>508147</v>
      </c>
      <c r="AB307">
        <v>20945</v>
      </c>
      <c r="AC307">
        <v>9324</v>
      </c>
      <c r="AD307">
        <v>66897</v>
      </c>
      <c r="AE307">
        <v>117488</v>
      </c>
      <c r="AF307">
        <v>9021</v>
      </c>
      <c r="AG307">
        <v>1346</v>
      </c>
      <c r="AH307">
        <v>436</v>
      </c>
      <c r="AI307">
        <v>75331</v>
      </c>
      <c r="AJ307">
        <v>573519</v>
      </c>
      <c r="AK307">
        <v>7733</v>
      </c>
      <c r="AL307">
        <v>769</v>
      </c>
      <c r="AM307">
        <v>3695311</v>
      </c>
      <c r="AN307">
        <v>2764020</v>
      </c>
      <c r="AO307">
        <v>0</v>
      </c>
      <c r="AP307">
        <v>584164</v>
      </c>
      <c r="AQ307">
        <v>6515094</v>
      </c>
      <c r="AR307">
        <v>234827</v>
      </c>
      <c r="AS307">
        <v>142705</v>
      </c>
      <c r="AT307">
        <v>365880</v>
      </c>
      <c r="AU307">
        <v>3000311</v>
      </c>
      <c r="AV307">
        <v>55612</v>
      </c>
      <c r="AW307">
        <v>0</v>
      </c>
      <c r="AX307">
        <v>567644</v>
      </c>
      <c r="AY307">
        <v>190083</v>
      </c>
      <c r="AZ307">
        <v>423886</v>
      </c>
      <c r="BA307">
        <v>0</v>
      </c>
      <c r="BB307">
        <v>184958</v>
      </c>
      <c r="BC307">
        <v>0</v>
      </c>
      <c r="BD307">
        <v>3352</v>
      </c>
      <c r="BE307">
        <v>6150363</v>
      </c>
      <c r="BF307">
        <v>20376</v>
      </c>
      <c r="BG307">
        <v>1857</v>
      </c>
      <c r="BH307">
        <v>43619</v>
      </c>
      <c r="BI307">
        <v>102876</v>
      </c>
      <c r="BJ307">
        <v>40916</v>
      </c>
      <c r="BK307">
        <v>384008</v>
      </c>
      <c r="BL307">
        <v>0</v>
      </c>
      <c r="BM307">
        <v>0</v>
      </c>
      <c r="BN307">
        <v>743611</v>
      </c>
      <c r="BO307">
        <v>176186</v>
      </c>
      <c r="BP307">
        <v>18090</v>
      </c>
      <c r="BQ307">
        <v>33637</v>
      </c>
      <c r="BR307">
        <v>225135</v>
      </c>
      <c r="BS307">
        <v>2791303</v>
      </c>
      <c r="BT307">
        <v>167015</v>
      </c>
      <c r="BU307">
        <v>129303</v>
      </c>
      <c r="BV307">
        <v>51833</v>
      </c>
      <c r="BW307">
        <v>13281</v>
      </c>
      <c r="BX307">
        <v>0</v>
      </c>
      <c r="BY307">
        <v>0</v>
      </c>
      <c r="BZ307">
        <v>2459578</v>
      </c>
      <c r="CA307">
        <v>3201</v>
      </c>
    </row>
    <row r="308" spans="1:89" x14ac:dyDescent="0.3">
      <c r="A308" s="155">
        <v>9019</v>
      </c>
      <c r="B308" t="s">
        <v>1055</v>
      </c>
      <c r="C308" t="s">
        <v>1056</v>
      </c>
      <c r="D308">
        <v>110743</v>
      </c>
      <c r="E308">
        <v>2219326</v>
      </c>
      <c r="F308">
        <v>107766</v>
      </c>
      <c r="G308">
        <v>7787735</v>
      </c>
      <c r="H308">
        <v>670526</v>
      </c>
      <c r="I308">
        <v>14534</v>
      </c>
      <c r="J308">
        <v>24985</v>
      </c>
      <c r="K308">
        <v>50197</v>
      </c>
      <c r="L308">
        <v>15241734</v>
      </c>
      <c r="M308">
        <v>14081</v>
      </c>
      <c r="N308">
        <v>46534</v>
      </c>
      <c r="O308">
        <v>100074</v>
      </c>
      <c r="P308">
        <v>5752681</v>
      </c>
      <c r="Q308">
        <v>3641686</v>
      </c>
      <c r="R308">
        <v>505858</v>
      </c>
      <c r="S308">
        <v>2132760</v>
      </c>
      <c r="T308">
        <v>0</v>
      </c>
      <c r="U308">
        <v>3853401</v>
      </c>
      <c r="V308">
        <v>704</v>
      </c>
      <c r="W308">
        <v>2522786</v>
      </c>
      <c r="X308">
        <v>1378327</v>
      </c>
      <c r="Y308">
        <v>834060</v>
      </c>
      <c r="Z308">
        <v>273285</v>
      </c>
      <c r="AA308">
        <v>508147</v>
      </c>
      <c r="AB308">
        <v>20945</v>
      </c>
      <c r="AC308">
        <v>9324</v>
      </c>
      <c r="AD308">
        <v>66897</v>
      </c>
      <c r="AE308">
        <v>117488</v>
      </c>
      <c r="AF308">
        <v>9021</v>
      </c>
      <c r="AG308">
        <v>1346</v>
      </c>
      <c r="AH308">
        <v>436</v>
      </c>
      <c r="AI308">
        <v>75331</v>
      </c>
      <c r="AJ308">
        <v>573519</v>
      </c>
      <c r="AK308">
        <v>7733</v>
      </c>
      <c r="AL308">
        <v>769</v>
      </c>
      <c r="AM308">
        <v>3695311</v>
      </c>
      <c r="AN308">
        <v>2764020</v>
      </c>
      <c r="AO308">
        <v>0</v>
      </c>
      <c r="AP308">
        <v>584164</v>
      </c>
      <c r="AQ308">
        <v>6515094</v>
      </c>
      <c r="AR308">
        <v>234827</v>
      </c>
      <c r="AS308">
        <v>142705</v>
      </c>
      <c r="AT308">
        <v>365880</v>
      </c>
      <c r="AU308">
        <v>3000311</v>
      </c>
      <c r="AV308">
        <v>55612</v>
      </c>
      <c r="AW308">
        <v>0</v>
      </c>
      <c r="AX308">
        <v>567644</v>
      </c>
      <c r="AY308">
        <v>190083</v>
      </c>
      <c r="AZ308">
        <v>423886</v>
      </c>
      <c r="BA308">
        <v>0</v>
      </c>
      <c r="BB308">
        <v>184958</v>
      </c>
      <c r="BC308">
        <v>0</v>
      </c>
      <c r="BD308">
        <v>3352</v>
      </c>
      <c r="BE308">
        <v>6150363</v>
      </c>
      <c r="BF308">
        <v>20376</v>
      </c>
      <c r="BG308">
        <v>1857</v>
      </c>
      <c r="BH308">
        <v>43619</v>
      </c>
      <c r="BI308">
        <v>102876</v>
      </c>
      <c r="BJ308">
        <v>40916</v>
      </c>
      <c r="BK308">
        <v>384008</v>
      </c>
      <c r="BL308">
        <v>0</v>
      </c>
      <c r="BM308">
        <v>0</v>
      </c>
      <c r="BN308">
        <v>743611</v>
      </c>
      <c r="BO308">
        <v>176186</v>
      </c>
      <c r="BP308">
        <v>18090</v>
      </c>
      <c r="BQ308">
        <v>33637</v>
      </c>
      <c r="BR308">
        <v>225135</v>
      </c>
      <c r="BS308">
        <v>2791303</v>
      </c>
      <c r="BT308">
        <v>167015</v>
      </c>
      <c r="BU308">
        <v>129303</v>
      </c>
      <c r="BV308">
        <v>51833</v>
      </c>
      <c r="BW308">
        <v>13281</v>
      </c>
      <c r="BX308">
        <v>0</v>
      </c>
      <c r="BY308">
        <v>0</v>
      </c>
      <c r="BZ308">
        <v>2459578</v>
      </c>
      <c r="CA308">
        <v>3201</v>
      </c>
    </row>
    <row r="309" spans="1:89" s="1002" customFormat="1" ht="21.6" customHeight="1" x14ac:dyDescent="0.3">
      <c r="A309" s="997" t="s">
        <v>1991</v>
      </c>
      <c r="B309" s="998" t="s">
        <v>1981</v>
      </c>
      <c r="C309" s="998" t="s">
        <v>1990</v>
      </c>
      <c r="D309" s="1001">
        <f t="shared" ref="D309:AI309" si="0">D295/(D296)</f>
        <v>0.21281498154777242</v>
      </c>
      <c r="E309" s="1001">
        <f t="shared" si="0"/>
        <v>1.6048718604926753</v>
      </c>
      <c r="F309" s="1001">
        <f t="shared" si="0"/>
        <v>1.374864722754676</v>
      </c>
      <c r="G309" s="1001">
        <f t="shared" si="0"/>
        <v>0.48369842781481026</v>
      </c>
      <c r="H309" s="1001">
        <f t="shared" si="0"/>
        <v>0.62579076589302596</v>
      </c>
      <c r="I309" s="1001">
        <f t="shared" si="0"/>
        <v>1.5499093096427909</v>
      </c>
      <c r="J309" s="1001">
        <f t="shared" si="0"/>
        <v>1.6546408978250577</v>
      </c>
      <c r="K309" s="1001">
        <f t="shared" si="0"/>
        <v>0.60245205717379979</v>
      </c>
      <c r="L309" s="1001">
        <f t="shared" si="0"/>
        <v>0.46329137662182296</v>
      </c>
      <c r="M309" s="1001">
        <f t="shared" si="0"/>
        <v>2.7785456258834618</v>
      </c>
      <c r="N309" s="1001">
        <f t="shared" si="0"/>
        <v>0.70095797076174615</v>
      </c>
      <c r="O309" s="1001">
        <f t="shared" si="0"/>
        <v>0.53662438779184818</v>
      </c>
      <c r="P309" s="1001">
        <f t="shared" si="0"/>
        <v>0.28214609064548446</v>
      </c>
      <c r="Q309" s="1001">
        <f t="shared" si="0"/>
        <v>0.90616235095957665</v>
      </c>
      <c r="R309" s="1001">
        <f t="shared" si="0"/>
        <v>0.38308182917762718</v>
      </c>
      <c r="S309" s="1001">
        <f t="shared" si="0"/>
        <v>0.45314934913859678</v>
      </c>
      <c r="T309" s="1001" t="e">
        <f t="shared" si="0"/>
        <v>#DIV/0!</v>
      </c>
      <c r="U309" s="1001">
        <f t="shared" si="0"/>
        <v>0.26710630253771367</v>
      </c>
      <c r="V309" s="1001">
        <f t="shared" si="0"/>
        <v>5.6426123903508776</v>
      </c>
      <c r="W309" s="1001">
        <f t="shared" si="0"/>
        <v>1.2271857335655294</v>
      </c>
      <c r="X309" s="1001">
        <f t="shared" si="0"/>
        <v>0.3445286741373495</v>
      </c>
      <c r="Y309" s="1001">
        <f t="shared" si="0"/>
        <v>0.9259798230784243</v>
      </c>
      <c r="Z309" s="1001">
        <f t="shared" si="0"/>
        <v>1.3269229168227645</v>
      </c>
      <c r="AA309" s="1001">
        <f t="shared" si="0"/>
        <v>0.68439960156596957</v>
      </c>
      <c r="AB309" s="1001">
        <f t="shared" si="0"/>
        <v>0.94561300759856115</v>
      </c>
      <c r="AC309" s="1001">
        <f t="shared" si="0"/>
        <v>0.45441535525964832</v>
      </c>
      <c r="AD309" s="1001">
        <f t="shared" si="0"/>
        <v>1.1395321334734179</v>
      </c>
      <c r="AE309" s="1001">
        <f t="shared" si="0"/>
        <v>0.4499464896982952</v>
      </c>
      <c r="AF309" s="1001">
        <f t="shared" si="0"/>
        <v>0.6269198820789289</v>
      </c>
      <c r="AG309" s="1001">
        <f t="shared" si="0"/>
        <v>1.685860465116279</v>
      </c>
      <c r="AH309" s="1001">
        <f t="shared" si="0"/>
        <v>1.2672130447773937</v>
      </c>
      <c r="AI309" s="1001">
        <f t="shared" si="0"/>
        <v>1.1028584225369902</v>
      </c>
      <c r="AJ309" s="1001">
        <f t="shared" ref="AJ309:BR309" si="1">AJ295/(AJ296)</f>
        <v>0.37884380819576985</v>
      </c>
      <c r="AK309" s="1001">
        <f t="shared" si="1"/>
        <v>1.3097524024470972</v>
      </c>
      <c r="AL309" s="1001">
        <f t="shared" si="1"/>
        <v>5.0134745343662432</v>
      </c>
      <c r="AM309" s="1001">
        <f t="shared" si="1"/>
        <v>0.52013469630621045</v>
      </c>
      <c r="AN309" s="1001">
        <f t="shared" si="1"/>
        <v>0.70636022802235143</v>
      </c>
      <c r="AO309" s="1001" t="e">
        <f t="shared" si="1"/>
        <v>#DIV/0!</v>
      </c>
      <c r="AP309" s="1001">
        <f t="shared" si="1"/>
        <v>0.81393781635429296</v>
      </c>
      <c r="AQ309" s="1001">
        <f t="shared" si="1"/>
        <v>0.4164286041610305</v>
      </c>
      <c r="AR309" s="1001">
        <f t="shared" si="1"/>
        <v>0.8135163741214102</v>
      </c>
      <c r="AS309" s="1001">
        <f t="shared" si="1"/>
        <v>0.88114394978874866</v>
      </c>
      <c r="AT309" s="1001">
        <f t="shared" si="1"/>
        <v>0.31935613439600818</v>
      </c>
      <c r="AU309" s="1001">
        <f t="shared" si="1"/>
        <v>0.31783337528903266</v>
      </c>
      <c r="AV309" s="1001">
        <f t="shared" si="1"/>
        <v>1.4729839113776702</v>
      </c>
      <c r="AW309" s="1001" t="e">
        <f t="shared" si="1"/>
        <v>#DIV/0!</v>
      </c>
      <c r="AX309" s="1001">
        <f t="shared" si="1"/>
        <v>1.0118192625210727</v>
      </c>
      <c r="AY309" s="1001">
        <f t="shared" si="1"/>
        <v>0.63863640390080101</v>
      </c>
      <c r="AZ309" s="1001">
        <f t="shared" si="1"/>
        <v>0.31149110784910877</v>
      </c>
      <c r="BA309" s="1001">
        <f t="shared" si="1"/>
        <v>2.06107298701769</v>
      </c>
      <c r="BB309" s="1001">
        <f t="shared" si="1"/>
        <v>0.73009287222539498</v>
      </c>
      <c r="BC309" s="1001" t="e">
        <f t="shared" si="1"/>
        <v>#DIV/0!</v>
      </c>
      <c r="BD309" s="1001">
        <f t="shared" si="1"/>
        <v>5.343681894814754</v>
      </c>
      <c r="BE309" s="1001">
        <f t="shared" si="1"/>
        <v>8.0707853259300077E-2</v>
      </c>
      <c r="BF309" s="1001">
        <f t="shared" si="1"/>
        <v>2.9645374343151905</v>
      </c>
      <c r="BG309" s="1001">
        <f t="shared" si="1"/>
        <v>3.4575596051340272</v>
      </c>
      <c r="BH309" s="1001">
        <f t="shared" si="1"/>
        <v>1.0981460550114257</v>
      </c>
      <c r="BI309" s="1001">
        <f t="shared" si="1"/>
        <v>1.3861641629382642</v>
      </c>
      <c r="BJ309" s="1001">
        <f t="shared" si="1"/>
        <v>0.24219603882969062</v>
      </c>
      <c r="BK309" s="1001">
        <f t="shared" si="1"/>
        <v>0.38012337811104291</v>
      </c>
      <c r="BL309" s="1001">
        <f t="shared" si="1"/>
        <v>1.3711733550147092</v>
      </c>
      <c r="BM309" s="1001">
        <f t="shared" si="1"/>
        <v>4.4056308654848797</v>
      </c>
      <c r="BN309" s="1001">
        <f t="shared" si="1"/>
        <v>0.44409731598523272</v>
      </c>
      <c r="BO309" s="1001">
        <f t="shared" si="1"/>
        <v>2.3258630638269895</v>
      </c>
      <c r="BP309" s="1001">
        <f t="shared" si="1"/>
        <v>0.98104017985576386</v>
      </c>
      <c r="BQ309" s="1001">
        <f t="shared" si="1"/>
        <v>0.13605155436689181</v>
      </c>
      <c r="BR309" s="1001">
        <f t="shared" si="1"/>
        <v>1.6469408547453632</v>
      </c>
      <c r="BS309" s="1001">
        <f t="shared" ref="BS309:BZ309" si="2">BS295/(BS296)</f>
        <v>0.46380667210798937</v>
      </c>
      <c r="BT309" s="1001">
        <f t="shared" si="2"/>
        <v>1.11008590489141</v>
      </c>
      <c r="BU309" s="1001">
        <f t="shared" si="2"/>
        <v>0.70336101815242835</v>
      </c>
      <c r="BV309" s="1001">
        <f t="shared" si="2"/>
        <v>0.73267776750455815</v>
      </c>
      <c r="BW309" s="1001">
        <f t="shared" si="2"/>
        <v>1.3392671488416015</v>
      </c>
      <c r="BX309" s="1001">
        <f t="shared" si="2"/>
        <v>5.6908420208500399</v>
      </c>
      <c r="BY309" s="1001">
        <f t="shared" si="2"/>
        <v>3.5696717398361564</v>
      </c>
      <c r="BZ309" s="1001">
        <f t="shared" si="2"/>
        <v>0.61492898058821266</v>
      </c>
      <c r="CA309" s="1001"/>
      <c r="CB309" s="1001"/>
      <c r="CC309" s="1001"/>
      <c r="CD309" s="1001"/>
      <c r="CE309" s="1001"/>
      <c r="CF309" s="1001"/>
      <c r="CG309" s="1001"/>
      <c r="CH309" s="1001"/>
      <c r="CI309" s="1001"/>
      <c r="CJ309" s="1001"/>
      <c r="CK309" s="1001"/>
    </row>
    <row r="310" spans="1:89" s="571" customFormat="1" ht="20.399999999999999" customHeight="1" x14ac:dyDescent="0.3">
      <c r="A310" s="570" t="s">
        <v>1951</v>
      </c>
      <c r="B310" s="571" t="s">
        <v>1950</v>
      </c>
      <c r="D310" s="987" t="e">
        <f>1-((D146+D147+D148+D149)/(D138+D139+D140+D141))</f>
        <v>#DIV/0!</v>
      </c>
      <c r="E310" s="987" t="e">
        <f t="shared" ref="E310:BP310" si="3">1-((E146+E147+E148+E149)/(E138+E139+E140+E141))</f>
        <v>#DIV/0!</v>
      </c>
      <c r="F310" s="987">
        <f t="shared" si="3"/>
        <v>0.20813389885544076</v>
      </c>
      <c r="G310" s="987">
        <f t="shared" si="3"/>
        <v>0.27785888042005313</v>
      </c>
      <c r="H310" s="987">
        <f t="shared" si="3"/>
        <v>0.56558437538875228</v>
      </c>
      <c r="I310" s="987">
        <f t="shared" si="3"/>
        <v>0.14509698145960415</v>
      </c>
      <c r="J310" s="987">
        <f t="shared" si="3"/>
        <v>0.44130341815623353</v>
      </c>
      <c r="K310" s="987">
        <f t="shared" si="3"/>
        <v>0.65759980646656224</v>
      </c>
      <c r="L310" s="987">
        <f t="shared" si="3"/>
        <v>0.67835406386622998</v>
      </c>
      <c r="M310" s="987" t="e">
        <f t="shared" si="3"/>
        <v>#DIV/0!</v>
      </c>
      <c r="N310" s="987">
        <f t="shared" si="3"/>
        <v>0.31127519472694798</v>
      </c>
      <c r="O310" s="987">
        <f t="shared" si="3"/>
        <v>0.45584608323098175</v>
      </c>
      <c r="P310" s="987" t="e">
        <f t="shared" si="3"/>
        <v>#DIV/0!</v>
      </c>
      <c r="Q310" s="987">
        <f t="shared" si="3"/>
        <v>0.48560884048873698</v>
      </c>
      <c r="R310" s="987">
        <f t="shared" si="3"/>
        <v>0.57740127418943876</v>
      </c>
      <c r="S310" s="987">
        <f t="shared" si="3"/>
        <v>0.40221741048657611</v>
      </c>
      <c r="T310" s="987" t="e">
        <f t="shared" si="3"/>
        <v>#DIV/0!</v>
      </c>
      <c r="U310" s="987">
        <f t="shared" si="3"/>
        <v>0.49869925583892105</v>
      </c>
      <c r="V310" s="987" t="e">
        <f t="shared" si="3"/>
        <v>#DIV/0!</v>
      </c>
      <c r="W310" s="987" t="e">
        <f t="shared" si="3"/>
        <v>#DIV/0!</v>
      </c>
      <c r="X310" s="987" t="e">
        <f t="shared" si="3"/>
        <v>#DIV/0!</v>
      </c>
      <c r="Y310" s="987">
        <f t="shared" si="3"/>
        <v>0.58189582360286185</v>
      </c>
      <c r="Z310" s="987">
        <f t="shared" si="3"/>
        <v>0.38719246276914376</v>
      </c>
      <c r="AA310" s="987">
        <f t="shared" si="3"/>
        <v>0.56631963487169079</v>
      </c>
      <c r="AB310" s="987" t="e">
        <f t="shared" si="3"/>
        <v>#DIV/0!</v>
      </c>
      <c r="AC310" s="987">
        <f t="shared" si="3"/>
        <v>0.24573138879590162</v>
      </c>
      <c r="AD310" s="987">
        <f t="shared" si="3"/>
        <v>0.51703856175228236</v>
      </c>
      <c r="AE310" s="987">
        <f t="shared" si="3"/>
        <v>0.50505191443712349</v>
      </c>
      <c r="AF310" s="987">
        <f t="shared" si="3"/>
        <v>0.45446405965889469</v>
      </c>
      <c r="AG310" s="987" t="e">
        <f t="shared" si="3"/>
        <v>#DIV/0!</v>
      </c>
      <c r="AH310" s="987" t="e">
        <f t="shared" si="3"/>
        <v>#DIV/0!</v>
      </c>
      <c r="AI310" s="987">
        <f t="shared" si="3"/>
        <v>6.6799569977768258E-2</v>
      </c>
      <c r="AJ310" s="987">
        <f t="shared" si="3"/>
        <v>0.53263226781927697</v>
      </c>
      <c r="AK310" s="987">
        <f t="shared" si="3"/>
        <v>0.58501348153257804</v>
      </c>
      <c r="AL310" s="987" t="e">
        <f t="shared" si="3"/>
        <v>#DIV/0!</v>
      </c>
      <c r="AM310" s="987" t="e">
        <f t="shared" si="3"/>
        <v>#DIV/0!</v>
      </c>
      <c r="AN310" s="987">
        <f t="shared" si="3"/>
        <v>0.5870573822437648</v>
      </c>
      <c r="AO310" s="987" t="e">
        <f t="shared" si="3"/>
        <v>#DIV/0!</v>
      </c>
      <c r="AP310" s="987" t="e">
        <f t="shared" si="3"/>
        <v>#DIV/0!</v>
      </c>
      <c r="AQ310" s="987">
        <f t="shared" si="3"/>
        <v>0.44168746130972592</v>
      </c>
      <c r="AR310" s="987">
        <f t="shared" si="3"/>
        <v>0.34835771927722292</v>
      </c>
      <c r="AS310" s="987">
        <f t="shared" si="3"/>
        <v>0.70213522692392205</v>
      </c>
      <c r="AT310" s="987">
        <f t="shared" si="3"/>
        <v>0.49856152757349936</v>
      </c>
      <c r="AU310" s="987">
        <f t="shared" si="3"/>
        <v>0.36146590192102479</v>
      </c>
      <c r="AV310" s="987">
        <f t="shared" si="3"/>
        <v>0.28958291476619369</v>
      </c>
      <c r="AW310" s="987" t="e">
        <f t="shared" si="3"/>
        <v>#DIV/0!</v>
      </c>
      <c r="AX310" s="987">
        <f t="shared" si="3"/>
        <v>0.64224253611550419</v>
      </c>
      <c r="AY310" s="987">
        <f t="shared" si="3"/>
        <v>0.40042167843172427</v>
      </c>
      <c r="AZ310" s="987">
        <f t="shared" si="3"/>
        <v>0.47717735783202919</v>
      </c>
      <c r="BA310" s="987">
        <f t="shared" si="3"/>
        <v>0</v>
      </c>
      <c r="BB310" s="987">
        <f t="shared" si="3"/>
        <v>0.34845852220991724</v>
      </c>
      <c r="BC310" s="987" t="e">
        <f t="shared" si="3"/>
        <v>#DIV/0!</v>
      </c>
      <c r="BD310" s="987" t="e">
        <f t="shared" si="3"/>
        <v>#DIV/0!</v>
      </c>
      <c r="BE310" s="987">
        <f t="shared" si="3"/>
        <v>0.48352696113392013</v>
      </c>
      <c r="BF310" s="987">
        <f t="shared" si="3"/>
        <v>0.45570181048860681</v>
      </c>
      <c r="BG310" s="987" t="e">
        <f t="shared" si="3"/>
        <v>#DIV/0!</v>
      </c>
      <c r="BH310" s="987">
        <f t="shared" si="3"/>
        <v>0.33956603802538099</v>
      </c>
      <c r="BI310" s="987">
        <f t="shared" si="3"/>
        <v>0.59999321216472112</v>
      </c>
      <c r="BJ310" s="987">
        <f t="shared" si="3"/>
        <v>0.56610025362776506</v>
      </c>
      <c r="BK310" s="987">
        <f t="shared" si="3"/>
        <v>0.37770396227813297</v>
      </c>
      <c r="BL310" s="987">
        <f t="shared" si="3"/>
        <v>0.40521163768244495</v>
      </c>
      <c r="BM310" s="987" t="e">
        <f t="shared" si="3"/>
        <v>#DIV/0!</v>
      </c>
      <c r="BN310" s="987">
        <f t="shared" si="3"/>
        <v>0.47925512198672937</v>
      </c>
      <c r="BO310" s="987">
        <f t="shared" si="3"/>
        <v>0.51259403376293322</v>
      </c>
      <c r="BP310" s="987">
        <f t="shared" si="3"/>
        <v>0.49035628233915074</v>
      </c>
      <c r="BQ310" s="987">
        <f t="shared" ref="BQ310:BR310" si="4">1-((BQ146+BQ147+BQ148+BQ149)/(BQ138+BQ139+BQ140+BQ141))</f>
        <v>0.57773876261448587</v>
      </c>
      <c r="BR310" s="987" t="e">
        <f t="shared" si="4"/>
        <v>#DIV/0!</v>
      </c>
      <c r="BS310" s="987" t="e">
        <f t="shared" ref="BS310:BZ310" si="5">1-((BS146+BS147+BS148+BS149)/(BS138+BS139+BS140+BS141))</f>
        <v>#DIV/0!</v>
      </c>
      <c r="BT310" s="987">
        <f t="shared" si="5"/>
        <v>0.55198102893793677</v>
      </c>
      <c r="BU310" s="987">
        <f t="shared" si="5"/>
        <v>0.55275118984596006</v>
      </c>
      <c r="BV310" s="987">
        <f t="shared" si="5"/>
        <v>0.57494242603595191</v>
      </c>
      <c r="BW310" s="987">
        <f t="shared" si="5"/>
        <v>0.76992926134027306</v>
      </c>
      <c r="BX310" s="987" t="e">
        <f t="shared" si="5"/>
        <v>#DIV/0!</v>
      </c>
      <c r="BY310" s="987" t="e">
        <f t="shared" si="5"/>
        <v>#DIV/0!</v>
      </c>
      <c r="BZ310" s="987">
        <f t="shared" si="5"/>
        <v>0.70342754051705159</v>
      </c>
      <c r="CA310" s="987"/>
      <c r="CB310" s="987"/>
      <c r="CC310" s="987"/>
      <c r="CD310" s="987"/>
      <c r="CE310" s="987"/>
      <c r="CF310" s="987"/>
      <c r="CG310" s="987"/>
      <c r="CH310" s="987"/>
      <c r="CI310" s="987"/>
      <c r="CJ310" s="987"/>
      <c r="CK310" s="987"/>
    </row>
    <row r="313" spans="1:89" x14ac:dyDescent="0.3">
      <c r="D313" s="581">
        <f t="shared" ref="D313:U313" si="6">D297-D309</f>
        <v>-1.4981547772435766E-5</v>
      </c>
      <c r="E313" s="581">
        <f t="shared" si="6"/>
        <v>2.813950732472037E-5</v>
      </c>
      <c r="F313" s="581">
        <f t="shared" si="6"/>
        <v>3.5277245324039086E-5</v>
      </c>
      <c r="G313" s="581">
        <f t="shared" si="6"/>
        <v>1.5721851897576578E-6</v>
      </c>
      <c r="H313" s="581">
        <f t="shared" si="6"/>
        <v>9.2341069740653481E-6</v>
      </c>
      <c r="I313" s="581">
        <f t="shared" si="6"/>
        <v>-9.3096427908889723E-6</v>
      </c>
      <c r="J313" s="581">
        <f t="shared" si="6"/>
        <v>-4.0897825057673032E-5</v>
      </c>
      <c r="K313" s="581">
        <f t="shared" si="6"/>
        <v>4.7942826200242372E-5</v>
      </c>
      <c r="L313" s="581">
        <f t="shared" si="6"/>
        <v>8.6233781770306273E-6</v>
      </c>
      <c r="M313" s="581">
        <f t="shared" si="6"/>
        <v>-4.5625883461575256E-5</v>
      </c>
      <c r="N313" s="581">
        <f t="shared" si="6"/>
        <v>4.2029238253804557E-5</v>
      </c>
      <c r="O313" s="581">
        <f t="shared" si="6"/>
        <v>-2.4387791848212714E-5</v>
      </c>
      <c r="P313" s="581">
        <f t="shared" si="6"/>
        <v>-4.6090645484442305E-5</v>
      </c>
      <c r="Q313" s="581">
        <f t="shared" si="6"/>
        <v>3.7649040423359814E-5</v>
      </c>
      <c r="R313" s="581">
        <f t="shared" si="6"/>
        <v>1.8170822372820528E-5</v>
      </c>
      <c r="S313" s="581">
        <f t="shared" si="6"/>
        <v>-4.9349138596777031E-5</v>
      </c>
      <c r="T313" s="581" t="e">
        <f t="shared" si="6"/>
        <v>#DIV/0!</v>
      </c>
      <c r="U313" s="581">
        <f t="shared" si="6"/>
        <v>-6.3025377136649574E-6</v>
      </c>
      <c r="W313" s="581">
        <f>W297-W309</f>
        <v>1.4266434470666667E-5</v>
      </c>
      <c r="X313" s="581">
        <f>X297-X309</f>
        <v>-2.8674137349526951E-5</v>
      </c>
      <c r="Y313" s="581">
        <f>Y297-Y309</f>
        <v>2.0176921575743023E-5</v>
      </c>
      <c r="AA313" s="581">
        <f t="shared" ref="AA313:AT313" si="7">AA297-AA309</f>
        <v>3.9843403043526848E-7</v>
      </c>
      <c r="AB313" s="581">
        <f t="shared" si="7"/>
        <v>-1.300759856115441E-5</v>
      </c>
      <c r="AC313" s="581">
        <f t="shared" si="7"/>
        <v>-1.5355259648297537E-5</v>
      </c>
      <c r="AD313" s="581">
        <f t="shared" si="7"/>
        <v>-3.2133473417905734E-5</v>
      </c>
      <c r="AE313" s="581">
        <f t="shared" si="7"/>
        <v>-4.6489698295182347E-5</v>
      </c>
      <c r="AF313" s="581">
        <f t="shared" si="7"/>
        <v>-1.9882078928890046E-5</v>
      </c>
      <c r="AG313" s="581">
        <f t="shared" si="7"/>
        <v>3.9534883720993008E-5</v>
      </c>
      <c r="AH313" s="581">
        <f t="shared" si="7"/>
        <v>-1.304477739361154E-5</v>
      </c>
      <c r="AI313" s="581">
        <f t="shared" si="7"/>
        <v>4.1577463009812021E-5</v>
      </c>
      <c r="AJ313" s="581">
        <f t="shared" si="7"/>
        <v>-4.380819576982331E-5</v>
      </c>
      <c r="AK313" s="581">
        <f t="shared" si="7"/>
        <v>4.7597552902844953E-5</v>
      </c>
      <c r="AL313" s="581">
        <f t="shared" si="7"/>
        <v>2.5465633756382999E-5</v>
      </c>
      <c r="AM313" s="581">
        <f t="shared" si="7"/>
        <v>-3.4696306210446615E-5</v>
      </c>
      <c r="AN313" s="581">
        <f t="shared" si="7"/>
        <v>3.9771977648594969E-5</v>
      </c>
      <c r="AO313" s="581" t="e">
        <f t="shared" si="7"/>
        <v>#DIV/0!</v>
      </c>
      <c r="AP313" s="581">
        <f t="shared" si="7"/>
        <v>-3.781635429300767E-5</v>
      </c>
      <c r="AQ313" s="581">
        <f t="shared" si="7"/>
        <v>-2.8604161030509889E-5</v>
      </c>
      <c r="AR313" s="581">
        <f t="shared" si="7"/>
        <v>-1.6374121410200893E-5</v>
      </c>
      <c r="AS313" s="581">
        <f t="shared" si="7"/>
        <v>-4.3949788748665064E-5</v>
      </c>
      <c r="AT313" s="581">
        <f t="shared" si="7"/>
        <v>4.3865603991832813E-5</v>
      </c>
      <c r="AV313" s="581">
        <f t="shared" ref="AV313:BZ313" si="8">AV297-AV309</f>
        <v>1.6088622329935021E-5</v>
      </c>
      <c r="AW313" s="581" t="e">
        <f t="shared" si="8"/>
        <v>#DIV/0!</v>
      </c>
      <c r="AX313" s="581">
        <f t="shared" si="8"/>
        <v>-1.9262521072649363E-5</v>
      </c>
      <c r="AY313" s="581">
        <f t="shared" si="8"/>
        <v>-3.6403900801063038E-5</v>
      </c>
      <c r="AZ313" s="581">
        <f t="shared" si="8"/>
        <v>8.8921508912265246E-6</v>
      </c>
      <c r="BA313" s="581">
        <f t="shared" si="8"/>
        <v>2.7012982310115063E-5</v>
      </c>
      <c r="BB313" s="581">
        <f t="shared" si="8"/>
        <v>7.1277746049869251E-6</v>
      </c>
      <c r="BC313" s="581" t="e">
        <f t="shared" si="8"/>
        <v>#DIV/0!</v>
      </c>
      <c r="BD313" s="581">
        <f t="shared" si="8"/>
        <v>1.8105185246142241E-5</v>
      </c>
      <c r="BE313" s="581">
        <f t="shared" si="8"/>
        <v>-7.8532593000835149E-6</v>
      </c>
      <c r="BF313" s="581">
        <f t="shared" si="8"/>
        <v>-3.7434315190321144E-5</v>
      </c>
      <c r="BG313" s="581">
        <f t="shared" si="8"/>
        <v>4.0394865972626093E-5</v>
      </c>
      <c r="BH313" s="581">
        <f t="shared" si="8"/>
        <v>-4.6055011425627512E-5</v>
      </c>
      <c r="BI313" s="581">
        <f t="shared" si="8"/>
        <v>3.5837061735932707E-5</v>
      </c>
      <c r="BJ313" s="581">
        <f t="shared" si="8"/>
        <v>3.9611703093744843E-6</v>
      </c>
      <c r="BK313" s="581">
        <f t="shared" si="8"/>
        <v>-2.3378111042915428E-5</v>
      </c>
      <c r="BL313" s="581">
        <f t="shared" si="8"/>
        <v>2.6644985290813494E-5</v>
      </c>
      <c r="BM313" s="581">
        <f t="shared" si="8"/>
        <v>-3.0865484879960547E-5</v>
      </c>
      <c r="BN313" s="581">
        <f t="shared" si="8"/>
        <v>2.6840147672735348E-6</v>
      </c>
      <c r="BO313" s="581">
        <f t="shared" si="8"/>
        <v>3.693617301037122E-5</v>
      </c>
      <c r="BP313" s="581">
        <f t="shared" si="8"/>
        <v>-4.0179855763877725E-5</v>
      </c>
      <c r="BQ313" s="581">
        <f t="shared" si="8"/>
        <v>4.844563310818506E-5</v>
      </c>
      <c r="BR313" s="581">
        <f t="shared" si="8"/>
        <v>-4.0854745363194667E-5</v>
      </c>
      <c r="BS313" s="581">
        <f t="shared" si="8"/>
        <v>-6.6721079893805602E-6</v>
      </c>
      <c r="BT313" s="581">
        <f t="shared" si="8"/>
        <v>1.4095108590073124E-5</v>
      </c>
      <c r="BU313" s="581">
        <f t="shared" si="8"/>
        <v>3.8981847571673001E-5</v>
      </c>
      <c r="BV313" s="581">
        <f t="shared" si="8"/>
        <v>2.2232495441865119E-5</v>
      </c>
      <c r="BW313" s="581">
        <f t="shared" si="8"/>
        <v>3.2851158398461422E-5</v>
      </c>
      <c r="BX313" s="581">
        <f t="shared" si="8"/>
        <v>-4.2020850039570234E-5</v>
      </c>
      <c r="BY313" s="581">
        <f t="shared" si="8"/>
        <v>2.8260163843718544E-5</v>
      </c>
      <c r="BZ313" s="581">
        <f t="shared" si="8"/>
        <v>-2.8980588212657032E-5</v>
      </c>
      <c r="CA313" s="581"/>
      <c r="CB313" s="581"/>
      <c r="CC313" s="581"/>
      <c r="CD313" s="581"/>
    </row>
    <row r="314" spans="1:89" x14ac:dyDescent="0.3">
      <c r="V314" s="581">
        <f>V297-V309</f>
        <v>-1.2390350877744538E-5</v>
      </c>
      <c r="Z314" s="581">
        <f>Z297-Z309</f>
        <v>-2.2916822764562639E-5</v>
      </c>
      <c r="AU314" s="581">
        <f>AU297-AU309</f>
        <v>-3.3375289032633315E-5</v>
      </c>
    </row>
  </sheetData>
  <sheetProtection algorithmName="SHA-512" hashValue="rMJ4IYfrZBYUArS3B5jUEo0Xn2qdCrchfs5xmUMsHIvfyCpZE7gopCF0hLnYFonNubdQmmUf3EB2VoCOTvogew==" saltValue="FH9BeQiDPcKiZ2+snipPsQ=="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1" sqref="C1"/>
    </sheetView>
  </sheetViews>
  <sheetFormatPr defaultColWidth="9.109375" defaultRowHeight="14.4" x14ac:dyDescent="0.3"/>
  <cols>
    <col min="1" max="1" width="28.5546875" style="384" customWidth="1"/>
    <col min="2" max="12" width="9.109375" style="384"/>
    <col min="13" max="13" width="21.6640625" style="384" customWidth="1"/>
    <col min="14" max="14" width="16.88671875" style="384" customWidth="1"/>
    <col min="15" max="16" width="9.109375" style="384"/>
    <col min="17" max="17" width="18.109375" style="384" customWidth="1"/>
    <col min="18" max="18" width="11" style="384" customWidth="1"/>
    <col min="19" max="16384" width="9.109375" style="384"/>
  </cols>
  <sheetData>
    <row r="1" spans="1:20" x14ac:dyDescent="0.3">
      <c r="A1" s="384" t="s">
        <v>815</v>
      </c>
    </row>
    <row r="2" spans="1:20" ht="15" thickBot="1" x14ac:dyDescent="0.35">
      <c r="A2" s="382" t="s">
        <v>436</v>
      </c>
      <c r="B2" s="156">
        <v>50476</v>
      </c>
      <c r="C2" s="380">
        <v>50</v>
      </c>
      <c r="D2" s="50"/>
      <c r="E2" s="50"/>
      <c r="G2" s="384">
        <v>100</v>
      </c>
      <c r="I2" s="384" t="s">
        <v>332</v>
      </c>
    </row>
    <row r="3" spans="1:20" ht="15" customHeight="1" thickBot="1" x14ac:dyDescent="0.35">
      <c r="A3" s="383" t="s">
        <v>1318</v>
      </c>
      <c r="B3" s="156">
        <v>50191</v>
      </c>
      <c r="C3" s="380">
        <v>50</v>
      </c>
      <c r="D3" s="49"/>
      <c r="E3" s="50"/>
      <c r="G3" s="384">
        <v>200</v>
      </c>
      <c r="I3" s="384" t="s">
        <v>333</v>
      </c>
      <c r="O3" s="386"/>
      <c r="P3" s="386"/>
      <c r="S3" s="386"/>
      <c r="T3" s="386"/>
    </row>
    <row r="4" spans="1:20" ht="15" customHeight="1" thickBot="1" x14ac:dyDescent="0.35">
      <c r="A4" s="383" t="s">
        <v>437</v>
      </c>
      <c r="B4" s="156">
        <v>50192</v>
      </c>
      <c r="C4" s="380">
        <v>50</v>
      </c>
      <c r="D4" s="49"/>
      <c r="E4" s="50"/>
      <c r="G4" s="384">
        <v>300</v>
      </c>
      <c r="I4" s="384" t="s">
        <v>334</v>
      </c>
      <c r="O4" s="386"/>
      <c r="P4" s="386"/>
      <c r="S4" s="386"/>
      <c r="T4" s="386"/>
    </row>
    <row r="5" spans="1:20" ht="15" thickBot="1" x14ac:dyDescent="0.35">
      <c r="A5" s="383" t="s">
        <v>1319</v>
      </c>
      <c r="B5" s="156">
        <v>50193</v>
      </c>
      <c r="C5" s="380">
        <v>50</v>
      </c>
      <c r="D5" s="49"/>
      <c r="E5" s="50"/>
      <c r="G5" s="384">
        <v>400</v>
      </c>
      <c r="O5" s="386"/>
      <c r="P5" s="386"/>
      <c r="S5" s="386"/>
      <c r="T5" s="386"/>
    </row>
    <row r="6" spans="1:20" ht="15" thickBot="1" x14ac:dyDescent="0.35">
      <c r="A6" s="383" t="s">
        <v>1320</v>
      </c>
      <c r="B6" s="156">
        <v>50194</v>
      </c>
      <c r="C6" s="380">
        <v>50</v>
      </c>
      <c r="D6" s="49"/>
      <c r="E6" s="50"/>
      <c r="G6" s="384">
        <v>500</v>
      </c>
      <c r="O6" s="386"/>
      <c r="P6" s="386"/>
      <c r="S6" s="386"/>
      <c r="T6" s="386"/>
    </row>
    <row r="7" spans="1:20" ht="15" thickBot="1" x14ac:dyDescent="0.35">
      <c r="A7" s="383" t="s">
        <v>1321</v>
      </c>
      <c r="B7" s="156">
        <v>50195</v>
      </c>
      <c r="C7" s="380">
        <v>50</v>
      </c>
      <c r="D7" s="49"/>
      <c r="E7" s="50"/>
      <c r="O7" s="386"/>
      <c r="P7" s="386"/>
      <c r="S7" s="386"/>
      <c r="T7" s="386"/>
    </row>
    <row r="8" spans="1:20" ht="15" thickBot="1" x14ac:dyDescent="0.35">
      <c r="A8" s="383" t="s">
        <v>1322</v>
      </c>
      <c r="B8" s="156">
        <v>50196</v>
      </c>
      <c r="C8" s="380">
        <v>50</v>
      </c>
      <c r="D8" s="49"/>
      <c r="E8" s="50"/>
      <c r="O8" s="386"/>
      <c r="P8" s="386"/>
      <c r="S8" s="386"/>
      <c r="T8" s="386"/>
    </row>
    <row r="9" spans="1:20" ht="15" thickBot="1" x14ac:dyDescent="0.35">
      <c r="A9" s="383" t="s">
        <v>1323</v>
      </c>
      <c r="B9" s="156">
        <v>50197</v>
      </c>
      <c r="C9" s="380">
        <v>50</v>
      </c>
      <c r="D9" s="49"/>
      <c r="E9" s="50"/>
      <c r="O9" s="386"/>
      <c r="P9" s="386"/>
      <c r="S9" s="386"/>
      <c r="T9" s="386"/>
    </row>
    <row r="10" spans="1:20" ht="15" thickBot="1" x14ac:dyDescent="0.35">
      <c r="A10" s="383" t="s">
        <v>1324</v>
      </c>
      <c r="B10" s="156">
        <v>50498</v>
      </c>
      <c r="C10" s="380">
        <v>50</v>
      </c>
      <c r="D10" s="49"/>
      <c r="E10" s="50"/>
      <c r="O10" s="386"/>
      <c r="P10" s="386"/>
      <c r="S10" s="386"/>
      <c r="T10" s="386"/>
    </row>
    <row r="11" spans="1:20" ht="15" thickBot="1" x14ac:dyDescent="0.35">
      <c r="A11" s="383" t="s">
        <v>1325</v>
      </c>
      <c r="B11" s="156">
        <v>50198</v>
      </c>
      <c r="C11" s="380">
        <v>50</v>
      </c>
      <c r="D11" s="49"/>
      <c r="E11" s="50"/>
      <c r="O11" s="386"/>
      <c r="P11" s="386"/>
      <c r="S11" s="386"/>
      <c r="T11" s="386"/>
    </row>
    <row r="12" spans="1:20" ht="15" thickBot="1" x14ac:dyDescent="0.35">
      <c r="A12" s="383" t="s">
        <v>1326</v>
      </c>
      <c r="B12" s="156">
        <v>50199</v>
      </c>
      <c r="C12" s="380">
        <v>50</v>
      </c>
      <c r="D12" s="49"/>
      <c r="E12" s="50"/>
      <c r="O12" s="386"/>
      <c r="P12" s="386"/>
      <c r="S12" s="386"/>
      <c r="T12" s="386"/>
    </row>
    <row r="13" spans="1:20" ht="15" thickBot="1" x14ac:dyDescent="0.35">
      <c r="A13" s="383" t="s">
        <v>1327</v>
      </c>
      <c r="B13" s="156">
        <v>50200</v>
      </c>
      <c r="C13" s="380">
        <v>50</v>
      </c>
      <c r="D13" s="49"/>
      <c r="E13" s="50"/>
      <c r="O13" s="386"/>
      <c r="P13" s="386"/>
      <c r="S13" s="386"/>
      <c r="T13" s="386"/>
    </row>
    <row r="14" spans="1:20" ht="15" thickBot="1" x14ac:dyDescent="0.35">
      <c r="A14" s="383" t="s">
        <v>1328</v>
      </c>
      <c r="B14" s="156">
        <v>50201</v>
      </c>
      <c r="C14" s="380">
        <v>50</v>
      </c>
      <c r="D14" s="49"/>
      <c r="E14" s="50"/>
      <c r="O14" s="386"/>
      <c r="P14" s="386"/>
      <c r="S14" s="386"/>
      <c r="T14" s="386"/>
    </row>
    <row r="15" spans="1:20" ht="15" thickBot="1" x14ac:dyDescent="0.35">
      <c r="A15" s="383" t="s">
        <v>1329</v>
      </c>
      <c r="B15" s="156">
        <v>50202</v>
      </c>
      <c r="C15" s="380">
        <v>50</v>
      </c>
      <c r="D15" s="49"/>
      <c r="E15" s="50"/>
      <c r="O15" s="386"/>
      <c r="P15" s="386"/>
      <c r="S15" s="386"/>
      <c r="T15" s="386"/>
    </row>
    <row r="16" spans="1:20" ht="15" thickBot="1" x14ac:dyDescent="0.35">
      <c r="A16" s="383" t="s">
        <v>1330</v>
      </c>
      <c r="B16" s="156">
        <v>50493</v>
      </c>
      <c r="C16" s="380">
        <v>50</v>
      </c>
      <c r="D16" s="49"/>
      <c r="E16" s="50"/>
      <c r="O16" s="386"/>
      <c r="P16" s="386"/>
      <c r="S16" s="386"/>
      <c r="T16" s="386"/>
    </row>
    <row r="17" spans="1:20" ht="15" thickBot="1" x14ac:dyDescent="0.35">
      <c r="A17" s="383" t="s">
        <v>1331</v>
      </c>
      <c r="B17" s="156">
        <v>50203</v>
      </c>
      <c r="C17" s="380">
        <v>50</v>
      </c>
      <c r="D17" s="49"/>
      <c r="E17" s="50"/>
      <c r="O17" s="386"/>
      <c r="P17" s="386"/>
      <c r="S17" s="386"/>
      <c r="T17" s="386"/>
    </row>
    <row r="18" spans="1:20" ht="15" thickBot="1" x14ac:dyDescent="0.35">
      <c r="A18" s="383" t="s">
        <v>438</v>
      </c>
      <c r="B18" s="156">
        <v>50518</v>
      </c>
      <c r="C18" s="380">
        <v>50</v>
      </c>
      <c r="D18" s="49"/>
      <c r="E18" s="50"/>
      <c r="O18" s="386"/>
      <c r="P18" s="386"/>
      <c r="S18" s="386"/>
      <c r="T18" s="386"/>
    </row>
    <row r="19" spans="1:20" ht="15" thickBot="1" x14ac:dyDescent="0.35">
      <c r="A19" s="383" t="s">
        <v>1332</v>
      </c>
      <c r="B19" s="156">
        <v>50204</v>
      </c>
      <c r="C19" s="380">
        <v>50</v>
      </c>
      <c r="D19" s="49"/>
      <c r="E19" s="50"/>
      <c r="O19" s="386"/>
      <c r="P19" s="386"/>
      <c r="S19" s="386"/>
      <c r="T19" s="386"/>
    </row>
    <row r="20" spans="1:20" ht="15" thickBot="1" x14ac:dyDescent="0.35">
      <c r="A20" s="383" t="s">
        <v>1333</v>
      </c>
      <c r="B20" s="156">
        <v>50205</v>
      </c>
      <c r="C20" s="380">
        <v>50</v>
      </c>
      <c r="D20" s="49"/>
      <c r="E20" s="50"/>
      <c r="O20" s="386"/>
      <c r="P20" s="386"/>
      <c r="S20" s="386"/>
      <c r="T20" s="386"/>
    </row>
    <row r="21" spans="1:20" ht="15" thickBot="1" x14ac:dyDescent="0.35">
      <c r="A21" s="383" t="s">
        <v>1334</v>
      </c>
      <c r="B21" s="156">
        <v>50206</v>
      </c>
      <c r="C21" s="380">
        <v>50</v>
      </c>
      <c r="D21" s="49"/>
      <c r="E21" s="50"/>
      <c r="O21" s="386"/>
      <c r="P21" s="386"/>
      <c r="S21" s="386"/>
      <c r="T21" s="386"/>
    </row>
    <row r="22" spans="1:20" ht="15" thickBot="1" x14ac:dyDescent="0.35">
      <c r="A22" s="383" t="s">
        <v>1335</v>
      </c>
      <c r="B22" s="156">
        <v>50207</v>
      </c>
      <c r="C22" s="380">
        <v>50</v>
      </c>
      <c r="D22" s="49"/>
      <c r="E22" s="50"/>
      <c r="O22" s="386"/>
      <c r="P22" s="386"/>
      <c r="S22" s="386"/>
      <c r="T22" s="386"/>
    </row>
    <row r="23" spans="1:20" ht="15" thickBot="1" x14ac:dyDescent="0.35">
      <c r="A23" s="383" t="s">
        <v>1336</v>
      </c>
      <c r="B23" s="156">
        <v>50208</v>
      </c>
      <c r="C23" s="380">
        <v>50</v>
      </c>
      <c r="D23" s="49"/>
      <c r="E23" s="50"/>
      <c r="O23" s="386"/>
      <c r="P23" s="386"/>
      <c r="S23" s="386"/>
      <c r="T23" s="386"/>
    </row>
    <row r="24" spans="1:20" ht="15" thickBot="1" x14ac:dyDescent="0.35">
      <c r="A24" s="383" t="s">
        <v>1337</v>
      </c>
      <c r="B24" s="156">
        <v>50209</v>
      </c>
      <c r="C24" s="380">
        <v>50</v>
      </c>
      <c r="D24" s="49"/>
      <c r="E24" s="50"/>
      <c r="O24" s="386"/>
      <c r="P24" s="386"/>
      <c r="S24" s="386"/>
      <c r="T24" s="386"/>
    </row>
    <row r="25" spans="1:20" ht="15" thickBot="1" x14ac:dyDescent="0.35">
      <c r="A25" s="383" t="s">
        <v>1338</v>
      </c>
      <c r="B25" s="156">
        <v>50210</v>
      </c>
      <c r="C25" s="380">
        <v>50</v>
      </c>
      <c r="D25" s="49"/>
      <c r="E25" s="50"/>
      <c r="O25" s="386"/>
      <c r="P25" s="386"/>
      <c r="S25" s="386"/>
      <c r="T25" s="386"/>
    </row>
    <row r="26" spans="1:20" ht="15" thickBot="1" x14ac:dyDescent="0.35">
      <c r="A26" s="383" t="s">
        <v>1339</v>
      </c>
      <c r="B26" s="156">
        <v>50519</v>
      </c>
      <c r="C26" s="380">
        <v>50</v>
      </c>
      <c r="D26" s="49"/>
      <c r="E26" s="50"/>
      <c r="O26" s="386"/>
      <c r="P26" s="386"/>
      <c r="S26" s="386"/>
      <c r="T26" s="386"/>
    </row>
    <row r="27" spans="1:20" ht="15" thickBot="1" x14ac:dyDescent="0.35">
      <c r="A27" s="383" t="s">
        <v>1340</v>
      </c>
      <c r="B27" s="156">
        <v>50528</v>
      </c>
      <c r="C27" s="380">
        <v>50</v>
      </c>
      <c r="D27" s="49"/>
      <c r="E27" s="50"/>
      <c r="O27" s="386"/>
      <c r="P27" s="386"/>
      <c r="S27" s="386"/>
      <c r="T27" s="386"/>
    </row>
    <row r="28" spans="1:20" ht="15" thickBot="1" x14ac:dyDescent="0.35">
      <c r="A28" s="383" t="s">
        <v>1341</v>
      </c>
      <c r="B28" s="156">
        <v>50211</v>
      </c>
      <c r="C28" s="380">
        <v>50</v>
      </c>
      <c r="D28" s="49"/>
      <c r="E28" s="50"/>
      <c r="O28" s="386"/>
      <c r="P28" s="386"/>
      <c r="S28" s="386"/>
      <c r="T28" s="386"/>
    </row>
    <row r="29" spans="1:20" ht="15" thickBot="1" x14ac:dyDescent="0.35">
      <c r="A29" s="383" t="s">
        <v>1342</v>
      </c>
      <c r="B29" s="156">
        <v>50212</v>
      </c>
      <c r="C29" s="380">
        <v>50</v>
      </c>
      <c r="D29" s="49"/>
      <c r="E29" s="50"/>
      <c r="O29" s="386"/>
      <c r="P29" s="386"/>
      <c r="S29" s="386"/>
      <c r="T29" s="386"/>
    </row>
    <row r="30" spans="1:20" ht="15" thickBot="1" x14ac:dyDescent="0.35">
      <c r="A30" s="383" t="s">
        <v>1343</v>
      </c>
      <c r="B30" s="156">
        <v>50213</v>
      </c>
      <c r="C30" s="380">
        <v>50</v>
      </c>
      <c r="D30" s="49"/>
      <c r="E30" s="50"/>
      <c r="O30" s="386"/>
      <c r="P30" s="386"/>
      <c r="S30" s="386"/>
      <c r="T30" s="386"/>
    </row>
    <row r="31" spans="1:20" ht="15" thickBot="1" x14ac:dyDescent="0.35">
      <c r="A31" s="383" t="s">
        <v>1344</v>
      </c>
      <c r="B31" s="156">
        <v>50214</v>
      </c>
      <c r="C31" s="380">
        <v>50</v>
      </c>
      <c r="D31" s="49"/>
      <c r="E31" s="50"/>
      <c r="O31" s="386"/>
      <c r="P31" s="386"/>
      <c r="S31" s="386"/>
      <c r="T31" s="386"/>
    </row>
    <row r="32" spans="1:20" ht="15" thickBot="1" x14ac:dyDescent="0.35">
      <c r="A32" s="383" t="s">
        <v>1345</v>
      </c>
      <c r="B32" s="156">
        <v>50215</v>
      </c>
      <c r="C32" s="380">
        <v>50</v>
      </c>
      <c r="D32" s="49"/>
      <c r="E32" s="50"/>
      <c r="O32" s="386"/>
      <c r="P32" s="386"/>
      <c r="S32" s="386"/>
      <c r="T32" s="386"/>
    </row>
    <row r="33" spans="1:20" ht="15" thickBot="1" x14ac:dyDescent="0.35">
      <c r="A33" s="383" t="s">
        <v>1346</v>
      </c>
      <c r="B33" s="156">
        <v>50216</v>
      </c>
      <c r="C33" s="380">
        <v>50</v>
      </c>
      <c r="D33" s="49"/>
      <c r="E33" s="50"/>
      <c r="O33" s="386"/>
      <c r="P33" s="386"/>
      <c r="S33" s="386"/>
      <c r="T33" s="386"/>
    </row>
    <row r="34" spans="1:20" ht="15" thickBot="1" x14ac:dyDescent="0.35">
      <c r="A34" s="383" t="s">
        <v>1347</v>
      </c>
      <c r="B34" s="156">
        <v>50217</v>
      </c>
      <c r="C34" s="380">
        <v>50</v>
      </c>
      <c r="D34" s="49"/>
      <c r="E34" s="50"/>
      <c r="O34" s="386"/>
      <c r="P34" s="386"/>
      <c r="S34" s="386"/>
      <c r="T34" s="386"/>
    </row>
    <row r="35" spans="1:20" ht="15" thickBot="1" x14ac:dyDescent="0.35">
      <c r="A35" s="383" t="s">
        <v>1348</v>
      </c>
      <c r="B35" s="156">
        <v>50218</v>
      </c>
      <c r="C35" s="380">
        <v>50</v>
      </c>
      <c r="D35" s="49"/>
      <c r="E35" s="50"/>
      <c r="O35" s="386"/>
      <c r="P35" s="386"/>
      <c r="S35" s="386"/>
      <c r="T35" s="386"/>
    </row>
    <row r="36" spans="1:20" ht="15" thickBot="1" x14ac:dyDescent="0.35">
      <c r="A36" s="383" t="s">
        <v>1349</v>
      </c>
      <c r="B36" s="156">
        <v>50477</v>
      </c>
      <c r="C36" s="380">
        <v>50</v>
      </c>
      <c r="D36" s="49"/>
      <c r="E36" s="50"/>
      <c r="O36" s="386"/>
      <c r="P36" s="386"/>
      <c r="S36" s="386"/>
      <c r="T36" s="386"/>
    </row>
    <row r="37" spans="1:20" ht="15" thickBot="1" x14ac:dyDescent="0.35">
      <c r="A37" s="383" t="s">
        <v>1350</v>
      </c>
      <c r="B37" s="156">
        <v>50520</v>
      </c>
      <c r="C37" s="380">
        <v>50</v>
      </c>
      <c r="D37" s="49"/>
      <c r="E37" s="50"/>
      <c r="O37" s="386"/>
      <c r="P37" s="386"/>
      <c r="S37" s="386"/>
      <c r="T37" s="386"/>
    </row>
    <row r="38" spans="1:20" ht="15" thickBot="1" x14ac:dyDescent="0.35">
      <c r="A38" s="383" t="s">
        <v>1351</v>
      </c>
      <c r="B38" s="156">
        <v>50219</v>
      </c>
      <c r="C38" s="380">
        <v>50</v>
      </c>
      <c r="D38" s="49"/>
      <c r="E38" s="50"/>
      <c r="O38" s="386"/>
      <c r="P38" s="386"/>
      <c r="S38" s="386"/>
      <c r="T38" s="386"/>
    </row>
    <row r="39" spans="1:20" ht="15" thickBot="1" x14ac:dyDescent="0.35">
      <c r="A39" s="383" t="s">
        <v>1352</v>
      </c>
      <c r="B39" s="156">
        <v>50220</v>
      </c>
      <c r="C39" s="380">
        <v>50</v>
      </c>
      <c r="D39" s="49"/>
      <c r="E39" s="50"/>
      <c r="O39" s="386"/>
      <c r="P39" s="386"/>
      <c r="S39" s="386"/>
      <c r="T39" s="386"/>
    </row>
    <row r="40" spans="1:20" ht="15" thickBot="1" x14ac:dyDescent="0.35">
      <c r="A40" s="383" t="s">
        <v>1353</v>
      </c>
      <c r="B40" s="156">
        <v>50536</v>
      </c>
      <c r="C40" s="380">
        <v>50</v>
      </c>
      <c r="D40" s="49"/>
      <c r="E40" s="50"/>
      <c r="O40" s="386"/>
      <c r="P40" s="386"/>
      <c r="S40" s="386"/>
      <c r="T40" s="386"/>
    </row>
    <row r="41" spans="1:20" ht="15" thickBot="1" x14ac:dyDescent="0.35">
      <c r="A41" s="383" t="s">
        <v>1354</v>
      </c>
      <c r="B41" s="156">
        <v>50221</v>
      </c>
      <c r="C41" s="380">
        <v>50</v>
      </c>
      <c r="D41" s="49"/>
      <c r="E41" s="50"/>
      <c r="O41" s="386"/>
      <c r="P41" s="386"/>
      <c r="S41" s="386"/>
      <c r="T41" s="386"/>
    </row>
    <row r="42" spans="1:20" ht="15" thickBot="1" x14ac:dyDescent="0.35">
      <c r="A42" s="383" t="s">
        <v>1355</v>
      </c>
      <c r="B42" s="156">
        <v>50222</v>
      </c>
      <c r="C42" s="380">
        <v>50</v>
      </c>
      <c r="D42" s="49"/>
      <c r="E42" s="50"/>
      <c r="O42" s="386"/>
      <c r="P42" s="386"/>
      <c r="S42" s="386"/>
      <c r="T42" s="386"/>
    </row>
    <row r="43" spans="1:20" ht="15" thickBot="1" x14ac:dyDescent="0.35">
      <c r="A43" s="383" t="s">
        <v>1356</v>
      </c>
      <c r="B43" s="156">
        <v>50223</v>
      </c>
      <c r="C43" s="380">
        <v>50</v>
      </c>
      <c r="D43" s="49"/>
      <c r="E43" s="50"/>
      <c r="O43" s="386"/>
      <c r="P43" s="386"/>
      <c r="S43" s="386"/>
      <c r="T43" s="386"/>
    </row>
    <row r="44" spans="1:20" ht="15" thickBot="1" x14ac:dyDescent="0.35">
      <c r="A44" s="383" t="s">
        <v>1357</v>
      </c>
      <c r="B44" s="156">
        <v>50224</v>
      </c>
      <c r="C44" s="380">
        <v>50</v>
      </c>
      <c r="D44" s="49"/>
      <c r="E44" s="50"/>
      <c r="O44" s="386"/>
      <c r="P44" s="386"/>
      <c r="S44" s="386"/>
      <c r="T44" s="386"/>
    </row>
    <row r="45" spans="1:20" ht="15" thickBot="1" x14ac:dyDescent="0.35">
      <c r="A45" s="383" t="s">
        <v>1358</v>
      </c>
      <c r="B45" s="156">
        <v>50225</v>
      </c>
      <c r="C45" s="380">
        <v>50</v>
      </c>
      <c r="D45" s="49"/>
      <c r="E45" s="50"/>
      <c r="O45" s="386"/>
      <c r="P45" s="386"/>
      <c r="S45" s="386"/>
      <c r="T45" s="386"/>
    </row>
    <row r="46" spans="1:20" ht="15" thickBot="1" x14ac:dyDescent="0.35">
      <c r="A46" s="383" t="s">
        <v>1359</v>
      </c>
      <c r="B46" s="156">
        <v>50226</v>
      </c>
      <c r="C46" s="380">
        <v>50</v>
      </c>
      <c r="D46" s="49"/>
      <c r="E46" s="50"/>
      <c r="O46" s="386"/>
      <c r="P46" s="386"/>
      <c r="S46" s="386"/>
      <c r="T46" s="386"/>
    </row>
    <row r="47" spans="1:20" ht="15" thickBot="1" x14ac:dyDescent="0.35">
      <c r="A47" s="383" t="s">
        <v>1360</v>
      </c>
      <c r="B47" s="156">
        <v>50227</v>
      </c>
      <c r="C47" s="380">
        <v>50</v>
      </c>
      <c r="D47" s="49"/>
      <c r="E47" s="50"/>
      <c r="O47" s="386"/>
      <c r="P47" s="386"/>
      <c r="S47" s="386"/>
      <c r="T47" s="386"/>
    </row>
    <row r="48" spans="1:20" ht="15" thickBot="1" x14ac:dyDescent="0.35">
      <c r="A48" s="383" t="s">
        <v>1361</v>
      </c>
      <c r="B48" s="156">
        <v>50455</v>
      </c>
      <c r="C48" s="380">
        <v>50</v>
      </c>
      <c r="D48" s="49"/>
      <c r="E48" s="50"/>
      <c r="O48" s="386"/>
      <c r="P48" s="386"/>
      <c r="S48" s="386"/>
      <c r="T48" s="386"/>
    </row>
    <row r="49" spans="1:20" ht="15" thickBot="1" x14ac:dyDescent="0.35">
      <c r="A49" s="383" t="s">
        <v>1362</v>
      </c>
      <c r="B49" s="156">
        <v>50229</v>
      </c>
      <c r="C49" s="380">
        <v>50</v>
      </c>
      <c r="D49" s="49"/>
      <c r="E49" s="50"/>
      <c r="O49" s="386"/>
      <c r="P49" s="386"/>
      <c r="S49" s="386"/>
      <c r="T49" s="386"/>
    </row>
    <row r="50" spans="1:20" ht="15" thickBot="1" x14ac:dyDescent="0.35">
      <c r="A50" s="383" t="s">
        <v>1363</v>
      </c>
      <c r="B50" s="156">
        <v>50230</v>
      </c>
      <c r="C50" s="380">
        <v>50</v>
      </c>
      <c r="D50" s="49"/>
      <c r="E50" s="50"/>
      <c r="O50" s="386"/>
      <c r="P50" s="386"/>
      <c r="S50" s="386"/>
      <c r="T50" s="386"/>
    </row>
    <row r="51" spans="1:20" ht="15" thickBot="1" x14ac:dyDescent="0.35">
      <c r="A51" s="383" t="s">
        <v>439</v>
      </c>
      <c r="B51" s="156">
        <v>50231</v>
      </c>
      <c r="C51" s="380">
        <v>50</v>
      </c>
      <c r="D51" s="49"/>
      <c r="E51" s="50"/>
      <c r="O51" s="386"/>
      <c r="P51" s="386"/>
      <c r="S51" s="386"/>
      <c r="T51" s="386"/>
    </row>
    <row r="52" spans="1:20" ht="15" thickBot="1" x14ac:dyDescent="0.35">
      <c r="A52" s="383" t="s">
        <v>1364</v>
      </c>
      <c r="B52" s="156">
        <v>50232</v>
      </c>
      <c r="C52" s="380">
        <v>50</v>
      </c>
      <c r="D52" s="49"/>
      <c r="E52" s="50"/>
      <c r="O52" s="386"/>
      <c r="P52" s="386"/>
      <c r="S52" s="386"/>
      <c r="T52" s="386"/>
    </row>
    <row r="53" spans="1:20" ht="15" thickBot="1" x14ac:dyDescent="0.35">
      <c r="A53" s="383" t="s">
        <v>440</v>
      </c>
      <c r="B53" s="156">
        <v>50233</v>
      </c>
      <c r="C53" s="380">
        <v>50</v>
      </c>
      <c r="D53" s="49"/>
      <c r="E53" s="50"/>
      <c r="O53" s="386"/>
      <c r="P53" s="386"/>
      <c r="S53" s="386"/>
      <c r="T53" s="386"/>
    </row>
    <row r="54" spans="1:20" ht="15" thickBot="1" x14ac:dyDescent="0.35">
      <c r="A54" s="383" t="s">
        <v>1365</v>
      </c>
      <c r="B54" s="156">
        <v>50234</v>
      </c>
      <c r="C54" s="380">
        <v>50</v>
      </c>
      <c r="D54" s="49"/>
      <c r="E54" s="50"/>
      <c r="O54" s="386"/>
      <c r="P54" s="386"/>
      <c r="S54" s="386"/>
      <c r="T54" s="386"/>
    </row>
    <row r="55" spans="1:20" ht="15" thickBot="1" x14ac:dyDescent="0.35">
      <c r="A55" s="383" t="s">
        <v>441</v>
      </c>
      <c r="B55" s="156">
        <v>50235</v>
      </c>
      <c r="C55" s="380">
        <v>50</v>
      </c>
      <c r="D55" s="49"/>
      <c r="E55" s="50"/>
      <c r="O55" s="386"/>
      <c r="P55" s="386"/>
      <c r="S55" s="386"/>
      <c r="T55" s="386"/>
    </row>
    <row r="56" spans="1:20" ht="15" thickBot="1" x14ac:dyDescent="0.35">
      <c r="A56" s="383" t="s">
        <v>442</v>
      </c>
      <c r="B56" s="156">
        <v>50236</v>
      </c>
      <c r="C56" s="380">
        <v>50</v>
      </c>
      <c r="D56" s="49"/>
      <c r="E56" s="50"/>
      <c r="O56" s="386"/>
      <c r="P56" s="386"/>
      <c r="S56" s="386"/>
      <c r="T56" s="386"/>
    </row>
    <row r="57" spans="1:20" ht="15" thickBot="1" x14ac:dyDescent="0.35">
      <c r="A57" s="383" t="s">
        <v>392</v>
      </c>
      <c r="B57" s="156">
        <v>50237</v>
      </c>
      <c r="C57" s="380">
        <v>50</v>
      </c>
      <c r="D57" s="49"/>
      <c r="E57" s="50"/>
      <c r="O57" s="386"/>
      <c r="P57" s="386"/>
      <c r="S57" s="386"/>
      <c r="T57" s="386"/>
    </row>
    <row r="58" spans="1:20" ht="15" thickBot="1" x14ac:dyDescent="0.35">
      <c r="A58" s="383" t="s">
        <v>1366</v>
      </c>
      <c r="B58" s="156">
        <v>50238</v>
      </c>
      <c r="C58" s="380">
        <v>50</v>
      </c>
      <c r="D58" s="49"/>
      <c r="E58" s="50"/>
      <c r="O58" s="386"/>
      <c r="P58" s="386"/>
      <c r="S58" s="386"/>
      <c r="T58" s="386"/>
    </row>
    <row r="59" spans="1:20" ht="15" thickBot="1" x14ac:dyDescent="0.35">
      <c r="A59" s="383" t="s">
        <v>1367</v>
      </c>
      <c r="B59" s="156">
        <v>50444</v>
      </c>
      <c r="C59" s="380">
        <v>50</v>
      </c>
      <c r="D59" s="49"/>
      <c r="E59" s="50"/>
      <c r="O59" s="386"/>
      <c r="P59" s="386"/>
      <c r="S59" s="386"/>
      <c r="T59" s="386"/>
    </row>
    <row r="60" spans="1:20" ht="15" thickBot="1" x14ac:dyDescent="0.35">
      <c r="A60" s="383" t="s">
        <v>443</v>
      </c>
      <c r="B60" s="156">
        <v>50239</v>
      </c>
      <c r="C60" s="380">
        <v>50</v>
      </c>
      <c r="D60" s="49"/>
      <c r="E60" s="50"/>
      <c r="O60" s="386"/>
      <c r="P60" s="386"/>
      <c r="S60" s="386"/>
      <c r="T60" s="386"/>
    </row>
    <row r="61" spans="1:20" ht="15" thickBot="1" x14ac:dyDescent="0.35">
      <c r="A61" s="383" t="s">
        <v>1368</v>
      </c>
      <c r="B61" s="156">
        <v>50240</v>
      </c>
      <c r="C61" s="380">
        <v>50</v>
      </c>
      <c r="D61" s="49"/>
      <c r="E61" s="50"/>
      <c r="O61" s="386"/>
      <c r="P61" s="386"/>
      <c r="S61" s="386"/>
      <c r="T61" s="386"/>
    </row>
    <row r="62" spans="1:20" ht="15" thickBot="1" x14ac:dyDescent="0.35">
      <c r="A62" s="383" t="s">
        <v>1369</v>
      </c>
      <c r="B62" s="156">
        <v>50241</v>
      </c>
      <c r="C62" s="380">
        <v>50</v>
      </c>
      <c r="D62" s="49"/>
      <c r="E62" s="50"/>
      <c r="O62" s="386"/>
      <c r="P62" s="386"/>
      <c r="S62" s="386"/>
      <c r="T62" s="386"/>
    </row>
    <row r="63" spans="1:20" ht="15" thickBot="1" x14ac:dyDescent="0.35">
      <c r="A63" s="383" t="s">
        <v>1370</v>
      </c>
      <c r="B63" s="156">
        <v>50521</v>
      </c>
      <c r="C63" s="380">
        <v>50</v>
      </c>
      <c r="D63" s="49"/>
      <c r="E63" s="50"/>
      <c r="O63" s="386"/>
      <c r="P63" s="386"/>
      <c r="S63" s="386"/>
      <c r="T63" s="386"/>
    </row>
    <row r="64" spans="1:20" ht="15" thickBot="1" x14ac:dyDescent="0.35">
      <c r="A64" s="383" t="s">
        <v>1371</v>
      </c>
      <c r="B64" s="156">
        <v>50242</v>
      </c>
      <c r="C64" s="380">
        <v>50</v>
      </c>
      <c r="D64" s="49"/>
      <c r="E64" s="50"/>
      <c r="O64" s="386"/>
      <c r="P64" s="386"/>
      <c r="S64" s="386"/>
      <c r="T64" s="386"/>
    </row>
    <row r="65" spans="1:20" ht="15" thickBot="1" x14ac:dyDescent="0.35">
      <c r="A65" s="383" t="s">
        <v>1372</v>
      </c>
      <c r="B65" s="156">
        <v>50244</v>
      </c>
      <c r="C65" s="380">
        <v>50</v>
      </c>
      <c r="D65" s="49"/>
      <c r="E65" s="50"/>
      <c r="O65" s="386"/>
      <c r="P65" s="386"/>
      <c r="S65" s="386"/>
      <c r="T65" s="386"/>
    </row>
    <row r="66" spans="1:20" ht="15" thickBot="1" x14ac:dyDescent="0.35">
      <c r="A66" s="383" t="s">
        <v>1373</v>
      </c>
      <c r="B66" s="156">
        <v>50243</v>
      </c>
      <c r="C66" s="380">
        <v>50</v>
      </c>
      <c r="D66" s="49"/>
      <c r="E66" s="50"/>
      <c r="O66" s="386"/>
      <c r="P66" s="386"/>
      <c r="S66" s="386"/>
      <c r="T66" s="386"/>
    </row>
    <row r="67" spans="1:20" ht="15" thickBot="1" x14ac:dyDescent="0.35">
      <c r="A67" s="383" t="s">
        <v>1374</v>
      </c>
      <c r="B67" s="156">
        <v>50245</v>
      </c>
      <c r="C67" s="380">
        <v>50</v>
      </c>
      <c r="D67" s="49"/>
      <c r="E67" s="50"/>
      <c r="O67" s="386"/>
      <c r="P67" s="386"/>
      <c r="S67" s="386"/>
      <c r="T67" s="386"/>
    </row>
    <row r="68" spans="1:20" ht="15" thickBot="1" x14ac:dyDescent="0.35">
      <c r="A68" s="383" t="s">
        <v>1375</v>
      </c>
      <c r="B68" s="156">
        <v>50522</v>
      </c>
      <c r="C68" s="380">
        <v>50</v>
      </c>
      <c r="D68" s="49"/>
      <c r="E68" s="50"/>
      <c r="O68" s="386"/>
      <c r="P68" s="386"/>
      <c r="S68" s="386"/>
      <c r="T68" s="386"/>
    </row>
    <row r="69" spans="1:20" ht="15" thickBot="1" x14ac:dyDescent="0.35">
      <c r="A69" s="383" t="s">
        <v>1376</v>
      </c>
      <c r="B69" s="156">
        <v>50246</v>
      </c>
      <c r="C69" s="380">
        <v>50</v>
      </c>
    </row>
    <row r="70" spans="1:20" ht="15" thickBot="1" x14ac:dyDescent="0.35">
      <c r="A70" s="383" t="s">
        <v>1377</v>
      </c>
      <c r="B70" s="156">
        <v>50247</v>
      </c>
      <c r="C70" s="380">
        <v>50</v>
      </c>
    </row>
    <row r="71" spans="1:20" ht="15" thickBot="1" x14ac:dyDescent="0.35">
      <c r="A71" s="383" t="s">
        <v>1378</v>
      </c>
      <c r="B71" s="156">
        <v>50248</v>
      </c>
      <c r="C71" s="380">
        <v>50</v>
      </c>
    </row>
    <row r="72" spans="1:20" ht="15" thickBot="1" x14ac:dyDescent="0.35">
      <c r="A72" s="383" t="s">
        <v>444</v>
      </c>
      <c r="B72" s="156">
        <v>50249</v>
      </c>
      <c r="C72" s="380">
        <v>50</v>
      </c>
    </row>
    <row r="73" spans="1:20" ht="15" thickBot="1" x14ac:dyDescent="0.35">
      <c r="A73" s="383" t="s">
        <v>1379</v>
      </c>
      <c r="B73" s="156">
        <v>50250</v>
      </c>
      <c r="C73" s="380">
        <v>50</v>
      </c>
    </row>
    <row r="74" spans="1:20" ht="15" thickBot="1" x14ac:dyDescent="0.35">
      <c r="A74" s="383" t="s">
        <v>1380</v>
      </c>
      <c r="B74" s="156">
        <v>50251</v>
      </c>
      <c r="C74" s="380">
        <v>50</v>
      </c>
    </row>
    <row r="75" spans="1:20" ht="15" thickBot="1" x14ac:dyDescent="0.35">
      <c r="A75" s="383" t="s">
        <v>1381</v>
      </c>
      <c r="B75" s="156">
        <v>50252</v>
      </c>
      <c r="C75" s="380">
        <v>50</v>
      </c>
    </row>
    <row r="76" spans="1:20" ht="15" thickBot="1" x14ac:dyDescent="0.35">
      <c r="A76" s="383" t="s">
        <v>1382</v>
      </c>
      <c r="B76" s="156">
        <v>50253</v>
      </c>
      <c r="C76" s="380">
        <v>50</v>
      </c>
    </row>
    <row r="77" spans="1:20" ht="15" thickBot="1" x14ac:dyDescent="0.35">
      <c r="A77" s="383" t="s">
        <v>1383</v>
      </c>
      <c r="B77" s="156">
        <v>50454</v>
      </c>
      <c r="C77" s="380">
        <v>50</v>
      </c>
    </row>
    <row r="78" spans="1:20" ht="15" thickBot="1" x14ac:dyDescent="0.35">
      <c r="A78" s="383"/>
      <c r="B78" s="156"/>
      <c r="C78" s="380"/>
    </row>
    <row r="79" spans="1:20" ht="15" thickBot="1" x14ac:dyDescent="0.35">
      <c r="A79" s="383"/>
      <c r="B79" s="156"/>
      <c r="C79" s="380"/>
    </row>
    <row r="80" spans="1:20" ht="15" thickBot="1" x14ac:dyDescent="0.35">
      <c r="A80" s="383"/>
      <c r="B80" s="156"/>
      <c r="C80" s="380"/>
    </row>
    <row r="81" spans="1:3" ht="15" thickBot="1" x14ac:dyDescent="0.35">
      <c r="A81" s="383"/>
      <c r="B81" s="156"/>
      <c r="C81" s="380"/>
    </row>
    <row r="82" spans="1:3" ht="15" thickBot="1" x14ac:dyDescent="0.35">
      <c r="A82" s="383"/>
      <c r="B82" s="156"/>
      <c r="C82" s="380"/>
    </row>
    <row r="83" spans="1:3" ht="15" thickBot="1" x14ac:dyDescent="0.35">
      <c r="A83" s="383"/>
      <c r="B83" s="156"/>
      <c r="C83" s="380"/>
    </row>
    <row r="84" spans="1:3" ht="15" thickBot="1" x14ac:dyDescent="0.35">
      <c r="A84" s="383"/>
      <c r="B84" s="156"/>
      <c r="C84" s="380"/>
    </row>
    <row r="85" spans="1:3" ht="15" thickBot="1" x14ac:dyDescent="0.35">
      <c r="A85" s="383"/>
      <c r="B85" s="156"/>
      <c r="C85" s="380"/>
    </row>
    <row r="86" spans="1:3" ht="15" thickBot="1" x14ac:dyDescent="0.35">
      <c r="A86" s="383"/>
      <c r="B86" s="156"/>
      <c r="C86" s="380"/>
    </row>
    <row r="87" spans="1:3" ht="15" thickBot="1" x14ac:dyDescent="0.35">
      <c r="A87" s="383"/>
      <c r="B87" s="156"/>
      <c r="C87" s="380"/>
    </row>
    <row r="88" spans="1:3" x14ac:dyDescent="0.3">
      <c r="C88" s="380"/>
    </row>
    <row r="89" spans="1:3" x14ac:dyDescent="0.3">
      <c r="C89" s="380"/>
    </row>
    <row r="90" spans="1:3" x14ac:dyDescent="0.3">
      <c r="C90" s="380"/>
    </row>
    <row r="91" spans="1:3" x14ac:dyDescent="0.3">
      <c r="C91" s="380"/>
    </row>
    <row r="92" spans="1:3" x14ac:dyDescent="0.3">
      <c r="C92" s="380"/>
    </row>
    <row r="93" spans="1:3" x14ac:dyDescent="0.3">
      <c r="C93" s="380"/>
    </row>
    <row r="94" spans="1:3" x14ac:dyDescent="0.3">
      <c r="C94" s="380"/>
    </row>
    <row r="95" spans="1:3" x14ac:dyDescent="0.3">
      <c r="C95" s="380"/>
    </row>
  </sheetData>
  <sheetProtection algorithmName="SHA-512" hashValue="b7mnLLae0xHOfM5YJ2Ez9iACxZW/qb98dVbhRybWDNxsvXC9ra0jz6Ta1zWzgS6Zyycr1IKU3xw0G4MrO5KMtg==" saltValue="mIEredP3kw+HjcoZKHNoe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6"/>
  <sheetViews>
    <sheetView zoomScaleNormal="100" workbookViewId="0">
      <pane ySplit="5" topLeftCell="A6" activePane="bottomLeft" state="frozen"/>
      <selection activeCell="K179" sqref="K179"/>
      <selection pane="bottomLeft" activeCell="H2" sqref="H2"/>
    </sheetView>
  </sheetViews>
  <sheetFormatPr defaultColWidth="9.109375" defaultRowHeight="14.4" x14ac:dyDescent="0.3"/>
  <cols>
    <col min="1" max="1" width="9.6640625" style="279" customWidth="1"/>
    <col min="2" max="2" width="20.6640625" style="5" customWidth="1"/>
    <col min="3" max="3" width="17.44140625" style="5" customWidth="1"/>
    <col min="4" max="4" width="46.33203125" style="386" customWidth="1"/>
    <col min="5" max="5" width="17.109375" style="18" customWidth="1"/>
    <col min="6" max="6" width="21.5546875" style="386" customWidth="1"/>
    <col min="7" max="7" width="26.6640625" style="451" customWidth="1"/>
    <col min="8" max="8" width="25.109375" style="311" customWidth="1"/>
    <col min="9" max="10" width="24" style="386" customWidth="1"/>
    <col min="11" max="11" width="17.33203125" style="18" customWidth="1"/>
    <col min="12" max="12" width="11.6640625" style="18" hidden="1" customWidth="1"/>
    <col min="13" max="13" width="4" hidden="1" customWidth="1"/>
    <col min="14" max="14" width="11" style="18" hidden="1" customWidth="1"/>
    <col min="15" max="15" width="3.33203125" style="187"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386"/>
  </cols>
  <sheetData>
    <row r="1" spans="1:123" ht="15" thickBot="1" x14ac:dyDescent="0.35">
      <c r="B1" s="453" t="s">
        <v>388</v>
      </c>
      <c r="C1" s="453"/>
      <c r="E1" s="387" t="s">
        <v>35</v>
      </c>
      <c r="F1" s="388">
        <v>2023</v>
      </c>
      <c r="G1" s="115" t="s">
        <v>118</v>
      </c>
      <c r="H1" s="389"/>
      <c r="I1" s="390"/>
      <c r="J1" s="390"/>
      <c r="K1" s="391"/>
      <c r="N1" s="18" t="s">
        <v>50</v>
      </c>
      <c r="P1" s="18">
        <v>1</v>
      </c>
      <c r="Q1" s="18" t="s">
        <v>1137</v>
      </c>
    </row>
    <row r="2" spans="1:123" ht="44.25" customHeight="1" thickBot="1" x14ac:dyDescent="0.35">
      <c r="B2" s="1069" t="s">
        <v>284</v>
      </c>
      <c r="C2" s="1070"/>
      <c r="D2" s="392" t="s">
        <v>815</v>
      </c>
      <c r="E2" s="1067" t="s">
        <v>296</v>
      </c>
      <c r="F2" s="1067"/>
      <c r="G2" s="1068"/>
      <c r="H2" s="776" t="s">
        <v>2659</v>
      </c>
      <c r="N2" s="18" t="s">
        <v>51</v>
      </c>
      <c r="O2" s="187">
        <v>50</v>
      </c>
      <c r="P2" s="18">
        <v>2</v>
      </c>
      <c r="Q2" s="18">
        <v>9004</v>
      </c>
    </row>
    <row r="3" spans="1:123" ht="15" thickBot="1" x14ac:dyDescent="0.35">
      <c r="B3" s="454" t="s">
        <v>0</v>
      </c>
      <c r="C3" s="455"/>
      <c r="D3" s="394" t="e">
        <f>VLOOKUP(D2,'Unit Names(H)'!A2:B139,2,FALSE)</f>
        <v>#N/A</v>
      </c>
      <c r="E3" s="526"/>
      <c r="F3" s="395"/>
      <c r="G3" s="396"/>
      <c r="H3" s="393"/>
      <c r="O3" s="187">
        <v>51</v>
      </c>
      <c r="P3" s="18">
        <v>3</v>
      </c>
    </row>
    <row r="4" spans="1:123" ht="15" thickBot="1" x14ac:dyDescent="0.35">
      <c r="B4" s="456" t="s">
        <v>681</v>
      </c>
      <c r="C4" s="457"/>
      <c r="D4" s="397"/>
      <c r="E4" s="397"/>
      <c r="F4" s="398"/>
      <c r="G4" s="399"/>
      <c r="H4" s="393"/>
      <c r="I4" s="2"/>
      <c r="J4" s="2"/>
      <c r="N4" s="18" t="s">
        <v>324</v>
      </c>
      <c r="O4" s="187">
        <v>52</v>
      </c>
      <c r="P4" s="18">
        <v>4</v>
      </c>
    </row>
    <row r="5" spans="1:123" ht="37.5" customHeight="1" thickBot="1" x14ac:dyDescent="0.35">
      <c r="A5" s="375" t="s">
        <v>385</v>
      </c>
      <c r="B5" s="962" t="s">
        <v>103</v>
      </c>
      <c r="C5" s="962" t="s">
        <v>120</v>
      </c>
      <c r="D5" s="963" t="s">
        <v>1</v>
      </c>
      <c r="E5" s="963">
        <v>2022</v>
      </c>
      <c r="F5" s="400">
        <v>2023</v>
      </c>
      <c r="G5" s="964" t="s">
        <v>790</v>
      </c>
      <c r="H5" s="401" t="s">
        <v>300</v>
      </c>
      <c r="I5" s="388" t="s">
        <v>13</v>
      </c>
      <c r="J5" s="388"/>
      <c r="N5" s="18" t="s">
        <v>430</v>
      </c>
    </row>
    <row r="6" spans="1:123" ht="48" customHeight="1" thickBot="1" x14ac:dyDescent="0.4">
      <c r="A6" s="375"/>
      <c r="B6" s="1076" t="s">
        <v>1948</v>
      </c>
      <c r="C6" s="1077"/>
      <c r="D6" s="1077"/>
      <c r="E6" s="1077"/>
      <c r="F6" s="1077"/>
      <c r="G6" s="1078"/>
      <c r="H6" s="952"/>
      <c r="I6" s="388"/>
      <c r="J6" s="388"/>
      <c r="M6" s="180"/>
      <c r="N6" s="344" t="s">
        <v>464</v>
      </c>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row>
    <row r="7" spans="1:123" ht="72" customHeight="1" thickBot="1" x14ac:dyDescent="0.4">
      <c r="A7" s="375"/>
      <c r="B7" s="1076" t="s">
        <v>1984</v>
      </c>
      <c r="C7" s="1077"/>
      <c r="D7" s="1077"/>
      <c r="E7" s="1077"/>
      <c r="F7" s="1077"/>
      <c r="G7" s="1078"/>
      <c r="H7" s="952"/>
      <c r="I7" s="388"/>
      <c r="J7" s="388"/>
      <c r="M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row>
    <row r="8" spans="1:123" ht="31.2" customHeight="1" x14ac:dyDescent="0.3">
      <c r="B8" s="481" t="s">
        <v>119</v>
      </c>
      <c r="C8" s="482"/>
      <c r="D8" s="483"/>
      <c r="E8" s="484"/>
      <c r="F8" s="485"/>
      <c r="G8" s="477"/>
      <c r="H8" s="17"/>
      <c r="K8" s="771"/>
      <c r="N8" s="18" t="s">
        <v>413</v>
      </c>
    </row>
    <row r="9" spans="1:123" s="18" customFormat="1" ht="72.599999999999994" customHeight="1" x14ac:dyDescent="0.3">
      <c r="A9" s="553">
        <v>333</v>
      </c>
      <c r="B9" s="375" t="s">
        <v>66</v>
      </c>
      <c r="C9" s="375" t="s">
        <v>121</v>
      </c>
      <c r="D9" s="385" t="s">
        <v>682</v>
      </c>
      <c r="E9" s="373" t="e">
        <f>INDEX('PY1 Data(H)'!$A$1:$CZ$265,MATCH('Unit Data from Audit Worksheet'!$A9,'PY1 Data(H)'!$A$1:$A$258,0),MATCH('Unit Data from Audit Worksheet'!$D$2,'PY1 Data(H)'!$A$1:$CZ$1,0))</f>
        <v>#N/A</v>
      </c>
      <c r="F9" s="810">
        <v>0</v>
      </c>
      <c r="G9" s="403">
        <f>IF(F9&lt;0,"Note: Number is normally positive.",)</f>
        <v>0</v>
      </c>
      <c r="H9" s="404"/>
      <c r="I9" s="405"/>
      <c r="J9" s="405"/>
      <c r="K9" s="294"/>
      <c r="L9" s="550"/>
      <c r="M9"/>
      <c r="N9" s="18" t="s">
        <v>431</v>
      </c>
      <c r="O9" s="187"/>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s="18" customFormat="1" ht="51" customHeight="1" x14ac:dyDescent="0.3">
      <c r="A10" s="100">
        <v>500</v>
      </c>
      <c r="B10" s="375" t="s">
        <v>54</v>
      </c>
      <c r="C10" s="375" t="s">
        <v>121</v>
      </c>
      <c r="D10" s="385" t="s">
        <v>683</v>
      </c>
      <c r="E10" s="373" t="e">
        <f>INDEX('PY1 Data(H)'!$A$1:$CZ$265,MATCH('Unit Data from Audit Worksheet'!$A10,'PY1 Data(H)'!$A$1:$A$258,0),MATCH('Unit Data from Audit Worksheet'!$D$2,'PY1 Data(H)'!$A$1:$CZ$1,0))</f>
        <v>#N/A</v>
      </c>
      <c r="F10" s="810">
        <v>0</v>
      </c>
      <c r="G10" s="403">
        <f>IF(F10&lt;0,"Note: Number is normally positive.",)</f>
        <v>0</v>
      </c>
      <c r="H10" s="404"/>
      <c r="I10" s="404"/>
      <c r="J10" s="404"/>
      <c r="K10" s="294"/>
      <c r="L10" s="550"/>
      <c r="M10"/>
      <c r="N10" s="18" t="s">
        <v>432</v>
      </c>
      <c r="O10" s="187"/>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ht="51" customHeight="1" x14ac:dyDescent="0.3">
      <c r="A11" s="565">
        <v>385</v>
      </c>
      <c r="B11" s="4" t="s">
        <v>59</v>
      </c>
      <c r="C11" s="375" t="s">
        <v>121</v>
      </c>
      <c r="D11" s="99" t="s">
        <v>122</v>
      </c>
      <c r="E11" s="373" t="e">
        <f>INDEX('PY1 Data(H)'!$A$1:$CZ$265,MATCH('Unit Data from Audit Worksheet'!$A11,'PY1 Data(H)'!$A$1:$A$258,0),MATCH('Unit Data from Audit Worksheet'!$D$2,'PY1 Data(H)'!$A$1:$CZ$1,0))-INDEX('PY1 Data(H)'!$A$1:$CZ$258,MATCH('Unit Data from Audit Worksheet'!$A13,'PY1 Data(H)'!$A$1:$A$258,0),MATCH('Unit Data from Audit Worksheet'!$D$2,'PY1 Data(H)'!$A$1:$CZ$1,0))</f>
        <v>#N/A</v>
      </c>
      <c r="F11" s="810">
        <v>0</v>
      </c>
      <c r="G11" s="403">
        <f>IF((F9+F10)&gt;F11,"Error: Please review Account numbers (333+500)&gt;385",)</f>
        <v>0</v>
      </c>
      <c r="H11" s="404"/>
      <c r="I11" s="404"/>
      <c r="J11" s="404"/>
      <c r="K11"/>
      <c r="L11" s="550"/>
    </row>
    <row r="12" spans="1:123" s="18" customFormat="1" ht="90" customHeight="1" x14ac:dyDescent="0.3">
      <c r="A12" s="100">
        <v>575</v>
      </c>
      <c r="B12" s="375" t="s">
        <v>69</v>
      </c>
      <c r="C12" s="375" t="s">
        <v>121</v>
      </c>
      <c r="D12" s="458" t="s">
        <v>684</v>
      </c>
      <c r="E12" s="373" t="e">
        <f>INDEX('PY1 Data(H)'!$A$1:$CZ$265,MATCH('Unit Data from Audit Worksheet'!$A12,'PY1 Data(H)'!$A$1:$A$258,0),MATCH('Unit Data from Audit Worksheet'!$D$2,'PY1 Data(H)'!$A$1:$CZ$1,0))</f>
        <v>#N/A</v>
      </c>
      <c r="F12" s="810">
        <v>0</v>
      </c>
      <c r="G12" s="403">
        <f>IF(F12&lt;0,"Note: Number is normally positive.",)</f>
        <v>0</v>
      </c>
      <c r="H12" s="406"/>
      <c r="I12" s="407"/>
      <c r="J12" s="407"/>
      <c r="K12"/>
      <c r="L12" s="550"/>
      <c r="M12"/>
      <c r="O12" s="187"/>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s="18" customFormat="1" ht="93.75" customHeight="1" x14ac:dyDescent="0.3">
      <c r="A13" s="100">
        <v>576</v>
      </c>
      <c r="B13" s="375" t="s">
        <v>69</v>
      </c>
      <c r="C13" s="375" t="s">
        <v>121</v>
      </c>
      <c r="D13" s="458" t="s">
        <v>685</v>
      </c>
      <c r="E13" s="373" t="e">
        <f>INDEX('PY1 Data(H)'!$A$1:$CZ$265,MATCH('Unit Data from Audit Worksheet'!$A13,'PY1 Data(H)'!$A$1:$A$258,0),MATCH('Unit Data from Audit Worksheet'!$D$2,'PY1 Data(H)'!$A$1:$CZ$1,0))</f>
        <v>#N/A</v>
      </c>
      <c r="F13" s="810">
        <v>0</v>
      </c>
      <c r="G13" s="403">
        <f>IF(F13&lt;0,"Error: Enter as positive.",)</f>
        <v>0</v>
      </c>
      <c r="H13" s="406"/>
      <c r="I13" s="407"/>
      <c r="J13" s="407"/>
      <c r="K13"/>
      <c r="L13" s="550"/>
      <c r="M13"/>
      <c r="O13" s="187"/>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ht="85.5" customHeight="1" x14ac:dyDescent="0.3">
      <c r="A14" s="566">
        <v>626</v>
      </c>
      <c r="B14" s="462" t="s">
        <v>445</v>
      </c>
      <c r="C14" s="462" t="s">
        <v>121</v>
      </c>
      <c r="D14" s="216" t="s">
        <v>686</v>
      </c>
      <c r="E14" s="373" t="e">
        <f>INDEX('PY1 Data(H)'!$A$1:$CZ$265,MATCH('Unit Data from Audit Worksheet'!$A14,'PY1 Data(H)'!$A$1:$A$258,0),MATCH('Unit Data from Audit Worksheet'!$D$2,'PY1 Data(H)'!$A$1:$CZ$1,0))-INDEX('PY1 Data(H)'!$A$1:$CZ$258,MATCH('Unit Data from Audit Worksheet'!$A13,'PY1 Data(H)'!$A$1:$A$258,0),MATCH('Unit Data from Audit Worksheet'!$D$2,'PY1 Data(H)'!$A$1:$CZ$1,0))</f>
        <v>#N/A</v>
      </c>
      <c r="F14" s="810">
        <v>0</v>
      </c>
      <c r="G14" s="403">
        <f>IF(F14&lt;0,"Error: Enter as positive.",)</f>
        <v>0</v>
      </c>
      <c r="H14" s="408"/>
      <c r="I14" s="408"/>
      <c r="J14" s="772"/>
      <c r="K14"/>
      <c r="L14" s="550"/>
    </row>
    <row r="15" spans="1:123" ht="89.25" customHeight="1" x14ac:dyDescent="0.3">
      <c r="A15" s="191">
        <v>627</v>
      </c>
      <c r="B15" s="463" t="s">
        <v>360</v>
      </c>
      <c r="C15" s="462" t="s">
        <v>121</v>
      </c>
      <c r="D15" s="216" t="s">
        <v>687</v>
      </c>
      <c r="E15" s="373" t="e">
        <f>INDEX('PY1 Data(H)'!$A$1:$CZ$265,MATCH('Unit Data from Audit Worksheet'!$A15,'PY1 Data(H)'!$A$1:$A$258,0),MATCH('Unit Data from Audit Worksheet'!$D$2,'PY1 Data(H)'!$A$1:$CZ$1,0))</f>
        <v>#N/A</v>
      </c>
      <c r="F15" s="810">
        <v>0</v>
      </c>
      <c r="G15" s="403">
        <f>IF(F15&gt;F14,"Please review account numbers 627 &gt;626",)</f>
        <v>0</v>
      </c>
      <c r="H15" s="408"/>
      <c r="I15" s="408"/>
      <c r="J15" s="772"/>
      <c r="K15"/>
      <c r="L15" s="550"/>
    </row>
    <row r="16" spans="1:123" ht="105" customHeight="1" x14ac:dyDescent="0.3">
      <c r="A16" s="191">
        <v>628</v>
      </c>
      <c r="B16" s="463" t="s">
        <v>360</v>
      </c>
      <c r="C16" s="462" t="s">
        <v>121</v>
      </c>
      <c r="D16" s="216" t="s">
        <v>688</v>
      </c>
      <c r="E16" s="373" t="e">
        <f>INDEX('PY1 Data(H)'!$A$1:$CZ$265,MATCH('Unit Data from Audit Worksheet'!$A16,'PY1 Data(H)'!$A$1:$A$258,0),MATCH('Unit Data from Audit Worksheet'!$D$2,'PY1 Data(H)'!$A$1:$CZ$1,0))</f>
        <v>#N/A</v>
      </c>
      <c r="F16" s="810">
        <v>0</v>
      </c>
      <c r="G16" s="403">
        <f>IF(F16&gt;F14,"Please review account numbers 628 &gt; 626",)</f>
        <v>0</v>
      </c>
      <c r="H16" s="408"/>
      <c r="I16" s="408"/>
      <c r="J16" s="772"/>
      <c r="K16"/>
      <c r="L16" s="550"/>
    </row>
    <row r="17" spans="1:12" ht="95.25" customHeight="1" x14ac:dyDescent="0.3">
      <c r="A17" s="191">
        <v>629</v>
      </c>
      <c r="B17" s="463" t="s">
        <v>360</v>
      </c>
      <c r="C17" s="462" t="s">
        <v>121</v>
      </c>
      <c r="D17" s="216" t="s">
        <v>689</v>
      </c>
      <c r="E17" s="373" t="e">
        <f>INDEX('PY1 Data(H)'!$A$1:$CZ$265,MATCH('Unit Data from Audit Worksheet'!$A17,'PY1 Data(H)'!$A$1:$A$258,0),MATCH('Unit Data from Audit Worksheet'!$D$2,'PY1 Data(H)'!$A$1:$CZ$1,0))</f>
        <v>#N/A</v>
      </c>
      <c r="F17" s="810">
        <v>0</v>
      </c>
      <c r="G17" s="403">
        <f>IF(F17&gt;F14,"Please review account numbers 629 &gt; 626",)</f>
        <v>0</v>
      </c>
      <c r="H17" s="408"/>
      <c r="I17" s="408"/>
      <c r="J17" s="772"/>
      <c r="K17"/>
      <c r="L17" s="550"/>
    </row>
    <row r="18" spans="1:12" ht="69" customHeight="1" x14ac:dyDescent="0.3">
      <c r="A18" s="191">
        <v>630</v>
      </c>
      <c r="B18" s="463" t="s">
        <v>360</v>
      </c>
      <c r="C18" s="462" t="s">
        <v>121</v>
      </c>
      <c r="D18" s="216" t="s">
        <v>426</v>
      </c>
      <c r="E18" s="373" t="e">
        <f>INDEX('PY1 Data(H)'!$A$1:$CZ$265,MATCH('Unit Data from Audit Worksheet'!$A18,'PY1 Data(H)'!$A$1:$A$258,0),MATCH('Unit Data from Audit Worksheet'!$D$2,'PY1 Data(H)'!$A$1:$CZ$1,0))</f>
        <v>#N/A</v>
      </c>
      <c r="F18" s="810">
        <v>0</v>
      </c>
      <c r="G18" s="403">
        <f>IF(F18&gt;F14,"Please review account numbers 630 &gt; 626",)</f>
        <v>0</v>
      </c>
      <c r="H18" s="408"/>
      <c r="I18" s="408"/>
      <c r="J18" s="772"/>
      <c r="K18"/>
      <c r="L18" s="550"/>
    </row>
    <row r="19" spans="1:12" ht="95.25" customHeight="1" x14ac:dyDescent="0.3">
      <c r="A19" s="191">
        <v>631</v>
      </c>
      <c r="B19" s="463" t="s">
        <v>360</v>
      </c>
      <c r="C19" s="462" t="s">
        <v>121</v>
      </c>
      <c r="D19" s="216" t="s">
        <v>690</v>
      </c>
      <c r="E19" s="373" t="e">
        <f>INDEX('PY1 Data(H)'!$A$1:$CZ$265,MATCH('Unit Data from Audit Worksheet'!$A19,'PY1 Data(H)'!$A$1:$A$258,0),MATCH('Unit Data from Audit Worksheet'!$D$2,'PY1 Data(H)'!$A$1:$CZ$1,0))</f>
        <v>#N/A</v>
      </c>
      <c r="F19" s="810">
        <v>0</v>
      </c>
      <c r="G19" s="403">
        <f>IF(F19&gt;F14,"Please review account numbers 631 &gt; 626",)</f>
        <v>0</v>
      </c>
      <c r="H19" s="408"/>
      <c r="I19" s="408"/>
      <c r="J19" s="772"/>
      <c r="K19"/>
      <c r="L19" s="550"/>
    </row>
    <row r="20" spans="1:12" ht="111.75" customHeight="1" x14ac:dyDescent="0.3">
      <c r="A20" s="191">
        <v>632</v>
      </c>
      <c r="B20" s="463" t="s">
        <v>360</v>
      </c>
      <c r="C20" s="462" t="s">
        <v>121</v>
      </c>
      <c r="D20" s="216" t="s">
        <v>691</v>
      </c>
      <c r="E20" s="373" t="e">
        <f>INDEX('PY1 Data(H)'!$A$1:$CZ$265,MATCH('Unit Data from Audit Worksheet'!$A20,'PY1 Data(H)'!$A$1:$A$258,0),MATCH('Unit Data from Audit Worksheet'!$D$2,'PY1 Data(H)'!$A$1:$CZ$1,0))</f>
        <v>#N/A</v>
      </c>
      <c r="F20" s="810">
        <v>0</v>
      </c>
      <c r="G20" s="403">
        <f>IF(F20&gt;F14,"Please review account numbers 632 &gt; 626",)</f>
        <v>0</v>
      </c>
      <c r="H20" s="408"/>
      <c r="I20" s="408"/>
      <c r="J20" s="772"/>
      <c r="K20"/>
      <c r="L20" s="550"/>
    </row>
    <row r="21" spans="1:12" ht="55.5" customHeight="1" x14ac:dyDescent="0.3">
      <c r="A21" s="565">
        <v>338</v>
      </c>
      <c r="B21" s="4" t="s">
        <v>55</v>
      </c>
      <c r="C21" s="375" t="s">
        <v>121</v>
      </c>
      <c r="D21" s="99" t="s">
        <v>123</v>
      </c>
      <c r="E21" s="373" t="e">
        <f>INDEX('PY1 Data(H)'!$A$1:$CZ$265,MATCH('Unit Data from Audit Worksheet'!$A21,'PY1 Data(H)'!$A$1:$A$258,0),MATCH('Unit Data from Audit Worksheet'!$D$2,'PY1 Data(H)'!$A$1:$CZ$1,0))-INDEX('PY1 Data(H)'!$A$1:$CZ$258,MATCH('Unit Data from Audit Worksheet'!$A13,'PY1 Data(H)'!$A$1:$A$258,0),MATCH('Unit Data from Audit Worksheet'!$D$2,'PY1 Data(H)'!$A$1:$CZ$1,0))</f>
        <v>#N/A</v>
      </c>
      <c r="F21" s="810">
        <v>0</v>
      </c>
      <c r="G21" s="403" t="str">
        <f>IF(F14&gt;F21,"Error: Please review accts 626 &gt; 338","")</f>
        <v/>
      </c>
      <c r="H21" s="404"/>
      <c r="I21" s="404"/>
      <c r="J21" s="404"/>
      <c r="K21"/>
      <c r="L21" s="550"/>
    </row>
    <row r="22" spans="1:12" ht="89.25" customHeight="1" x14ac:dyDescent="0.3">
      <c r="A22" s="100">
        <v>335</v>
      </c>
      <c r="B22" s="4" t="s">
        <v>55</v>
      </c>
      <c r="C22" s="375" t="s">
        <v>121</v>
      </c>
      <c r="D22" s="385" t="s">
        <v>692</v>
      </c>
      <c r="E22" s="373" t="e">
        <f>INDEX('PY1 Data(H)'!$A$1:$CZ$265,MATCH('Unit Data from Audit Worksheet'!$A22,'PY1 Data(H)'!$A$1:$A$258,0),MATCH('Unit Data from Audit Worksheet'!$D$2,'PY1 Data(H)'!$A$1:$CZ$1,0))</f>
        <v>#N/A</v>
      </c>
      <c r="F22" s="810">
        <v>0</v>
      </c>
      <c r="G22" s="403">
        <f>IF(F22&lt;0,"Error: Enter as positive.",)</f>
        <v>0</v>
      </c>
      <c r="H22" s="404"/>
      <c r="I22" s="244"/>
      <c r="J22" s="244"/>
      <c r="K22"/>
      <c r="L22" s="550"/>
    </row>
    <row r="23" spans="1:12" ht="48.75" customHeight="1" x14ac:dyDescent="0.3">
      <c r="A23" s="100">
        <v>252</v>
      </c>
      <c r="B23" s="4" t="s">
        <v>55</v>
      </c>
      <c r="C23" s="375" t="s">
        <v>121</v>
      </c>
      <c r="D23" s="99" t="s">
        <v>124</v>
      </c>
      <c r="E23" s="373" t="e">
        <f>INDEX('PY1 Data(H)'!$A$1:$CZ$265,MATCH('Unit Data from Audit Worksheet'!$A23,'PY1 Data(H)'!$A$1:$A$258,0),MATCH('Unit Data from Audit Worksheet'!$D$2,'PY1 Data(H)'!$A$1:$CZ$1,0))</f>
        <v>#N/A</v>
      </c>
      <c r="F23" s="810">
        <v>0</v>
      </c>
      <c r="G23" s="736"/>
      <c r="H23" s="404"/>
      <c r="I23" s="72"/>
      <c r="J23" s="72"/>
      <c r="K23"/>
      <c r="L23" s="550"/>
    </row>
    <row r="24" spans="1:12" ht="43.2" x14ac:dyDescent="0.3">
      <c r="A24" s="100">
        <v>253</v>
      </c>
      <c r="B24" s="4" t="s">
        <v>55</v>
      </c>
      <c r="C24" s="375" t="s">
        <v>121</v>
      </c>
      <c r="D24" s="99" t="s">
        <v>125</v>
      </c>
      <c r="E24" s="373" t="e">
        <f>INDEX('PY1 Data(H)'!$A$1:$CZ$265,MATCH('Unit Data from Audit Worksheet'!$A24,'PY1 Data(H)'!$A$1:$A$258,0),MATCH('Unit Data from Audit Worksheet'!$D$2,'PY1 Data(H)'!$A$1:$CZ$1,0))</f>
        <v>#N/A</v>
      </c>
      <c r="F24" s="810">
        <v>0</v>
      </c>
      <c r="G24" s="403"/>
      <c r="H24" s="404"/>
      <c r="I24" s="72"/>
      <c r="J24" s="72"/>
      <c r="K24"/>
      <c r="L24" s="550"/>
    </row>
    <row r="25" spans="1:12" ht="138" customHeight="1" x14ac:dyDescent="0.3">
      <c r="A25" s="100">
        <v>254</v>
      </c>
      <c r="B25" s="4" t="s">
        <v>55</v>
      </c>
      <c r="C25" s="375" t="s">
        <v>121</v>
      </c>
      <c r="D25" s="99" t="s">
        <v>693</v>
      </c>
      <c r="E25" s="373" t="e">
        <f>INDEX('PY1 Data(H)'!$A$1:$CZ$265,MATCH('Unit Data from Audit Worksheet'!$A25,'PY1 Data(H)'!$A$1:$A$258,0),MATCH('Unit Data from Audit Worksheet'!$D$2,'PY1 Data(H)'!$A$1:$CZ$1,0))</f>
        <v>#N/A</v>
      </c>
      <c r="F25" s="810">
        <v>0</v>
      </c>
      <c r="G25" s="403">
        <f>IF(H25=0,,"Error: Total assets and deferred outflows less total liabilities and deferred inflows do not equal total net position. Account numbers  385-338-252-253-254 = 0.  The amount the formula is off is located in the cell to the right")</f>
        <v>0</v>
      </c>
      <c r="H25" s="406">
        <f>F11-F21-F23-F24-F25</f>
        <v>0</v>
      </c>
      <c r="I25" s="72"/>
      <c r="J25" s="72"/>
      <c r="K25"/>
      <c r="L25" s="550"/>
    </row>
    <row r="26" spans="1:12" ht="21.75" customHeight="1" x14ac:dyDescent="0.3">
      <c r="A26" s="100"/>
      <c r="B26" s="492" t="s">
        <v>126</v>
      </c>
      <c r="C26" s="502"/>
      <c r="D26" s="475"/>
      <c r="E26" s="486"/>
      <c r="F26" s="486"/>
      <c r="G26" s="487"/>
      <c r="H26" s="17"/>
      <c r="I26" s="72"/>
      <c r="J26" s="72"/>
      <c r="K26"/>
      <c r="L26" s="550"/>
    </row>
    <row r="27" spans="1:12" ht="59.25" customHeight="1" x14ac:dyDescent="0.3">
      <c r="A27" s="100">
        <v>502</v>
      </c>
      <c r="B27" s="4" t="s">
        <v>54</v>
      </c>
      <c r="C27" s="375" t="s">
        <v>128</v>
      </c>
      <c r="D27" s="385" t="s">
        <v>694</v>
      </c>
      <c r="E27" s="373" t="e">
        <f>INDEX('PY1 Data(H)'!$A$1:$CZ$265,MATCH('Unit Data from Audit Worksheet'!$A27,'PY1 Data(H)'!$A$1:$A$258,0),MATCH('Unit Data from Audit Worksheet'!$D$2,'PY1 Data(H)'!$A$1:$CZ$1,0))</f>
        <v>#N/A</v>
      </c>
      <c r="F27" s="810">
        <v>0</v>
      </c>
      <c r="G27" s="403">
        <f>IF(F27&lt;0,"Note: Number is normally positive.",)</f>
        <v>0</v>
      </c>
      <c r="H27" s="17"/>
      <c r="I27" s="72"/>
      <c r="J27" s="72"/>
      <c r="K27"/>
      <c r="L27" s="550"/>
    </row>
    <row r="28" spans="1:12" ht="59.25" customHeight="1" x14ac:dyDescent="0.3">
      <c r="A28" s="100">
        <v>503</v>
      </c>
      <c r="B28" s="4" t="s">
        <v>54</v>
      </c>
      <c r="C28" s="375" t="s">
        <v>128</v>
      </c>
      <c r="D28" s="99" t="s">
        <v>127</v>
      </c>
      <c r="E28" s="373" t="e">
        <f>INDEX('PY1 Data(H)'!$A$1:$CZ$265,MATCH('Unit Data from Audit Worksheet'!$A28,'PY1 Data(H)'!$A$1:$A$258,0),MATCH('Unit Data from Audit Worksheet'!$D$2,'PY1 Data(H)'!$A$1:$CZ$1,0))</f>
        <v>#N/A</v>
      </c>
      <c r="F28" s="810">
        <v>0</v>
      </c>
      <c r="G28" s="403">
        <f>IF(F28&lt;0,"Note: Number is normally positive.",)</f>
        <v>0</v>
      </c>
      <c r="H28" s="17"/>
      <c r="I28" s="72"/>
      <c r="J28" s="72"/>
      <c r="K28"/>
      <c r="L28" s="550"/>
    </row>
    <row r="29" spans="1:12" ht="27" customHeight="1" x14ac:dyDescent="0.3">
      <c r="A29" s="100"/>
      <c r="B29" s="492" t="s">
        <v>129</v>
      </c>
      <c r="C29" s="502"/>
      <c r="D29" s="475"/>
      <c r="E29" s="476"/>
      <c r="F29" s="476"/>
      <c r="G29" s="477"/>
      <c r="H29" s="17"/>
      <c r="I29" s="72"/>
      <c r="J29" s="72"/>
      <c r="K29"/>
      <c r="L29" s="550"/>
    </row>
    <row r="30" spans="1:12" ht="49.5" customHeight="1" x14ac:dyDescent="0.3">
      <c r="A30" s="100">
        <v>344</v>
      </c>
      <c r="B30" s="4" t="s">
        <v>55</v>
      </c>
      <c r="C30" s="4" t="s">
        <v>136</v>
      </c>
      <c r="D30" s="99" t="s">
        <v>130</v>
      </c>
      <c r="E30" s="373" t="e">
        <f>INDEX('PY1 Data(H)'!$A$1:$CZ$265,MATCH('Unit Data from Audit Worksheet'!$A30,'PY1 Data(H)'!$A$1:$A$258,0),MATCH('Unit Data from Audit Worksheet'!$D$2,'PY1 Data(H)'!$A$1:$CZ$1,0))</f>
        <v>#N/A</v>
      </c>
      <c r="F30" s="810">
        <v>0</v>
      </c>
      <c r="G30" s="403">
        <f t="shared" ref="G30:G37" si="0">IF(F30&lt;0,"Error: Enter as positive.",)</f>
        <v>0</v>
      </c>
      <c r="H30" s="17"/>
      <c r="I30" s="72"/>
      <c r="J30" s="72"/>
      <c r="K30"/>
      <c r="L30" s="550"/>
    </row>
    <row r="31" spans="1:12" ht="49.5" customHeight="1" x14ac:dyDescent="0.3">
      <c r="A31" s="100">
        <v>388</v>
      </c>
      <c r="B31" s="4" t="s">
        <v>59</v>
      </c>
      <c r="C31" s="4" t="s">
        <v>136</v>
      </c>
      <c r="D31" s="99" t="s">
        <v>131</v>
      </c>
      <c r="E31" s="373" t="e">
        <f>INDEX('PY1 Data(H)'!$A$1:$CZ$265,MATCH('Unit Data from Audit Worksheet'!$A31,'PY1 Data(H)'!$A$1:$A$258,0),MATCH('Unit Data from Audit Worksheet'!$D$2,'PY1 Data(H)'!$A$1:$CZ$1,0))</f>
        <v>#N/A</v>
      </c>
      <c r="F31" s="810">
        <v>0</v>
      </c>
      <c r="G31" s="403">
        <f t="shared" si="0"/>
        <v>0</v>
      </c>
      <c r="H31" s="17"/>
      <c r="I31" s="72"/>
      <c r="J31" s="72"/>
      <c r="K31"/>
      <c r="L31" s="550"/>
    </row>
    <row r="32" spans="1:12" ht="51.75" customHeight="1" x14ac:dyDescent="0.3">
      <c r="A32" s="100">
        <v>339</v>
      </c>
      <c r="B32" s="4" t="s">
        <v>55</v>
      </c>
      <c r="C32" s="4" t="s">
        <v>136</v>
      </c>
      <c r="D32" s="99" t="s">
        <v>132</v>
      </c>
      <c r="E32" s="373" t="e">
        <f>INDEX('PY1 Data(H)'!$A$1:$CZ$265,MATCH('Unit Data from Audit Worksheet'!$A32,'PY1 Data(H)'!$A$1:$A$258,0),MATCH('Unit Data from Audit Worksheet'!$D$2,'PY1 Data(H)'!$A$1:$CZ$1,0))</f>
        <v>#N/A</v>
      </c>
      <c r="F32" s="810">
        <v>0</v>
      </c>
      <c r="G32" s="403">
        <f t="shared" si="0"/>
        <v>0</v>
      </c>
      <c r="H32" s="17"/>
      <c r="I32" s="72"/>
      <c r="J32" s="72"/>
      <c r="K32"/>
      <c r="L32" s="550"/>
    </row>
    <row r="33" spans="1:123" ht="50.25" customHeight="1" x14ac:dyDescent="0.3">
      <c r="A33" s="100">
        <v>504</v>
      </c>
      <c r="B33" s="4" t="s">
        <v>55</v>
      </c>
      <c r="C33" s="4" t="s">
        <v>136</v>
      </c>
      <c r="D33" s="99" t="s">
        <v>133</v>
      </c>
      <c r="E33" s="373" t="e">
        <f>INDEX('PY1 Data(H)'!$A$1:$CZ$265,MATCH('Unit Data from Audit Worksheet'!$A33,'PY1 Data(H)'!$A$1:$A$258,0),MATCH('Unit Data from Audit Worksheet'!$D$2,'PY1 Data(H)'!$A$1:$CZ$1,0))</f>
        <v>#N/A</v>
      </c>
      <c r="F33" s="810">
        <v>0</v>
      </c>
      <c r="G33" s="403">
        <f t="shared" si="0"/>
        <v>0</v>
      </c>
      <c r="H33" s="17"/>
      <c r="I33" s="72"/>
      <c r="J33" s="72"/>
      <c r="K33"/>
      <c r="L33" s="550"/>
    </row>
    <row r="34" spans="1:123" ht="60" customHeight="1" x14ac:dyDescent="0.3">
      <c r="A34" s="100">
        <v>505</v>
      </c>
      <c r="B34" s="4" t="s">
        <v>55</v>
      </c>
      <c r="C34" s="4" t="s">
        <v>136</v>
      </c>
      <c r="D34" s="379" t="s">
        <v>134</v>
      </c>
      <c r="E34" s="373" t="e">
        <f>INDEX('PY1 Data(H)'!$A$1:$CZ$265,MATCH('Unit Data from Audit Worksheet'!$A34,'PY1 Data(H)'!$A$1:$A$258,0),MATCH('Unit Data from Audit Worksheet'!$D$2,'PY1 Data(H)'!$A$1:$CZ$1,0))</f>
        <v>#N/A</v>
      </c>
      <c r="F34" s="810">
        <v>0</v>
      </c>
      <c r="G34" s="403">
        <f t="shared" si="0"/>
        <v>0</v>
      </c>
      <c r="H34" s="17"/>
      <c r="I34" s="72"/>
      <c r="J34" s="72"/>
      <c r="K34"/>
      <c r="L34" s="550"/>
    </row>
    <row r="35" spans="1:123" ht="67.95" customHeight="1" x14ac:dyDescent="0.3">
      <c r="A35" s="100">
        <v>341</v>
      </c>
      <c r="B35" s="4" t="s">
        <v>55</v>
      </c>
      <c r="C35" s="4" t="s">
        <v>136</v>
      </c>
      <c r="D35" s="385" t="s">
        <v>695</v>
      </c>
      <c r="E35" s="373" t="e">
        <f>INDEX('PY1 Data(H)'!$A$1:$CZ$265,MATCH('Unit Data from Audit Worksheet'!$A35,'PY1 Data(H)'!$A$1:$A$258,0),MATCH('Unit Data from Audit Worksheet'!$D$2,'PY1 Data(H)'!$A$1:$CZ$1,0))</f>
        <v>#N/A</v>
      </c>
      <c r="F35" s="810">
        <v>0</v>
      </c>
      <c r="G35" s="403">
        <f t="shared" si="0"/>
        <v>0</v>
      </c>
      <c r="H35" s="17"/>
      <c r="I35" s="72"/>
      <c r="J35" s="72"/>
      <c r="K35"/>
      <c r="L35" s="550"/>
    </row>
    <row r="36" spans="1:123" ht="44.25" customHeight="1" x14ac:dyDescent="0.3">
      <c r="A36" s="100">
        <v>386</v>
      </c>
      <c r="B36" s="4" t="s">
        <v>55</v>
      </c>
      <c r="C36" s="4" t="s">
        <v>136</v>
      </c>
      <c r="D36" s="99" t="s">
        <v>696</v>
      </c>
      <c r="E36" s="373" t="e">
        <f>INDEX('PY1 Data(H)'!$A$1:$CZ$265,MATCH('Unit Data from Audit Worksheet'!$A36,'PY1 Data(H)'!$A$1:$A$258,0),MATCH('Unit Data from Audit Worksheet'!$D$2,'PY1 Data(H)'!$A$1:$CZ$1,0))</f>
        <v>#N/A</v>
      </c>
      <c r="F36" s="810">
        <v>0</v>
      </c>
      <c r="G36" s="403">
        <f t="shared" si="0"/>
        <v>0</v>
      </c>
      <c r="H36" s="17"/>
      <c r="I36" s="72"/>
      <c r="J36" s="72"/>
      <c r="K36"/>
      <c r="L36" s="550"/>
    </row>
    <row r="37" spans="1:123" ht="48.75" customHeight="1" x14ac:dyDescent="0.3">
      <c r="A37" s="100">
        <v>387</v>
      </c>
      <c r="B37" s="4" t="s">
        <v>59</v>
      </c>
      <c r="C37" s="4" t="s">
        <v>136</v>
      </c>
      <c r="D37" s="99" t="s">
        <v>697</v>
      </c>
      <c r="E37" s="373" t="e">
        <f>INDEX('PY1 Data(H)'!$A$1:$CZ$265,MATCH('Unit Data from Audit Worksheet'!$A37,'PY1 Data(H)'!$A$1:$A$258,0),MATCH('Unit Data from Audit Worksheet'!$D$2,'PY1 Data(H)'!$A$1:$CZ$1,0))</f>
        <v>#N/A</v>
      </c>
      <c r="F37" s="810">
        <v>0</v>
      </c>
      <c r="G37" s="403">
        <f t="shared" si="0"/>
        <v>0</v>
      </c>
      <c r="H37" s="17"/>
      <c r="I37" s="72"/>
      <c r="J37" s="72"/>
      <c r="K37"/>
      <c r="L37" s="550"/>
    </row>
    <row r="38" spans="1:123" ht="92.25" customHeight="1" x14ac:dyDescent="0.3">
      <c r="A38" s="100">
        <v>389</v>
      </c>
      <c r="B38" s="4" t="s">
        <v>59</v>
      </c>
      <c r="C38" s="4" t="s">
        <v>136</v>
      </c>
      <c r="D38" s="385" t="s">
        <v>698</v>
      </c>
      <c r="E38" s="373" t="e">
        <f>INDEX('PY1 Data(H)'!$A$1:$CZ$265,MATCH('Unit Data from Audit Worksheet'!$A38,'PY1 Data(H)'!$A$1:$A$258,0),MATCH('Unit Data from Audit Worksheet'!$D$2,'PY1 Data(H)'!$A$1:$CZ$1,0))</f>
        <v>#N/A</v>
      </c>
      <c r="F38" s="810">
        <v>0</v>
      </c>
      <c r="G38" s="403"/>
      <c r="H38" s="17"/>
      <c r="I38" s="72"/>
      <c r="J38" s="72"/>
      <c r="K38"/>
      <c r="L38" s="550"/>
    </row>
    <row r="39" spans="1:123" ht="135" customHeight="1" x14ac:dyDescent="0.3">
      <c r="A39" s="100">
        <v>255</v>
      </c>
      <c r="B39" s="4" t="s">
        <v>55</v>
      </c>
      <c r="C39" s="4" t="s">
        <v>136</v>
      </c>
      <c r="D39" s="385" t="s">
        <v>699</v>
      </c>
      <c r="E39" s="373" t="e">
        <f>INDEX('PY1 Data(H)'!$A$1:$CZ$265,MATCH('Unit Data from Audit Worksheet'!$A39,'PY1 Data(H)'!$A$1:$A$258,0),MATCH('Unit Data from Audit Worksheet'!$D$2,'PY1 Data(H)'!$A$1:$CZ$1,0))</f>
        <v>#N/A</v>
      </c>
      <c r="F39" s="810">
        <v>0</v>
      </c>
      <c r="G39" s="403">
        <f>IF(H39=0,,"Error: Total revenues less total expenses do not equal total change in net position. Account numbers 339+504+505+341+386-387+389-388-255 = 0  The amount the formula is off is located in the cell to the right")</f>
        <v>0</v>
      </c>
      <c r="H39" s="406">
        <f>F32+F33+F34+F35+F36-F37+F38-F31-F39</f>
        <v>0</v>
      </c>
      <c r="I39" s="72"/>
      <c r="J39" s="72"/>
      <c r="K39"/>
      <c r="L39" s="550"/>
    </row>
    <row r="40" spans="1:123" ht="135" customHeight="1" x14ac:dyDescent="0.3">
      <c r="A40" s="100">
        <v>376</v>
      </c>
      <c r="B40" s="4" t="s">
        <v>55</v>
      </c>
      <c r="C40" s="4" t="s">
        <v>136</v>
      </c>
      <c r="D40" s="385" t="s">
        <v>700</v>
      </c>
      <c r="E40" s="373" t="e">
        <f>INDEX('PY1 Data(H)'!$A$1:$CZ$265,MATCH('Unit Data from Audit Worksheet'!$A40,'PY1 Data(H)'!$A$1:$A$258,0),MATCH('Unit Data from Audit Worksheet'!$D$2,'PY1 Data(H)'!$A$1:$CZ$1,0))</f>
        <v>#N/A</v>
      </c>
      <c r="F40" s="810">
        <v>0</v>
      </c>
      <c r="G40" s="764" t="e">
        <f>IF(H40=0,,"Error: Beginning Balance does not agree with our records.  Account numbers  252+253+254-255-376-(Prior Year 252+253+254)=0  The amount the formula is off is located in the cell to the right")</f>
        <v>#N/A</v>
      </c>
      <c r="H40" s="765" t="e">
        <f>F23+F24+F25-F39-F40-(E23+E24+E25)</f>
        <v>#N/A</v>
      </c>
      <c r="I40" s="789" t="e">
        <f>IF(H40=0," ","If the out of balance is because prior years data is not populated in cells E23,E24,E25, disregard the error message.  Do not include prior year's ending balances in cell F38")</f>
        <v>#N/A</v>
      </c>
      <c r="J40" s="774"/>
      <c r="K40" s="527"/>
      <c r="L40" s="550"/>
    </row>
    <row r="41" spans="1:123" s="18" customFormat="1" ht="141.75" customHeight="1" x14ac:dyDescent="0.3">
      <c r="A41" s="100">
        <v>597</v>
      </c>
      <c r="B41" s="375" t="s">
        <v>326</v>
      </c>
      <c r="C41" s="375" t="s">
        <v>336</v>
      </c>
      <c r="D41" s="459" t="s">
        <v>701</v>
      </c>
      <c r="E41" s="373" t="e">
        <f>INDEX('PY1 Data(H)'!$A$1:$CZ$265,MATCH('Unit Data from Audit Worksheet'!$A41,'PY1 Data(H)'!$A$1:$A$258,0),MATCH('Unit Data from Audit Worksheet'!$D$2,'PY1 Data(H)'!$A$1:$CZ$1,0))</f>
        <v>#N/A</v>
      </c>
      <c r="F41" s="810">
        <v>0</v>
      </c>
      <c r="G41" s="403">
        <f>IF(F41&lt;0,"Note: Number is normally positive.",)</f>
        <v>0</v>
      </c>
      <c r="H41" s="404"/>
      <c r="J41" s="405"/>
      <c r="K41"/>
      <c r="L41" s="550"/>
      <c r="M41"/>
      <c r="O41" s="18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ht="25.5" customHeight="1" x14ac:dyDescent="0.3">
      <c r="A42" s="100"/>
      <c r="B42" s="492" t="s">
        <v>325</v>
      </c>
      <c r="C42" s="502"/>
      <c r="D42" s="475"/>
      <c r="E42" s="476"/>
      <c r="F42" s="476"/>
      <c r="G42" s="477"/>
      <c r="H42" s="17"/>
      <c r="I42" s="72"/>
      <c r="J42" s="72"/>
      <c r="K42"/>
      <c r="L42" s="550"/>
    </row>
    <row r="43" spans="1:123" s="18" customFormat="1" ht="86.25" customHeight="1" x14ac:dyDescent="0.3">
      <c r="A43" s="100">
        <v>592</v>
      </c>
      <c r="B43" s="375" t="s">
        <v>58</v>
      </c>
      <c r="C43" s="375" t="s">
        <v>327</v>
      </c>
      <c r="D43" s="385" t="s">
        <v>702</v>
      </c>
      <c r="E43" s="373" t="e">
        <f>INDEX('PY1 Data(H)'!$A$1:$CZ$265,MATCH('Unit Data from Audit Worksheet'!$A43,'PY1 Data(H)'!$A$1:$A$258,0),MATCH('Unit Data from Audit Worksheet'!$D$2,'PY1 Data(H)'!$A$1:$CZ$1,0))</f>
        <v>#N/A</v>
      </c>
      <c r="F43" s="810">
        <v>0</v>
      </c>
      <c r="G43" s="403"/>
      <c r="H43" s="404"/>
      <c r="K43"/>
      <c r="L43" s="550"/>
      <c r="M43"/>
      <c r="O43" s="18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1:123" s="18" customFormat="1" ht="71.25" customHeight="1" x14ac:dyDescent="0.3">
      <c r="A44" s="100">
        <v>591</v>
      </c>
      <c r="B44" s="375" t="s">
        <v>58</v>
      </c>
      <c r="C44" s="375" t="s">
        <v>327</v>
      </c>
      <c r="D44" s="99" t="s">
        <v>328</v>
      </c>
      <c r="E44" s="373" t="e">
        <f>INDEX('PY1 Data(H)'!$A$1:$CZ$265,MATCH('Unit Data from Audit Worksheet'!$A44,'PY1 Data(H)'!$A$1:$A$258,0),MATCH('Unit Data from Audit Worksheet'!$D$2,'PY1 Data(H)'!$A$1:$CZ$1,0))</f>
        <v>#N/A</v>
      </c>
      <c r="F44" s="810">
        <v>0</v>
      </c>
      <c r="G44" s="403">
        <f>IF(F44&lt;0,"Error: Enter as positive.",)</f>
        <v>0</v>
      </c>
      <c r="H44" s="404"/>
      <c r="K44"/>
      <c r="L44" s="550"/>
      <c r="M44"/>
      <c r="O44" s="18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ht="27" customHeight="1" x14ac:dyDescent="0.3">
      <c r="A45" s="100"/>
      <c r="B45" s="492" t="s">
        <v>137</v>
      </c>
      <c r="C45" s="502"/>
      <c r="D45" s="478"/>
      <c r="E45" s="479"/>
      <c r="F45" s="479"/>
      <c r="G45" s="480"/>
      <c r="H45" s="17"/>
      <c r="I45" s="72"/>
      <c r="J45" s="72"/>
      <c r="K45"/>
      <c r="L45" s="550"/>
    </row>
    <row r="46" spans="1:123" s="18" customFormat="1" ht="55.5" customHeight="1" x14ac:dyDescent="0.3">
      <c r="A46" s="100">
        <v>506</v>
      </c>
      <c r="B46" s="966" t="s">
        <v>1960</v>
      </c>
      <c r="C46" s="460" t="s">
        <v>141</v>
      </c>
      <c r="D46" s="99" t="s">
        <v>703</v>
      </c>
      <c r="E46" s="373" t="e">
        <f>INDEX('PY1 Data(H)'!$A$1:$CZ$265,MATCH('Unit Data from Audit Worksheet'!$A46,'PY1 Data(H)'!$A$1:$A$258,0),MATCH('Unit Data from Audit Worksheet'!$D$2,'PY1 Data(H)'!$A$1:$CZ$1,0))</f>
        <v>#N/A</v>
      </c>
      <c r="F46" s="810">
        <v>0</v>
      </c>
      <c r="G46" s="403">
        <f>IF(F46&lt;0,"Note: Number is normally positive.",)</f>
        <v>0</v>
      </c>
      <c r="H46" s="404"/>
      <c r="I46" s="72"/>
      <c r="J46" s="72"/>
      <c r="K46"/>
      <c r="L46" s="550"/>
      <c r="M46"/>
      <c r="O46" s="18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s="18" customFormat="1" ht="63.6" customHeight="1" x14ac:dyDescent="0.3">
      <c r="A47" s="100">
        <v>536</v>
      </c>
      <c r="B47" s="966" t="s">
        <v>1960</v>
      </c>
      <c r="C47" s="460" t="s">
        <v>141</v>
      </c>
      <c r="D47" s="99" t="s">
        <v>138</v>
      </c>
      <c r="E47" s="373" t="e">
        <f>INDEX('PY1 Data(H)'!$A$1:$CZ$265,MATCH('Unit Data from Audit Worksheet'!$A47,'PY1 Data(H)'!$A$1:$A$258,0),MATCH('Unit Data from Audit Worksheet'!$D$2,'PY1 Data(H)'!$A$1:$CZ$1,0))</f>
        <v>#N/A</v>
      </c>
      <c r="F47" s="810">
        <v>0</v>
      </c>
      <c r="G47" s="403">
        <f>IF(F47&lt;0,"Note: Number is normally positive.",)</f>
        <v>0</v>
      </c>
      <c r="H47" s="404"/>
      <c r="I47" s="405"/>
      <c r="J47" s="405"/>
      <c r="K47"/>
      <c r="L47" s="550"/>
      <c r="M47"/>
      <c r="O47" s="18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1:123" s="18" customFormat="1" ht="51.75" customHeight="1" x14ac:dyDescent="0.3">
      <c r="A48" s="100">
        <v>586</v>
      </c>
      <c r="B48" s="460" t="s">
        <v>58</v>
      </c>
      <c r="C48" s="460" t="s">
        <v>141</v>
      </c>
      <c r="D48" s="378" t="s">
        <v>314</v>
      </c>
      <c r="E48" s="373" t="e">
        <f>INDEX('PY1 Data(H)'!$A$1:$CZ$265,MATCH('Unit Data from Audit Worksheet'!$A48,'PY1 Data(H)'!$A$1:$A$258,0),MATCH('Unit Data from Audit Worksheet'!$D$2,'PY1 Data(H)'!$A$1:$CZ$1,0))</f>
        <v>#N/A</v>
      </c>
      <c r="F48" s="810">
        <v>0</v>
      </c>
      <c r="G48" s="403">
        <f>IF(F48&lt;0,"Note: Number is normally positive.",)</f>
        <v>0</v>
      </c>
      <c r="H48" s="404"/>
      <c r="I48" s="405"/>
      <c r="J48" s="405"/>
      <c r="K48"/>
      <c r="L48" s="550"/>
      <c r="M48"/>
      <c r="O48" s="18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1:123" ht="37.5" customHeight="1" x14ac:dyDescent="0.3">
      <c r="A49" s="100">
        <v>379</v>
      </c>
      <c r="B49" s="460" t="s">
        <v>59</v>
      </c>
      <c r="C49" s="460" t="s">
        <v>141</v>
      </c>
      <c r="D49" s="99" t="s">
        <v>122</v>
      </c>
      <c r="E49" s="373" t="e">
        <f>INDEX('PY1 Data(H)'!$A$1:$CZ$265,MATCH('Unit Data from Audit Worksheet'!$A49,'PY1 Data(H)'!$A$1:$A$258,0),MATCH('Unit Data from Audit Worksheet'!$D$2,'PY1 Data(H)'!$A$1:$CZ$1,0))</f>
        <v>#N/A</v>
      </c>
      <c r="F49" s="810">
        <v>0</v>
      </c>
      <c r="G49" s="403">
        <f>IF((F46+F47)&gt;F49,"Error: Please review account numbers (506+536)&gt;379",)</f>
        <v>0</v>
      </c>
      <c r="H49" s="404"/>
      <c r="I49" s="72"/>
      <c r="J49" s="72"/>
      <c r="K49"/>
      <c r="L49" s="550"/>
    </row>
    <row r="50" spans="1:123" ht="93" customHeight="1" x14ac:dyDescent="0.3">
      <c r="A50" s="100">
        <v>368</v>
      </c>
      <c r="B50" s="460" t="s">
        <v>1521</v>
      </c>
      <c r="C50" s="460" t="s">
        <v>141</v>
      </c>
      <c r="D50" s="385" t="s">
        <v>704</v>
      </c>
      <c r="E50" s="373" t="e">
        <f>INDEX('PY1 Data(H)'!$A$1:$CZ$265,MATCH('Unit Data from Audit Worksheet'!$A50,'PY1 Data(H)'!$A$1:$A$258,0),MATCH('Unit Data from Audit Worksheet'!$D$2,'PY1 Data(H)'!$A$1:$CZ$1,0))</f>
        <v>#N/A</v>
      </c>
      <c r="F50" s="810">
        <v>0</v>
      </c>
      <c r="G50" s="403">
        <f t="shared" ref="G50:G56" si="1">IF(F50&lt;0,"Error: Enter as positive.",)</f>
        <v>0</v>
      </c>
      <c r="H50" s="404"/>
      <c r="I50" s="404"/>
      <c r="J50" s="404"/>
      <c r="K50"/>
      <c r="L50" s="550"/>
    </row>
    <row r="51" spans="1:123" ht="87" customHeight="1" x14ac:dyDescent="0.3">
      <c r="A51" s="100">
        <v>4</v>
      </c>
      <c r="B51" s="966" t="s">
        <v>1960</v>
      </c>
      <c r="C51" s="460" t="s">
        <v>141</v>
      </c>
      <c r="D51" s="190" t="s">
        <v>705</v>
      </c>
      <c r="E51" s="373" t="e">
        <f>INDEX('PY1 Data(H)'!$A$1:$CZ$265,MATCH('Unit Data from Audit Worksheet'!$A51,'PY1 Data(H)'!$A$1:$A$258,0),MATCH('Unit Data from Audit Worksheet'!$D$2,'PY1 Data(H)'!$A$1:$CZ$1,0))</f>
        <v>#N/A</v>
      </c>
      <c r="F51" s="810">
        <v>0</v>
      </c>
      <c r="G51" s="403">
        <f t="shared" si="1"/>
        <v>0</v>
      </c>
      <c r="H51" s="404"/>
      <c r="I51" s="72"/>
      <c r="J51" s="72"/>
      <c r="K51"/>
      <c r="L51" s="550"/>
    </row>
    <row r="52" spans="1:123" ht="132" customHeight="1" x14ac:dyDescent="0.3">
      <c r="A52" s="100">
        <v>5</v>
      </c>
      <c r="B52" s="966" t="s">
        <v>1960</v>
      </c>
      <c r="C52" s="460" t="s">
        <v>141</v>
      </c>
      <c r="D52" s="213" t="s">
        <v>706</v>
      </c>
      <c r="E52" s="373" t="e">
        <f>INDEX('PY1 Data(H)'!$A$1:$CZ$265,MATCH('Unit Data from Audit Worksheet'!$A52,'PY1 Data(H)'!$A$1:$A$258,0),MATCH('Unit Data from Audit Worksheet'!$D$2,'PY1 Data(H)'!$A$1:$CZ$1,0))</f>
        <v>#N/A</v>
      </c>
      <c r="F52" s="810">
        <v>0</v>
      </c>
      <c r="G52" s="403">
        <f t="shared" si="1"/>
        <v>0</v>
      </c>
      <c r="H52" s="404"/>
      <c r="I52" s="72"/>
      <c r="J52" s="72"/>
      <c r="K52"/>
      <c r="L52" s="550"/>
    </row>
    <row r="53" spans="1:123" ht="93.75" customHeight="1" x14ac:dyDescent="0.3">
      <c r="A53" s="100">
        <v>380</v>
      </c>
      <c r="B53" s="460" t="s">
        <v>59</v>
      </c>
      <c r="C53" s="460" t="s">
        <v>141</v>
      </c>
      <c r="D53" s="213" t="s">
        <v>707</v>
      </c>
      <c r="E53" s="373" t="e">
        <f>INDEX('PY1 Data(H)'!$A$1:$CZ$265,MATCH('Unit Data from Audit Worksheet'!$A53,'PY1 Data(H)'!$A$1:$A$258,0),MATCH('Unit Data from Audit Worksheet'!$D$2,'PY1 Data(H)'!$A$1:$CZ$1,0))</f>
        <v>#N/A</v>
      </c>
      <c r="F53" s="810">
        <v>0</v>
      </c>
      <c r="G53" s="403">
        <f t="shared" si="1"/>
        <v>0</v>
      </c>
      <c r="H53" s="404"/>
      <c r="I53" s="72"/>
      <c r="J53" s="72"/>
      <c r="K53"/>
      <c r="L53" s="550"/>
    </row>
    <row r="54" spans="1:123" ht="48.75" customHeight="1" x14ac:dyDescent="0.3">
      <c r="A54" s="100">
        <v>391</v>
      </c>
      <c r="B54" s="460" t="s">
        <v>68</v>
      </c>
      <c r="C54" s="460" t="s">
        <v>141</v>
      </c>
      <c r="D54" s="99" t="s">
        <v>139</v>
      </c>
      <c r="E54" s="373" t="e">
        <f>INDEX('PY1 Data(H)'!$A$1:$CZ$265,MATCH('Unit Data from Audit Worksheet'!$A54,'PY1 Data(H)'!$A$1:$A$258,0),MATCH('Unit Data from Audit Worksheet'!$D$2,'PY1 Data(H)'!$A$1:$CZ$1,0))</f>
        <v>#N/A</v>
      </c>
      <c r="F54" s="810">
        <v>0</v>
      </c>
      <c r="G54" s="403">
        <f t="shared" si="1"/>
        <v>0</v>
      </c>
      <c r="H54" s="404"/>
      <c r="I54" s="72"/>
      <c r="J54" s="72"/>
      <c r="K54"/>
      <c r="L54" s="550"/>
    </row>
    <row r="55" spans="1:123" ht="51.75" customHeight="1" x14ac:dyDescent="0.3">
      <c r="A55" s="100">
        <v>7</v>
      </c>
      <c r="B55" s="460" t="s">
        <v>68</v>
      </c>
      <c r="C55" s="460" t="s">
        <v>141</v>
      </c>
      <c r="D55" s="99" t="s">
        <v>140</v>
      </c>
      <c r="E55" s="373" t="e">
        <f>INDEX('PY1 Data(H)'!$A$1:$CZ$265,MATCH('Unit Data from Audit Worksheet'!$A55,'PY1 Data(H)'!$A$1:$A$258,0),MATCH('Unit Data from Audit Worksheet'!$D$2,'PY1 Data(H)'!$A$1:$CZ$1,0))</f>
        <v>#N/A</v>
      </c>
      <c r="F55" s="810">
        <v>0</v>
      </c>
      <c r="G55" s="403">
        <f t="shared" si="1"/>
        <v>0</v>
      </c>
      <c r="H55" s="404"/>
      <c r="I55" s="72"/>
      <c r="J55" s="72"/>
      <c r="K55"/>
      <c r="L55" s="550"/>
    </row>
    <row r="56" spans="1:123" ht="83.4" customHeight="1" x14ac:dyDescent="0.3">
      <c r="A56" s="100">
        <v>11</v>
      </c>
      <c r="B56" s="966" t="s">
        <v>1961</v>
      </c>
      <c r="C56" s="460" t="s">
        <v>141</v>
      </c>
      <c r="D56" s="385" t="s">
        <v>708</v>
      </c>
      <c r="E56" s="373" t="e">
        <f>INDEX('PY1 Data(H)'!$A$1:$CZ$265,MATCH('Unit Data from Audit Worksheet'!$A56,'PY1 Data(H)'!$A$1:$A$258,0),MATCH('Unit Data from Audit Worksheet'!$D$2,'PY1 Data(H)'!$A$1:$CZ$1,0))</f>
        <v>#N/A</v>
      </c>
      <c r="F56" s="810">
        <v>0</v>
      </c>
      <c r="G56" s="403">
        <f t="shared" si="1"/>
        <v>0</v>
      </c>
      <c r="H56" s="404"/>
      <c r="I56" s="72"/>
      <c r="J56" s="72"/>
      <c r="K56"/>
      <c r="L56" s="550"/>
    </row>
    <row r="57" spans="1:123" ht="78.75" customHeight="1" x14ac:dyDescent="0.3">
      <c r="A57" s="191">
        <v>645</v>
      </c>
      <c r="B57" s="463" t="s">
        <v>360</v>
      </c>
      <c r="C57" s="463" t="s">
        <v>141</v>
      </c>
      <c r="D57" s="645" t="s">
        <v>386</v>
      </c>
      <c r="E57" s="373" t="e">
        <f>INDEX('PY1 Data(H)'!$A$1:$CZ$265,MATCH('Unit Data from Audit Worksheet'!$A57,'PY1 Data(H)'!$A$1:$A$258,0),MATCH('Unit Data from Audit Worksheet'!$D$2,'PY1 Data(H)'!$A$1:$CZ$1,0))</f>
        <v>#N/A</v>
      </c>
      <c r="F57" s="810">
        <v>0</v>
      </c>
      <c r="G57" s="403">
        <f>IF(F57&lt;0,"Note: Number is normally positive.",)</f>
        <v>0</v>
      </c>
      <c r="H57" s="404"/>
      <c r="I57" s="405"/>
      <c r="J57" s="405"/>
      <c r="K57"/>
      <c r="L57" s="550"/>
    </row>
    <row r="58" spans="1:123" ht="78.75" customHeight="1" x14ac:dyDescent="0.3">
      <c r="A58" s="191">
        <v>646</v>
      </c>
      <c r="B58" s="463" t="s">
        <v>360</v>
      </c>
      <c r="C58" s="463" t="s">
        <v>141</v>
      </c>
      <c r="D58" s="190" t="s">
        <v>361</v>
      </c>
      <c r="E58" s="373" t="e">
        <f>INDEX('PY1 Data(H)'!$A$1:$CZ$265,MATCH('Unit Data from Audit Worksheet'!$A58,'PY1 Data(H)'!$A$1:$A$258,0),MATCH('Unit Data from Audit Worksheet'!$D$2,'PY1 Data(H)'!$A$1:$CZ$1,0))</f>
        <v>#N/A</v>
      </c>
      <c r="F58" s="810">
        <v>0</v>
      </c>
      <c r="G58" s="403">
        <f>IF(F58&lt;0,"Note: Number is normally positive.",)</f>
        <v>0</v>
      </c>
      <c r="H58" s="404"/>
      <c r="I58" s="405"/>
      <c r="J58" s="405"/>
      <c r="K58"/>
      <c r="L58" s="550"/>
    </row>
    <row r="59" spans="1:123" ht="138" customHeight="1" x14ac:dyDescent="0.3">
      <c r="A59" s="100">
        <v>9</v>
      </c>
      <c r="B59" s="966" t="s">
        <v>1964</v>
      </c>
      <c r="C59" s="460" t="s">
        <v>141</v>
      </c>
      <c r="D59" s="385" t="s">
        <v>709</v>
      </c>
      <c r="E59" s="373" t="e">
        <f>INDEX('PY1 Data(H)'!$A$1:$CZ$265,MATCH('Unit Data from Audit Worksheet'!$A59,'PY1 Data(H)'!$A$1:$A$258,0),MATCH('Unit Data from Audit Worksheet'!$D$2,'PY1 Data(H)'!$A$1:$CZ$1,0))</f>
        <v>#N/A</v>
      </c>
      <c r="F59" s="810">
        <v>0</v>
      </c>
      <c r="G59" s="403">
        <f>IF(F49-F51-F52-F53-F59=0,,"Error: Total assets less total liabilities do not equal total fund balance. Account numbers 379-4-5-380-9= 0  The amount of the formula is in the cell to the right")</f>
        <v>0</v>
      </c>
      <c r="H59" s="406">
        <f>F49-F51-F52-F53-F59</f>
        <v>0</v>
      </c>
      <c r="I59" s="72"/>
      <c r="J59" s="72"/>
      <c r="K59"/>
      <c r="L59" s="550"/>
    </row>
    <row r="60" spans="1:123" s="18" customFormat="1" ht="63.75" customHeight="1" x14ac:dyDescent="0.3">
      <c r="A60" s="100">
        <v>540</v>
      </c>
      <c r="B60" s="375" t="s">
        <v>58</v>
      </c>
      <c r="C60" s="375" t="s">
        <v>710</v>
      </c>
      <c r="D60" s="99" t="s">
        <v>387</v>
      </c>
      <c r="E60" s="373" t="e">
        <f>INDEX('PY1 Data(H)'!$A$1:$CZ$265,MATCH('Unit Data from Audit Worksheet'!$A60,'PY1 Data(H)'!$A$1:$A$258,0),MATCH('Unit Data from Audit Worksheet'!$D$2,'PY1 Data(H)'!$A$1:$CZ$1,0))</f>
        <v>#N/A</v>
      </c>
      <c r="F60" s="810">
        <v>0</v>
      </c>
      <c r="G60" s="403"/>
      <c r="H60" s="404"/>
      <c r="I60" s="405"/>
      <c r="J60" s="405"/>
      <c r="K60"/>
      <c r="L60" s="550"/>
      <c r="M60"/>
      <c r="O60" s="187"/>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1:123" s="18" customFormat="1" ht="63.75" customHeight="1" x14ac:dyDescent="0.3">
      <c r="A61" s="100">
        <v>1052</v>
      </c>
      <c r="B61" s="375" t="s">
        <v>58</v>
      </c>
      <c r="C61" s="794" t="s">
        <v>144</v>
      </c>
      <c r="D61" s="788" t="s">
        <v>1558</v>
      </c>
      <c r="E61" s="373" t="e">
        <f>INDEX('PY1 Data(H)'!$A$1:$CZ$265,MATCH('Unit Data from Audit Worksheet'!$A61,'PY1 Data(H)'!$A$1:$A$258,0),MATCH('Unit Data from Audit Worksheet'!$D$2,'PY1 Data(H)'!$A$1:$CZ$1,0))</f>
        <v>#N/A</v>
      </c>
      <c r="F61" s="810">
        <v>0</v>
      </c>
      <c r="G61" s="403"/>
      <c r="H61" s="404"/>
      <c r="I61" s="405"/>
      <c r="J61" s="405"/>
      <c r="K61" s="180"/>
      <c r="L61" s="550"/>
      <c r="M61" s="180"/>
      <c r="O61" s="187"/>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row>
    <row r="62" spans="1:123" ht="30" customHeight="1" x14ac:dyDescent="0.3">
      <c r="A62" s="100"/>
      <c r="B62" s="492" t="s">
        <v>143</v>
      </c>
      <c r="C62" s="502"/>
      <c r="D62" s="475"/>
      <c r="E62" s="476"/>
      <c r="F62" s="476"/>
      <c r="G62" s="477"/>
      <c r="H62" s="17"/>
      <c r="I62" s="72"/>
      <c r="J62" s="72"/>
      <c r="K62"/>
      <c r="L62" s="550"/>
    </row>
    <row r="63" spans="1:123" ht="82.5" customHeight="1" x14ac:dyDescent="0.3">
      <c r="A63" s="100">
        <v>984</v>
      </c>
      <c r="B63" s="965" t="s">
        <v>1974</v>
      </c>
      <c r="C63" s="375" t="s">
        <v>710</v>
      </c>
      <c r="D63" s="385" t="s">
        <v>791</v>
      </c>
      <c r="E63" s="373" t="e">
        <f>INDEX('PY1 Data(H)'!$A$1:$CZ$265,MATCH('Unit Data from Audit Worksheet'!$A63,'PY1 Data(H)'!$A$1:$A$258,0),MATCH('Unit Data from Audit Worksheet'!$D$2,'PY1 Data(H)'!$A$1:$CZ$1,0))</f>
        <v>#N/A</v>
      </c>
      <c r="F63" s="810">
        <v>0</v>
      </c>
      <c r="G63" s="403"/>
      <c r="H63" s="17"/>
      <c r="I63" s="72"/>
      <c r="J63" s="72"/>
      <c r="K63"/>
      <c r="L63" s="550"/>
    </row>
    <row r="64" spans="1:123" ht="69" customHeight="1" x14ac:dyDescent="0.3">
      <c r="A64" s="100">
        <v>985</v>
      </c>
      <c r="B64" s="965" t="s">
        <v>1974</v>
      </c>
      <c r="C64" s="375" t="s">
        <v>710</v>
      </c>
      <c r="D64" s="385" t="s">
        <v>792</v>
      </c>
      <c r="E64" s="373" t="e">
        <f>INDEX('PY1 Data(H)'!$A$1:$CZ$265,MATCH('Unit Data from Audit Worksheet'!$A64,'PY1 Data(H)'!$A$1:$A$258,0),MATCH('Unit Data from Audit Worksheet'!$D$2,'PY1 Data(H)'!$A$1:$CZ$1,0))</f>
        <v>#N/A</v>
      </c>
      <c r="F64" s="810">
        <v>0</v>
      </c>
      <c r="G64" s="403"/>
      <c r="H64" s="17"/>
      <c r="I64" s="72"/>
      <c r="J64" s="72"/>
      <c r="K64"/>
      <c r="L64" s="550"/>
    </row>
    <row r="65" spans="1:123" ht="52.5" customHeight="1" x14ac:dyDescent="0.3">
      <c r="A65" s="100">
        <v>369</v>
      </c>
      <c r="B65" s="4" t="s">
        <v>55</v>
      </c>
      <c r="C65" s="4" t="s">
        <v>144</v>
      </c>
      <c r="D65" s="385" t="s">
        <v>711</v>
      </c>
      <c r="E65" s="373" t="e">
        <f>INDEX('PY1 Data(H)'!$A$1:$CZ$265,MATCH('Unit Data from Audit Worksheet'!$A65,'PY1 Data(H)'!$A$1:$A$258,0),MATCH('Unit Data from Audit Worksheet'!$D$2,'PY1 Data(H)'!$A$1:$CZ$1,0))</f>
        <v>#N/A</v>
      </c>
      <c r="F65" s="810">
        <v>0</v>
      </c>
      <c r="G65" s="403"/>
      <c r="H65" s="17"/>
      <c r="I65" s="72"/>
      <c r="J65" s="72"/>
      <c r="K65"/>
      <c r="L65" s="550"/>
    </row>
    <row r="66" spans="1:123" ht="57.75" customHeight="1" x14ac:dyDescent="0.3">
      <c r="A66" s="100">
        <v>16</v>
      </c>
      <c r="B66" s="4" t="s">
        <v>65</v>
      </c>
      <c r="C66" s="4" t="s">
        <v>144</v>
      </c>
      <c r="D66" s="99" t="s">
        <v>142</v>
      </c>
      <c r="E66" s="373" t="e">
        <f>INDEX('PY1 Data(H)'!$A$1:$CZ$265,MATCH('Unit Data from Audit Worksheet'!$A66,'PY1 Data(H)'!$A$1:$A$258,0),MATCH('Unit Data from Audit Worksheet'!$D$2,'PY1 Data(H)'!$A$1:$CZ$1,0))</f>
        <v>#N/A</v>
      </c>
      <c r="F66" s="810">
        <v>0</v>
      </c>
      <c r="G66" s="403"/>
      <c r="H66" s="17"/>
      <c r="I66" s="72"/>
      <c r="J66" s="72"/>
      <c r="K66"/>
      <c r="L66" s="550"/>
    </row>
    <row r="67" spans="1:123" ht="65.25" customHeight="1" x14ac:dyDescent="0.3">
      <c r="A67" s="100">
        <v>370</v>
      </c>
      <c r="B67" s="4" t="s">
        <v>55</v>
      </c>
      <c r="C67" s="4" t="s">
        <v>144</v>
      </c>
      <c r="D67" s="385" t="s">
        <v>712</v>
      </c>
      <c r="E67" s="373" t="e">
        <f>INDEX('PY1 Data(H)'!$A$1:$CZ$265,MATCH('Unit Data from Audit Worksheet'!$A67,'PY1 Data(H)'!$A$1:$A$258,0),MATCH('Unit Data from Audit Worksheet'!$D$2,'PY1 Data(H)'!$A$1:$CZ$1,0))</f>
        <v>#N/A</v>
      </c>
      <c r="F67" s="810">
        <v>0</v>
      </c>
      <c r="G67" s="403">
        <f>IF(F67&lt;0,"Error: Enter as positive.",)</f>
        <v>0</v>
      </c>
      <c r="H67" s="17"/>
      <c r="I67" s="72"/>
      <c r="J67" s="72"/>
      <c r="K67"/>
      <c r="L67" s="550"/>
    </row>
    <row r="68" spans="1:123" ht="69.75" customHeight="1" x14ac:dyDescent="0.3">
      <c r="A68" s="100">
        <v>532</v>
      </c>
      <c r="B68" s="965" t="s">
        <v>1960</v>
      </c>
      <c r="C68" s="4" t="s">
        <v>144</v>
      </c>
      <c r="D68" s="381" t="s">
        <v>713</v>
      </c>
      <c r="E68" s="373" t="e">
        <f>INDEX('PY1 Data(H)'!$A$1:$CZ$265,MATCH('Unit Data from Audit Worksheet'!$A68,'PY1 Data(H)'!$A$1:$A$258,0),MATCH('Unit Data from Audit Worksheet'!$D$2,'PY1 Data(H)'!$A$1:$CZ$1,0))</f>
        <v>#N/A</v>
      </c>
      <c r="F68" s="810">
        <v>0</v>
      </c>
      <c r="G68" s="403">
        <f>IF(F68&lt;0,"Error: Enter as positive.",)</f>
        <v>0</v>
      </c>
      <c r="H68" s="17"/>
      <c r="I68" s="72"/>
      <c r="J68" s="72"/>
      <c r="K68"/>
      <c r="L68" s="550"/>
    </row>
    <row r="69" spans="1:123" ht="69.75" customHeight="1" x14ac:dyDescent="0.3">
      <c r="A69" s="100">
        <v>1050</v>
      </c>
      <c r="B69" s="968" t="s">
        <v>1963</v>
      </c>
      <c r="C69" s="794" t="s">
        <v>144</v>
      </c>
      <c r="D69" s="795" t="s">
        <v>1509</v>
      </c>
      <c r="E69" s="373" t="e">
        <f>INDEX('PY1 Data(H)'!$A$1:$CZ$265,MATCH('Unit Data from Audit Worksheet'!$A69,'PY1 Data(H)'!$A$1:$A$258,0),MATCH('Unit Data from Audit Worksheet'!$D$2,'PY1 Data(H)'!$A$1:$CZ$1,0))</f>
        <v>#N/A</v>
      </c>
      <c r="F69" s="810">
        <v>0</v>
      </c>
      <c r="G69" s="403">
        <f>IF(F69&lt;0,"Error: Enter as positive.",)</f>
        <v>0</v>
      </c>
      <c r="H69" s="17"/>
      <c r="I69" s="72"/>
      <c r="J69" s="72"/>
      <c r="K69" s="180"/>
      <c r="L69" s="550"/>
      <c r="M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row>
    <row r="70" spans="1:123" ht="58.95" customHeight="1" x14ac:dyDescent="0.3">
      <c r="A70" s="100">
        <v>17</v>
      </c>
      <c r="B70" s="4" t="s">
        <v>59</v>
      </c>
      <c r="C70" s="4" t="s">
        <v>144</v>
      </c>
      <c r="D70" s="99" t="s">
        <v>714</v>
      </c>
      <c r="E70" s="373" t="e">
        <f>INDEX('PY1 Data(H)'!$A$1:$CZ$265,MATCH('Unit Data from Audit Worksheet'!$A70,'PY1 Data(H)'!$A$1:$A$258,0),MATCH('Unit Data from Audit Worksheet'!$D$2,'PY1 Data(H)'!$A$1:$CZ$1,0))</f>
        <v>#N/A</v>
      </c>
      <c r="F70" s="810">
        <v>0</v>
      </c>
      <c r="G70" s="403"/>
      <c r="H70" s="17"/>
      <c r="I70" s="72"/>
      <c r="J70" s="72"/>
      <c r="K70"/>
      <c r="L70" s="550"/>
    </row>
    <row r="71" spans="1:123" ht="66" customHeight="1" x14ac:dyDescent="0.3">
      <c r="A71" s="100">
        <v>20</v>
      </c>
      <c r="B71" s="965" t="s">
        <v>1960</v>
      </c>
      <c r="C71" s="4" t="s">
        <v>144</v>
      </c>
      <c r="D71" s="99" t="s">
        <v>715</v>
      </c>
      <c r="E71" s="373" t="e">
        <f>INDEX('PY1 Data(H)'!$A$1:$CZ$265,MATCH('Unit Data from Audit Worksheet'!$A71,'PY1 Data(H)'!$A$1:$A$258,0),MATCH('Unit Data from Audit Worksheet'!$D$2,'PY1 Data(H)'!$A$1:$CZ$1,0))</f>
        <v>#N/A</v>
      </c>
      <c r="F71" s="810">
        <v>0</v>
      </c>
      <c r="G71" s="403">
        <f>IF(F71&lt;0,"Error: Enter as positive.",)</f>
        <v>0</v>
      </c>
      <c r="H71" s="17"/>
      <c r="I71" s="72"/>
      <c r="J71" s="72"/>
      <c r="K71"/>
      <c r="L71" s="550"/>
    </row>
    <row r="72" spans="1:123" ht="62.4" customHeight="1" x14ac:dyDescent="0.3">
      <c r="A72" s="100">
        <v>533</v>
      </c>
      <c r="B72" s="965" t="s">
        <v>1960</v>
      </c>
      <c r="C72" s="4" t="s">
        <v>144</v>
      </c>
      <c r="D72" s="381" t="s">
        <v>716</v>
      </c>
      <c r="E72" s="373" t="e">
        <f>INDEX('PY1 Data(H)'!$A$1:$CZ$265,MATCH('Unit Data from Audit Worksheet'!$A72,'PY1 Data(H)'!$A$1:$A$258,0),MATCH('Unit Data from Audit Worksheet'!$D$2,'PY1 Data(H)'!$A$1:$CZ$1,0))</f>
        <v>#N/A</v>
      </c>
      <c r="F72" s="810">
        <v>0</v>
      </c>
      <c r="G72" s="409"/>
      <c r="H72" s="17"/>
      <c r="I72" s="72"/>
      <c r="J72" s="72"/>
      <c r="K72"/>
      <c r="L72" s="550"/>
    </row>
    <row r="73" spans="1:123" s="18" customFormat="1" ht="72.599999999999994" customHeight="1" x14ac:dyDescent="0.3">
      <c r="A73" s="100">
        <v>508</v>
      </c>
      <c r="B73" s="965" t="s">
        <v>1960</v>
      </c>
      <c r="C73" s="4" t="s">
        <v>144</v>
      </c>
      <c r="D73" s="99" t="s">
        <v>292</v>
      </c>
      <c r="E73" s="373" t="e">
        <f>INDEX('PY1 Data(H)'!$A$1:$CZ$265,MATCH('Unit Data from Audit Worksheet'!$A73,'PY1 Data(H)'!$A$1:$A$258,0),MATCH('Unit Data from Audit Worksheet'!$D$2,'PY1 Data(H)'!$A$1:$CZ$1,0))</f>
        <v>#N/A</v>
      </c>
      <c r="F73" s="810">
        <v>0</v>
      </c>
      <c r="G73" s="403"/>
      <c r="H73" s="404"/>
      <c r="I73" s="405"/>
      <c r="J73" s="405"/>
      <c r="K73"/>
      <c r="L73" s="550"/>
      <c r="M73"/>
      <c r="O73" s="187"/>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1:123" s="18" customFormat="1" ht="81.75" customHeight="1" x14ac:dyDescent="0.3">
      <c r="A74" s="100">
        <v>509</v>
      </c>
      <c r="B74" s="965" t="s">
        <v>1960</v>
      </c>
      <c r="C74" s="4" t="s">
        <v>144</v>
      </c>
      <c r="D74" s="99" t="s">
        <v>290</v>
      </c>
      <c r="E74" s="373" t="e">
        <f>INDEX('PY1 Data(H)'!$A$1:$CZ$265,MATCH('Unit Data from Audit Worksheet'!$A74,'PY1 Data(H)'!$A$1:$A$258,0),MATCH('Unit Data from Audit Worksheet'!$D$2,'PY1 Data(H)'!$A$1:$CZ$1,0))</f>
        <v>#N/A</v>
      </c>
      <c r="F74" s="810">
        <v>0</v>
      </c>
      <c r="G74" s="403">
        <f>IF(F74&lt;0,"Error: Enter as positive.",)</f>
        <v>0</v>
      </c>
      <c r="H74" s="404"/>
      <c r="I74" s="405"/>
      <c r="J74" s="405"/>
      <c r="K74"/>
      <c r="L74" s="550"/>
      <c r="M74"/>
      <c r="O74" s="187"/>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1:123" ht="69" customHeight="1" x14ac:dyDescent="0.3">
      <c r="A75" s="100">
        <v>22</v>
      </c>
      <c r="B75" s="4" t="s">
        <v>59</v>
      </c>
      <c r="C75" s="4" t="s">
        <v>144</v>
      </c>
      <c r="D75" s="99" t="s">
        <v>291</v>
      </c>
      <c r="E75" s="373" t="e">
        <f>INDEX('PY1 Data(H)'!$A$1:$CZ$265,MATCH('Unit Data from Audit Worksheet'!$A75,'PY1 Data(H)'!$A$1:$A$258,0),MATCH('Unit Data from Audit Worksheet'!$D$2,'PY1 Data(H)'!$A$1:$CZ$1,0))</f>
        <v>#N/A</v>
      </c>
      <c r="F75" s="810">
        <v>0</v>
      </c>
      <c r="G75" s="409"/>
      <c r="H75" s="17"/>
      <c r="I75" s="72"/>
      <c r="J75" s="72"/>
      <c r="K75"/>
      <c r="L75" s="550"/>
    </row>
    <row r="76" spans="1:123" ht="138" customHeight="1" x14ac:dyDescent="0.3">
      <c r="A76" s="100">
        <v>23</v>
      </c>
      <c r="B76" s="4" t="s">
        <v>59</v>
      </c>
      <c r="C76" s="4" t="s">
        <v>144</v>
      </c>
      <c r="D76" s="385" t="s">
        <v>717</v>
      </c>
      <c r="E76" s="373" t="e">
        <f>INDEX('PY1 Data(H)'!$A$1:$CZ$265,MATCH('Unit Data from Audit Worksheet'!$A76,'PY1 Data(H)'!$A$1:$A$258,0),MATCH('Unit Data from Audit Worksheet'!$D$2,'PY1 Data(H)'!$A$1:$CZ$1,0))</f>
        <v>#N/A</v>
      </c>
      <c r="F76" s="810"/>
      <c r="G76" s="403">
        <f>IF(H76=0,,"Error: Total revenues less total expenditures do not equal total change in fund balance.  Account numbers 16-532+17-20+533+22+508-509-23=0  The amount of the formula is located in the cell to the right")</f>
        <v>0</v>
      </c>
      <c r="H76" s="406">
        <f>+F66-F68+F70-F71+F72+F75+F73-F74-F76</f>
        <v>0</v>
      </c>
      <c r="I76" s="72"/>
      <c r="J76" s="72"/>
      <c r="K76"/>
      <c r="L76" s="550"/>
    </row>
    <row r="77" spans="1:123" ht="194.25" customHeight="1" x14ac:dyDescent="0.3">
      <c r="A77" s="100">
        <v>590</v>
      </c>
      <c r="B77" s="965" t="s">
        <v>2654</v>
      </c>
      <c r="C77" s="4"/>
      <c r="D77" s="791" t="s">
        <v>1652</v>
      </c>
      <c r="E77" s="525"/>
      <c r="F77" s="811"/>
      <c r="G77" s="661"/>
      <c r="H77" s="1046" t="str">
        <f>IF(F77&lt;&gt;""," ","Please do not leave cell F77 blank.")</f>
        <v>Please do not leave cell F77 blank.</v>
      </c>
      <c r="I77" s="405"/>
      <c r="J77" s="405"/>
      <c r="K77"/>
      <c r="L77" s="550"/>
    </row>
    <row r="78" spans="1:123" ht="138" customHeight="1" x14ac:dyDescent="0.3">
      <c r="A78" s="100">
        <v>507</v>
      </c>
      <c r="B78" s="375" t="s">
        <v>59</v>
      </c>
      <c r="C78" s="375" t="s">
        <v>144</v>
      </c>
      <c r="D78" s="385" t="s">
        <v>718</v>
      </c>
      <c r="E78" s="373" t="e">
        <f>INDEX('PY1 Data(H)'!$A$1:$CZ$265,MATCH('Unit Data from Audit Worksheet'!$A78,'PY1 Data(H)'!$A$1:$A$258,0),MATCH('Unit Data from Audit Worksheet'!$D$2,'PY1 Data(H)'!$A$1:$CZ$1,0))</f>
        <v>#N/A</v>
      </c>
      <c r="F78" s="810">
        <v>0</v>
      </c>
      <c r="G78" s="766" t="e">
        <f>IF(F59-F76-F78=E59,,"Error: Beginning Balance does not agree with our records.  (Acct# 9-23-507)= Prior Years Acct # 9 The amount of the formula is in the cell to the right")</f>
        <v>#N/A</v>
      </c>
      <c r="H78" s="767" t="e">
        <f>+F59-F76-F78-E59</f>
        <v>#N/A</v>
      </c>
      <c r="I78" s="789" t="e">
        <f>IF(H78=0," ","If the out of balance is because prior years data is not populated in cell E59, disregard the error message. Do not include prior year's ending balance in cell F76.")</f>
        <v>#N/A</v>
      </c>
      <c r="J78" s="774"/>
      <c r="K78"/>
      <c r="L78" s="550"/>
    </row>
    <row r="79" spans="1:123" ht="82.5" customHeight="1" x14ac:dyDescent="0.3">
      <c r="A79" s="191">
        <v>647</v>
      </c>
      <c r="B79" s="967" t="s">
        <v>1962</v>
      </c>
      <c r="C79" s="462" t="s">
        <v>362</v>
      </c>
      <c r="D79" s="190" t="s">
        <v>1605</v>
      </c>
      <c r="E79" s="373" t="e">
        <f>INDEX('PY1 Data(H)'!$A$1:$CZ$265,MATCH('Unit Data from Audit Worksheet'!$A79,'PY1 Data(H)'!$A$1:$A$258,0),MATCH('Unit Data from Audit Worksheet'!$D$2,'PY1 Data(H)'!$A$1:$CZ$1,0))</f>
        <v>#N/A</v>
      </c>
      <c r="F79" s="810">
        <v>0</v>
      </c>
      <c r="G79" s="403">
        <f>IF(F79&lt;0,"Error: Enter as positive.",)</f>
        <v>0</v>
      </c>
      <c r="H79" s="410"/>
      <c r="I79" s="72"/>
      <c r="J79" s="72"/>
      <c r="K79"/>
      <c r="L79" s="550"/>
    </row>
    <row r="80" spans="1:123" ht="25.5" customHeight="1" x14ac:dyDescent="0.3">
      <c r="A80" s="100"/>
      <c r="B80" s="492" t="s">
        <v>11</v>
      </c>
      <c r="C80" s="502"/>
      <c r="D80" s="472"/>
      <c r="E80" s="473"/>
      <c r="F80" s="473"/>
      <c r="G80" s="474"/>
      <c r="H80" s="17"/>
      <c r="I80" s="72"/>
      <c r="J80" s="72"/>
      <c r="K80"/>
      <c r="L80" s="550"/>
    </row>
    <row r="81" spans="1:12" ht="78" customHeight="1" x14ac:dyDescent="0.3">
      <c r="A81" s="100">
        <v>171</v>
      </c>
      <c r="B81" s="4" t="s">
        <v>295</v>
      </c>
      <c r="C81" s="4" t="s">
        <v>294</v>
      </c>
      <c r="D81" s="374" t="s">
        <v>719</v>
      </c>
      <c r="E81" s="373" t="e">
        <f>INDEX('PY1 Data(H)'!$A$1:$CZ$265,MATCH('Unit Data from Audit Worksheet'!$A81,'PY1 Data(H)'!$A$1:$A$258,0),MATCH('Unit Data from Audit Worksheet'!$D$2,'PY1 Data(H)'!$A$1:$CZ$1,0))</f>
        <v>#N/A</v>
      </c>
      <c r="F81" s="820">
        <v>0</v>
      </c>
      <c r="G81" s="403">
        <f>IF(F81&lt;0,"Error: Enter as positive.",)</f>
        <v>0</v>
      </c>
      <c r="H81" s="17"/>
      <c r="I81" s="72"/>
      <c r="J81" s="72"/>
      <c r="K81"/>
      <c r="L81" s="550"/>
    </row>
    <row r="82" spans="1:12" ht="18" customHeight="1" x14ac:dyDescent="0.3">
      <c r="A82" s="100"/>
      <c r="B82" s="493" t="s">
        <v>720</v>
      </c>
      <c r="C82" s="502"/>
      <c r="D82" s="470"/>
      <c r="E82" s="489"/>
      <c r="F82" s="488"/>
      <c r="G82" s="489"/>
      <c r="H82" s="17"/>
      <c r="I82" s="72"/>
      <c r="J82" s="72"/>
      <c r="K82"/>
      <c r="L82" s="550"/>
    </row>
    <row r="83" spans="1:12" ht="14.4" customHeight="1" x14ac:dyDescent="0.3">
      <c r="A83" s="100"/>
      <c r="B83" s="493" t="s">
        <v>24</v>
      </c>
      <c r="C83" s="502"/>
      <c r="D83" s="484"/>
      <c r="E83" s="491"/>
      <c r="F83" s="490"/>
      <c r="G83" s="491"/>
      <c r="H83" s="17"/>
      <c r="I83" s="72"/>
      <c r="J83" s="72"/>
      <c r="K83"/>
      <c r="L83" s="550"/>
    </row>
    <row r="84" spans="1:12" ht="14.4" customHeight="1" x14ac:dyDescent="0.3">
      <c r="A84" s="100"/>
      <c r="B84" s="493" t="s">
        <v>22</v>
      </c>
      <c r="C84" s="502"/>
      <c r="D84" s="484"/>
      <c r="E84" s="491"/>
      <c r="F84" s="490"/>
      <c r="G84" s="491"/>
      <c r="H84" s="411"/>
      <c r="I84" s="72"/>
      <c r="J84" s="72"/>
      <c r="K84"/>
      <c r="L84" s="550"/>
    </row>
    <row r="85" spans="1:12" ht="88.95" customHeight="1" x14ac:dyDescent="0.3">
      <c r="A85" s="100">
        <v>596</v>
      </c>
      <c r="B85" s="375" t="s">
        <v>56</v>
      </c>
      <c r="C85" s="279"/>
      <c r="D85" s="751" t="s">
        <v>1618</v>
      </c>
      <c r="E85" s="373" t="e">
        <f>INDEX('PY1 Data(H)'!$A$1:$CZ$265,MATCH('Unit Data from Audit Worksheet'!$A85,'PY1 Data(H)'!$A$1:$A$258,0),MATCH('Unit Data from Audit Worksheet'!$D$2,'PY1 Data(H)'!$A$1:$CZ$1,0))</f>
        <v>#N/A</v>
      </c>
      <c r="F85" s="181"/>
      <c r="G85" s="940" t="s">
        <v>2646</v>
      </c>
      <c r="H85" s="411"/>
      <c r="I85" s="72"/>
      <c r="J85" s="72"/>
      <c r="K85"/>
      <c r="L85" s="550"/>
    </row>
    <row r="86" spans="1:12" ht="85.95" customHeight="1" x14ac:dyDescent="0.3">
      <c r="A86" s="100">
        <v>80</v>
      </c>
      <c r="B86" s="965" t="s">
        <v>1965</v>
      </c>
      <c r="C86" s="4" t="s">
        <v>721</v>
      </c>
      <c r="D86" s="21" t="s">
        <v>722</v>
      </c>
      <c r="E86" s="373" t="e">
        <f>INDEX('PY1 Data(H)'!$A$1:$CZ$265,MATCH('Unit Data from Audit Worksheet'!$A86,'PY1 Data(H)'!$A$1:$A$258,0),MATCH('Unit Data from Audit Worksheet'!$D$2,'PY1 Data(H)'!$A$1:$CZ$1,0))</f>
        <v>#N/A</v>
      </c>
      <c r="F86" s="820">
        <v>0</v>
      </c>
      <c r="G86" s="796" t="e">
        <f>INDEX('PY1 Data(H)'!$A$1:$CZ$282,MATCH('PY1 Data(H)'!$A261,'PY1 Data(H)'!$A$1:$A$282,0),MATCH('Unit Data from Audit Worksheet'!$D$2,'PY1 Data(H)'!$A$1:$CZ$1,0))</f>
        <v>#N/A</v>
      </c>
      <c r="H86" s="412"/>
      <c r="I86" s="72"/>
      <c r="J86" s="72"/>
      <c r="K86"/>
      <c r="L86" s="550"/>
    </row>
    <row r="87" spans="1:12" ht="69" customHeight="1" x14ac:dyDescent="0.3">
      <c r="A87" s="100">
        <v>81</v>
      </c>
      <c r="B87" s="4" t="s">
        <v>61</v>
      </c>
      <c r="C87" s="4" t="s">
        <v>721</v>
      </c>
      <c r="D87" s="21" t="s">
        <v>723</v>
      </c>
      <c r="E87" s="373" t="e">
        <f>INDEX('PY1 Data(H)'!$A$1:$CZ$265,MATCH('Unit Data from Audit Worksheet'!$A87,'PY1 Data(H)'!$A$1:$A$258,0),MATCH('Unit Data from Audit Worksheet'!$D$2,'PY1 Data(H)'!$A$1:$CZ$1,0))</f>
        <v>#N/A</v>
      </c>
      <c r="F87" s="810">
        <v>0</v>
      </c>
      <c r="G87" s="409"/>
      <c r="H87" s="17"/>
      <c r="I87" s="72"/>
      <c r="J87" s="72"/>
      <c r="K87"/>
      <c r="L87" s="550"/>
    </row>
    <row r="88" spans="1:12" ht="84" customHeight="1" x14ac:dyDescent="0.3">
      <c r="A88" s="100">
        <v>579</v>
      </c>
      <c r="B88" s="966" t="s">
        <v>1977</v>
      </c>
      <c r="C88" s="375" t="s">
        <v>721</v>
      </c>
      <c r="D88" s="461" t="s">
        <v>724</v>
      </c>
      <c r="E88" s="373" t="e">
        <f>INDEX('PY1 Data(H)'!$A$1:$CZ$265,MATCH('Unit Data from Audit Worksheet'!$A88,'PY1 Data(H)'!$A$1:$A$258,0),MATCH('Unit Data from Audit Worksheet'!$D$2,'PY1 Data(H)'!$A$1:$CZ$1,0))</f>
        <v>#N/A</v>
      </c>
      <c r="F88" s="810">
        <v>0</v>
      </c>
      <c r="G88" s="403"/>
      <c r="H88" s="17"/>
      <c r="I88" s="404"/>
      <c r="J88" s="404"/>
      <c r="K88"/>
      <c r="L88" s="550"/>
    </row>
    <row r="89" spans="1:12" ht="78.599999999999994" customHeight="1" x14ac:dyDescent="0.3">
      <c r="A89" s="100">
        <v>510</v>
      </c>
      <c r="B89" s="965" t="s">
        <v>1965</v>
      </c>
      <c r="C89" s="4" t="s">
        <v>721</v>
      </c>
      <c r="D89" s="26" t="s">
        <v>289</v>
      </c>
      <c r="E89" s="373" t="e">
        <f>INDEX('PY1 Data(H)'!$A$1:$CZ$265,MATCH('Unit Data from Audit Worksheet'!$A89,'PY1 Data(H)'!$A$1:$A$258,0),MATCH('Unit Data from Audit Worksheet'!$D$2,'PY1 Data(H)'!$A$1:$CZ$1,0))</f>
        <v>#N/A</v>
      </c>
      <c r="F89" s="810">
        <v>0</v>
      </c>
      <c r="G89" s="409"/>
      <c r="H89" s="17"/>
      <c r="I89"/>
      <c r="J89" s="72"/>
      <c r="K89"/>
      <c r="L89" s="550"/>
    </row>
    <row r="90" spans="1:12" ht="68.25" customHeight="1" x14ac:dyDescent="0.3">
      <c r="A90" s="191">
        <v>654</v>
      </c>
      <c r="B90" s="969" t="s">
        <v>1976</v>
      </c>
      <c r="C90" s="462" t="s">
        <v>721</v>
      </c>
      <c r="D90" s="216" t="s">
        <v>725</v>
      </c>
      <c r="E90" s="373" t="e">
        <f>INDEX('PY1 Data(H)'!$A$1:$CZ$265,MATCH('Unit Data from Audit Worksheet'!$A90,'PY1 Data(H)'!$A$1:$A$258,0),MATCH('Unit Data from Audit Worksheet'!$D$2,'PY1 Data(H)'!$A$1:$CZ$1,0))</f>
        <v>#N/A</v>
      </c>
      <c r="F90" s="810">
        <v>0</v>
      </c>
      <c r="G90" s="403">
        <f>IF((F86+F87+F89)&gt;F90,"Error: Please review components of current assets above.  Account numbers (80+81+510)&gt;654",)</f>
        <v>0</v>
      </c>
      <c r="H90" s="17"/>
      <c r="I90" s="72"/>
      <c r="J90" s="72"/>
      <c r="K90"/>
      <c r="L90" s="550"/>
    </row>
    <row r="91" spans="1:12" ht="75.75" customHeight="1" x14ac:dyDescent="0.3">
      <c r="A91" s="191">
        <v>655</v>
      </c>
      <c r="B91" s="969" t="s">
        <v>1976</v>
      </c>
      <c r="C91" s="462" t="s">
        <v>721</v>
      </c>
      <c r="D91" s="193" t="s">
        <v>446</v>
      </c>
      <c r="E91" s="373" t="e">
        <f>INDEX('PY1 Data(H)'!$A$1:$CZ$265,MATCH('Unit Data from Audit Worksheet'!$A91,'PY1 Data(H)'!$A$1:$A$258,0),MATCH('Unit Data from Audit Worksheet'!$D$2,'PY1 Data(H)'!$A$1:$CZ$1,0))</f>
        <v>#N/A</v>
      </c>
      <c r="F91" s="810">
        <v>0</v>
      </c>
      <c r="G91" s="409"/>
      <c r="H91" s="17"/>
      <c r="I91" s="72"/>
      <c r="J91" s="72"/>
      <c r="K91"/>
      <c r="L91" s="550"/>
    </row>
    <row r="92" spans="1:12" ht="82.8" customHeight="1" x14ac:dyDescent="0.3">
      <c r="A92" s="100">
        <v>381</v>
      </c>
      <c r="B92" s="4" t="s">
        <v>36</v>
      </c>
      <c r="C92" s="4" t="s">
        <v>721</v>
      </c>
      <c r="D92" s="98" t="s">
        <v>122</v>
      </c>
      <c r="E92" s="373" t="e">
        <f>INDEX('PY1 Data(H)'!$A$1:$CZ$265,MATCH('Unit Data from Audit Worksheet'!$A92,'PY1 Data(H)'!$A$1:$A$258,0),MATCH('Unit Data from Audit Worksheet'!$D$2,'PY1 Data(H)'!$A$1:$CZ$1,0))</f>
        <v>#N/A</v>
      </c>
      <c r="F92" s="810">
        <v>0</v>
      </c>
      <c r="G92" s="403">
        <f>IF(F90&gt;F92,"Error: Please review components of current assets above. Account numbers 654&gt;381",)</f>
        <v>0</v>
      </c>
      <c r="H92" s="17"/>
      <c r="I92" s="72"/>
      <c r="J92" s="72"/>
      <c r="K92"/>
      <c r="L92" s="550"/>
    </row>
    <row r="93" spans="1:12" ht="63" customHeight="1" x14ac:dyDescent="0.3">
      <c r="A93" s="100">
        <v>578</v>
      </c>
      <c r="B93" s="965" t="s">
        <v>1977</v>
      </c>
      <c r="C93" s="375" t="s">
        <v>721</v>
      </c>
      <c r="D93" s="461" t="s">
        <v>726</v>
      </c>
      <c r="E93" s="373" t="e">
        <f>INDEX('PY1 Data(H)'!$A$1:$CZ$265,MATCH('Unit Data from Audit Worksheet'!$A93,'PY1 Data(H)'!$A$1:$A$258,0),MATCH('Unit Data from Audit Worksheet'!$D$2,'PY1 Data(H)'!$A$1:$CZ$1,0))</f>
        <v>#N/A</v>
      </c>
      <c r="F93" s="810">
        <v>0</v>
      </c>
      <c r="G93" s="403"/>
      <c r="H93" s="404"/>
      <c r="I93" s="405"/>
      <c r="J93" s="405"/>
      <c r="K93"/>
      <c r="L93" s="550"/>
    </row>
    <row r="94" spans="1:12" ht="113.4" customHeight="1" x14ac:dyDescent="0.3">
      <c r="A94" s="192">
        <v>633</v>
      </c>
      <c r="B94" s="969" t="s">
        <v>1968</v>
      </c>
      <c r="C94" s="462" t="s">
        <v>363</v>
      </c>
      <c r="D94" s="216" t="s">
        <v>793</v>
      </c>
      <c r="E94" s="373" t="e">
        <f>INDEX('PY1 Data(H)'!$A$1:$CZ$265,MATCH('Unit Data from Audit Worksheet'!$A94,'PY1 Data(H)'!$A$1:$A$258,0),MATCH('Unit Data from Audit Worksheet'!$D$2,'PY1 Data(H)'!$A$1:$CZ$1,0))</f>
        <v>#N/A</v>
      </c>
      <c r="F94" s="810">
        <v>0</v>
      </c>
      <c r="G94" s="737" t="str">
        <f>IF(F94&gt;=(F95+F96+F97+F98+F99+F100),"","Account 633 is less than the total sum of accounts 634 through 638 + 383")</f>
        <v/>
      </c>
      <c r="H94" s="414"/>
      <c r="I94" s="408"/>
      <c r="J94" s="772"/>
      <c r="K94"/>
      <c r="L94" s="550"/>
    </row>
    <row r="95" spans="1:12" ht="101.4" customHeight="1" x14ac:dyDescent="0.3">
      <c r="A95" s="191">
        <v>634</v>
      </c>
      <c r="B95" s="967" t="s">
        <v>1969</v>
      </c>
      <c r="C95" s="462" t="s">
        <v>363</v>
      </c>
      <c r="D95" s="216" t="s">
        <v>795</v>
      </c>
      <c r="E95" s="373" t="e">
        <f>INDEX('PY1 Data(H)'!$A$1:$CZ$265,MATCH('Unit Data from Audit Worksheet'!$A95,'PY1 Data(H)'!$A$1:$A$258,0),MATCH('Unit Data from Audit Worksheet'!$D$2,'PY1 Data(H)'!$A$1:$CZ$1,0))</f>
        <v>#N/A</v>
      </c>
      <c r="F95" s="810">
        <v>0</v>
      </c>
      <c r="G95" s="738">
        <f>IF(F95&gt;F94,"Please review account numbers 634&gt;633",)</f>
        <v>0</v>
      </c>
      <c r="H95" s="408"/>
      <c r="I95" s="408"/>
      <c r="J95" s="772"/>
      <c r="K95"/>
      <c r="L95" s="550"/>
    </row>
    <row r="96" spans="1:12" ht="107.4" customHeight="1" x14ac:dyDescent="0.3">
      <c r="A96" s="191">
        <v>635</v>
      </c>
      <c r="B96" s="967" t="s">
        <v>1969</v>
      </c>
      <c r="C96" s="462" t="s">
        <v>363</v>
      </c>
      <c r="D96" s="216" t="s">
        <v>794</v>
      </c>
      <c r="E96" s="373" t="e">
        <f>INDEX('PY1 Data(H)'!$A$1:$CZ$265,MATCH('Unit Data from Audit Worksheet'!$A96,'PY1 Data(H)'!$A$1:$A$258,0),MATCH('Unit Data from Audit Worksheet'!$D$2,'PY1 Data(H)'!$A$1:$CZ$1,0))</f>
        <v>#N/A</v>
      </c>
      <c r="F96" s="810">
        <v>0</v>
      </c>
      <c r="G96" s="738">
        <f>IF(F96&gt;F94,"Please review account numbers 635&gt;633",)</f>
        <v>0</v>
      </c>
      <c r="H96" s="408"/>
      <c r="I96" s="408"/>
      <c r="J96" s="772"/>
      <c r="K96"/>
      <c r="L96" s="550"/>
    </row>
    <row r="97" spans="1:12" ht="106.5" customHeight="1" x14ac:dyDescent="0.3">
      <c r="A97" s="191">
        <v>636</v>
      </c>
      <c r="B97" s="967" t="s">
        <v>1969</v>
      </c>
      <c r="C97" s="462" t="s">
        <v>363</v>
      </c>
      <c r="D97" s="216" t="s">
        <v>799</v>
      </c>
      <c r="E97" s="373" t="e">
        <f>INDEX('PY1 Data(H)'!$A$1:$CZ$265,MATCH('Unit Data from Audit Worksheet'!$A97,'PY1 Data(H)'!$A$1:$A$258,0),MATCH('Unit Data from Audit Worksheet'!$D$2,'PY1 Data(H)'!$A$1:$CZ$1,0))</f>
        <v>#N/A</v>
      </c>
      <c r="F97" s="810">
        <v>0</v>
      </c>
      <c r="G97" s="738">
        <f>IF(F97&gt;F94,"Please review account numbers 636&gt;633",)</f>
        <v>0</v>
      </c>
      <c r="H97" s="408"/>
      <c r="I97" s="408"/>
      <c r="J97" s="772"/>
      <c r="K97"/>
      <c r="L97" s="550"/>
    </row>
    <row r="98" spans="1:12" ht="80.25" customHeight="1" x14ac:dyDescent="0.3">
      <c r="A98" s="191">
        <v>637</v>
      </c>
      <c r="B98" s="967" t="s">
        <v>1969</v>
      </c>
      <c r="C98" s="462" t="s">
        <v>363</v>
      </c>
      <c r="D98" s="216" t="s">
        <v>798</v>
      </c>
      <c r="E98" s="373" t="e">
        <f>INDEX('PY1 Data(H)'!$A$1:$CZ$265,MATCH('Unit Data from Audit Worksheet'!$A98,'PY1 Data(H)'!$A$1:$A$258,0),MATCH('Unit Data from Audit Worksheet'!$D$2,'PY1 Data(H)'!$A$1:$CZ$1,0))</f>
        <v>#N/A</v>
      </c>
      <c r="F98" s="810">
        <v>0</v>
      </c>
      <c r="G98" s="738">
        <f>IF(F98&gt;F94,"Please review account numbers 637&gt;633",)</f>
        <v>0</v>
      </c>
      <c r="H98" s="408"/>
      <c r="I98" s="408"/>
      <c r="J98" s="772"/>
      <c r="K98"/>
      <c r="L98" s="550"/>
    </row>
    <row r="99" spans="1:12" ht="106.2" customHeight="1" x14ac:dyDescent="0.3">
      <c r="A99" s="191">
        <v>638</v>
      </c>
      <c r="B99" s="967" t="s">
        <v>1969</v>
      </c>
      <c r="C99" s="462" t="s">
        <v>363</v>
      </c>
      <c r="D99" s="216" t="s">
        <v>797</v>
      </c>
      <c r="E99" s="373" t="e">
        <f>INDEX('PY1 Data(H)'!$A$1:$CZ$265,MATCH('Unit Data from Audit Worksheet'!$A99,'PY1 Data(H)'!$A$1:$A$258,0),MATCH('Unit Data from Audit Worksheet'!$D$2,'PY1 Data(H)'!$A$1:$CZ$1,0))</f>
        <v>#N/A</v>
      </c>
      <c r="F99" s="810">
        <v>0</v>
      </c>
      <c r="G99" s="738">
        <f>IF(F99&gt;F94,"Please review account numbers 638&gt;633",)</f>
        <v>0</v>
      </c>
      <c r="H99" s="408"/>
      <c r="I99" s="408"/>
      <c r="J99" s="772"/>
      <c r="K99"/>
      <c r="L99" s="550"/>
    </row>
    <row r="100" spans="1:12" ht="93.75" customHeight="1" x14ac:dyDescent="0.3">
      <c r="A100" s="100">
        <v>383</v>
      </c>
      <c r="B100" s="4" t="s">
        <v>61</v>
      </c>
      <c r="C100" s="4" t="s">
        <v>721</v>
      </c>
      <c r="D100" s="26" t="s">
        <v>796</v>
      </c>
      <c r="E100" s="373" t="e">
        <f>INDEX('PY1 Data(H)'!$A$1:$CZ$265,MATCH('Unit Data from Audit Worksheet'!$A100,'PY1 Data(H)'!$A$1:$A$258,0),MATCH('Unit Data from Audit Worksheet'!$D$2,'PY1 Data(H)'!$A$1:$CZ$1,0))</f>
        <v>#N/A</v>
      </c>
      <c r="F100" s="810">
        <v>0</v>
      </c>
      <c r="G100" s="739">
        <f>IF(F100&gt;F94,"Error: Please review account numbers 383&gt;633",)</f>
        <v>0</v>
      </c>
      <c r="H100" s="413"/>
      <c r="I100" s="72"/>
      <c r="J100" s="72"/>
      <c r="K100"/>
      <c r="L100" s="550"/>
    </row>
    <row r="101" spans="1:12" ht="61.5" customHeight="1" x14ac:dyDescent="0.3">
      <c r="A101" s="100">
        <v>349</v>
      </c>
      <c r="B101" s="4" t="s">
        <v>61</v>
      </c>
      <c r="C101" s="4" t="s">
        <v>721</v>
      </c>
      <c r="D101" s="99" t="s">
        <v>145</v>
      </c>
      <c r="E101" s="373" t="e">
        <f>INDEX('PY1 Data(H)'!$A$1:$CZ$265,MATCH('Unit Data from Audit Worksheet'!$A101,'PY1 Data(H)'!$A$1:$A$258,0),MATCH('Unit Data from Audit Worksheet'!$D$2,'PY1 Data(H)'!$A$1:$CZ$1,0))</f>
        <v>#N/A</v>
      </c>
      <c r="F101" s="810">
        <v>0</v>
      </c>
      <c r="G101" s="403" t="str">
        <f>IF(F94&gt;F101,"Error: Please review accts 633&gt;349","")</f>
        <v/>
      </c>
      <c r="H101" s="17"/>
      <c r="I101" s="72"/>
      <c r="J101" s="72"/>
      <c r="K101"/>
      <c r="L101" s="550"/>
    </row>
    <row r="102" spans="1:12" ht="72" customHeight="1" x14ac:dyDescent="0.3">
      <c r="A102" s="100">
        <v>375</v>
      </c>
      <c r="B102" s="4" t="s">
        <v>61</v>
      </c>
      <c r="C102" s="4" t="s">
        <v>721</v>
      </c>
      <c r="D102" s="385" t="s">
        <v>727</v>
      </c>
      <c r="E102" s="373" t="e">
        <f>INDEX('PY1 Data(H)'!$A$1:$CZ$265,MATCH('Unit Data from Audit Worksheet'!$A102,'PY1 Data(H)'!$A$1:$A$258,0),MATCH('Unit Data from Audit Worksheet'!$D$2,'PY1 Data(H)'!$A$1:$CZ$1,0))</f>
        <v>#N/A</v>
      </c>
      <c r="F102" s="810">
        <v>0</v>
      </c>
      <c r="G102" s="409"/>
      <c r="H102" s="17"/>
      <c r="I102" s="72"/>
      <c r="J102" s="72"/>
      <c r="K102"/>
      <c r="L102" s="550"/>
    </row>
    <row r="103" spans="1:12" ht="138" customHeight="1" x14ac:dyDescent="0.3">
      <c r="A103" s="100">
        <v>83</v>
      </c>
      <c r="B103" s="4" t="s">
        <v>60</v>
      </c>
      <c r="C103" s="4" t="s">
        <v>721</v>
      </c>
      <c r="D103" s="99" t="s">
        <v>146</v>
      </c>
      <c r="E103" s="373" t="e">
        <f>INDEX('PY1 Data(H)'!$A$1:$CZ$265,MATCH('Unit Data from Audit Worksheet'!$A103,'PY1 Data(H)'!$A$1:$A$258,0),MATCH('Unit Data from Audit Worksheet'!$D$2,'PY1 Data(H)'!$A$1:$CZ$1,0))</f>
        <v>#N/A</v>
      </c>
      <c r="F103" s="810">
        <v>0</v>
      </c>
      <c r="G103" s="403">
        <f>IF(F92-F101-F103=0,,"Error: Total assets less total liabilities do not equal total net assets.  Account numbers 381-349-83=0  The amount of the formula is in the cell to the right")</f>
        <v>0</v>
      </c>
      <c r="H103" s="406">
        <f>F92-F101-F103</f>
        <v>0</v>
      </c>
      <c r="I103" s="72"/>
      <c r="J103" s="72"/>
      <c r="K103"/>
      <c r="L103" s="550"/>
    </row>
    <row r="104" spans="1:12" ht="40.5" customHeight="1" x14ac:dyDescent="0.3">
      <c r="A104" s="100"/>
      <c r="B104" s="492" t="s">
        <v>147</v>
      </c>
      <c r="C104" s="502"/>
      <c r="D104" s="470"/>
      <c r="E104" s="488"/>
      <c r="F104" s="488"/>
      <c r="G104" s="489"/>
      <c r="H104" s="411"/>
      <c r="I104" s="72"/>
      <c r="J104" s="72"/>
      <c r="K104"/>
      <c r="L104" s="550"/>
    </row>
    <row r="105" spans="1:12" ht="59.25" customHeight="1" x14ac:dyDescent="0.3">
      <c r="A105" s="100">
        <v>90</v>
      </c>
      <c r="B105" s="965" t="s">
        <v>1972</v>
      </c>
      <c r="C105" s="4" t="s">
        <v>728</v>
      </c>
      <c r="D105" s="21" t="s">
        <v>729</v>
      </c>
      <c r="E105" s="373" t="e">
        <f>INDEX('PY1 Data(H)'!$A$1:$CZ$265,MATCH('Unit Data from Audit Worksheet'!$A105,'PY1 Data(H)'!$A$1:$A$258,0),MATCH('Unit Data from Audit Worksheet'!$D$2,'PY1 Data(H)'!$A$1:$CZ$1,0))</f>
        <v>#N/A</v>
      </c>
      <c r="F105" s="810">
        <v>0</v>
      </c>
      <c r="G105" s="403">
        <f>IF(F105&lt;0,"Note: Number is normally positive.",)</f>
        <v>0</v>
      </c>
      <c r="H105" s="406"/>
      <c r="I105" s="72"/>
      <c r="J105" s="72"/>
      <c r="K105"/>
      <c r="L105" s="550"/>
    </row>
    <row r="106" spans="1:12" ht="75" customHeight="1" x14ac:dyDescent="0.3">
      <c r="A106" s="100">
        <v>91</v>
      </c>
      <c r="B106" s="4" t="s">
        <v>57</v>
      </c>
      <c r="C106" s="4" t="s">
        <v>728</v>
      </c>
      <c r="D106" s="21" t="s">
        <v>730</v>
      </c>
      <c r="E106" s="373" t="e">
        <f>INDEX('PY1 Data(H)'!$A$1:$CZ$265,MATCH('Unit Data from Audit Worksheet'!$A106,'PY1 Data(H)'!$A$1:$A$258,0),MATCH('Unit Data from Audit Worksheet'!$D$2,'PY1 Data(H)'!$A$1:$CZ$1,0))</f>
        <v>#N/A</v>
      </c>
      <c r="F106" s="810">
        <v>0</v>
      </c>
      <c r="G106" s="403">
        <f>IF(F106&lt;0,"Note: Number is normally positive.",)</f>
        <v>0</v>
      </c>
      <c r="H106" s="404"/>
      <c r="I106" s="72"/>
      <c r="J106" s="72"/>
      <c r="K106"/>
      <c r="L106" s="550"/>
    </row>
    <row r="107" spans="1:12" ht="66.75" customHeight="1" x14ac:dyDescent="0.3">
      <c r="A107" s="100">
        <v>581</v>
      </c>
      <c r="B107" s="965" t="s">
        <v>1967</v>
      </c>
      <c r="C107" s="375" t="s">
        <v>728</v>
      </c>
      <c r="D107" s="461" t="s">
        <v>731</v>
      </c>
      <c r="E107" s="373" t="e">
        <f>INDEX('PY1 Data(H)'!$A$1:$CZ$265,MATCH('Unit Data from Audit Worksheet'!$A107,'PY1 Data(H)'!$A$1:$A$258,0),MATCH('Unit Data from Audit Worksheet'!$D$2,'PY1 Data(H)'!$A$1:$CZ$1,0))</f>
        <v>#N/A</v>
      </c>
      <c r="F107" s="810">
        <v>0</v>
      </c>
      <c r="G107" s="403"/>
      <c r="H107" s="404"/>
      <c r="I107" s="72"/>
      <c r="J107" s="72"/>
      <c r="K107"/>
      <c r="L107" s="550"/>
    </row>
    <row r="108" spans="1:12" ht="67.5" customHeight="1" x14ac:dyDescent="0.3">
      <c r="A108" s="100">
        <v>511</v>
      </c>
      <c r="B108" s="965" t="s">
        <v>1967</v>
      </c>
      <c r="C108" s="4" t="s">
        <v>728</v>
      </c>
      <c r="D108" s="22" t="s">
        <v>148</v>
      </c>
      <c r="E108" s="373" t="e">
        <f>INDEX('PY1 Data(H)'!$A$1:$CZ$265,MATCH('Unit Data from Audit Worksheet'!$A108,'PY1 Data(H)'!$A$1:$A$258,0),MATCH('Unit Data from Audit Worksheet'!$D$2,'PY1 Data(H)'!$A$1:$CZ$1,0))</f>
        <v>#N/A</v>
      </c>
      <c r="F108" s="810">
        <v>0</v>
      </c>
      <c r="G108" s="403">
        <f>IF(F108&lt;0,"Note: Number is normally positive.",)</f>
        <v>0</v>
      </c>
      <c r="H108" s="404"/>
      <c r="I108" s="72"/>
      <c r="J108" s="72"/>
      <c r="K108"/>
      <c r="L108" s="550"/>
    </row>
    <row r="109" spans="1:12" ht="72" customHeight="1" x14ac:dyDescent="0.3">
      <c r="A109" s="191">
        <v>657</v>
      </c>
      <c r="B109" s="965" t="s">
        <v>1967</v>
      </c>
      <c r="C109" s="462" t="s">
        <v>728</v>
      </c>
      <c r="D109" s="216" t="s">
        <v>732</v>
      </c>
      <c r="E109" s="373" t="e">
        <f>INDEX('PY1 Data(H)'!$A$1:$CZ$265,MATCH('Unit Data from Audit Worksheet'!$A109,'PY1 Data(H)'!$A$1:$A$258,0),MATCH('Unit Data from Audit Worksheet'!$D$2,'PY1 Data(H)'!$A$1:$CZ$1,0))</f>
        <v>#N/A</v>
      </c>
      <c r="F109" s="810">
        <v>0</v>
      </c>
      <c r="G109" s="739">
        <f>IF((F105+F106+F108)&gt;F109,"Error: Please review components of current assets above.  Account numbers (90+91+511)&gt;657",)</f>
        <v>0</v>
      </c>
      <c r="H109" s="404"/>
      <c r="I109" s="72"/>
      <c r="J109" s="72"/>
      <c r="K109"/>
      <c r="L109" s="550"/>
    </row>
    <row r="110" spans="1:12" ht="70.5" customHeight="1" x14ac:dyDescent="0.3">
      <c r="A110" s="191">
        <v>658</v>
      </c>
      <c r="B110" s="965" t="s">
        <v>1967</v>
      </c>
      <c r="C110" s="462" t="s">
        <v>728</v>
      </c>
      <c r="D110" s="193" t="s">
        <v>447</v>
      </c>
      <c r="E110" s="373" t="e">
        <f>INDEX('PY1 Data(H)'!$A$1:$CZ$265,MATCH('Unit Data from Audit Worksheet'!$A110,'PY1 Data(H)'!$A$1:$A$258,0),MATCH('Unit Data from Audit Worksheet'!$D$2,'PY1 Data(H)'!$A$1:$CZ$1,0))</f>
        <v>#N/A</v>
      </c>
      <c r="F110" s="810">
        <v>0</v>
      </c>
      <c r="G110" s="403"/>
      <c r="H110" s="404"/>
      <c r="I110" s="72"/>
      <c r="J110" s="72"/>
      <c r="K110"/>
      <c r="L110" s="550"/>
    </row>
    <row r="111" spans="1:12" ht="138" customHeight="1" x14ac:dyDescent="0.3">
      <c r="A111" s="100">
        <v>382</v>
      </c>
      <c r="B111" s="4" t="s">
        <v>59</v>
      </c>
      <c r="C111" s="4" t="s">
        <v>728</v>
      </c>
      <c r="D111" s="98" t="s">
        <v>122</v>
      </c>
      <c r="E111" s="373" t="e">
        <f>INDEX('PY1 Data(H)'!$A$1:$CZ$265,MATCH('Unit Data from Audit Worksheet'!$A111,'PY1 Data(H)'!$A$1:$A$258,0),MATCH('Unit Data from Audit Worksheet'!$D$2,'PY1 Data(H)'!$A$1:$CZ$1,0))</f>
        <v>#N/A</v>
      </c>
      <c r="F111" s="810">
        <v>0</v>
      </c>
      <c r="G111" s="739">
        <f>IF(F109&gt;F111,"Error: Please review components of current assets above. Account numbers 657&gt;382",)</f>
        <v>0</v>
      </c>
      <c r="H111" s="404"/>
      <c r="I111" s="72"/>
      <c r="J111" s="72"/>
      <c r="K111"/>
      <c r="L111" s="550"/>
    </row>
    <row r="112" spans="1:12" ht="57.75" customHeight="1" x14ac:dyDescent="0.3">
      <c r="A112" s="100">
        <v>360</v>
      </c>
      <c r="B112" s="4" t="s">
        <v>55</v>
      </c>
      <c r="C112" s="4" t="s">
        <v>728</v>
      </c>
      <c r="D112" s="99" t="s">
        <v>149</v>
      </c>
      <c r="E112" s="373" t="e">
        <f>INDEX('PY1 Data(H)'!$A$1:$CZ$265,MATCH('Unit Data from Audit Worksheet'!$A112,'PY1 Data(H)'!$A$1:$A$258,0),MATCH('Unit Data from Audit Worksheet'!$D$2,'PY1 Data(H)'!$A$1:$CZ$1,0))</f>
        <v>#N/A</v>
      </c>
      <c r="F112" s="810">
        <v>0</v>
      </c>
      <c r="G112" s="737"/>
      <c r="H112" s="404"/>
      <c r="I112" s="72"/>
      <c r="J112" s="72"/>
      <c r="K112"/>
      <c r="L112" s="550"/>
    </row>
    <row r="113" spans="1:123" ht="62.25" customHeight="1" x14ac:dyDescent="0.3">
      <c r="A113" s="100">
        <v>580</v>
      </c>
      <c r="B113" s="965" t="s">
        <v>1967</v>
      </c>
      <c r="C113" s="375" t="s">
        <v>728</v>
      </c>
      <c r="D113" s="461" t="s">
        <v>733</v>
      </c>
      <c r="E113" s="373" t="e">
        <f>INDEX('PY1 Data(H)'!$A$1:$CZ$265,MATCH('Unit Data from Audit Worksheet'!$A113,'PY1 Data(H)'!$A$1:$A$258,0),MATCH('Unit Data from Audit Worksheet'!$D$2,'PY1 Data(H)'!$A$1:$CZ$1,0))</f>
        <v>#N/A</v>
      </c>
      <c r="F113" s="810">
        <v>0</v>
      </c>
      <c r="G113" s="737"/>
      <c r="H113" s="404"/>
      <c r="I113" s="72"/>
      <c r="J113" s="72"/>
      <c r="K113"/>
      <c r="L113" s="550"/>
    </row>
    <row r="114" spans="1:123" ht="114" customHeight="1" x14ac:dyDescent="0.3">
      <c r="A114" s="192">
        <v>639</v>
      </c>
      <c r="B114" s="969" t="s">
        <v>1968</v>
      </c>
      <c r="C114" s="462" t="s">
        <v>728</v>
      </c>
      <c r="D114" s="216" t="s">
        <v>800</v>
      </c>
      <c r="E114" s="373" t="e">
        <f>INDEX('PY1 Data(H)'!$A$1:$CZ$265,MATCH('Unit Data from Audit Worksheet'!$A114,'PY1 Data(H)'!$A$1:$A$258,0),MATCH('Unit Data from Audit Worksheet'!$D$2,'PY1 Data(H)'!$A$1:$CZ$1,0))</f>
        <v>#N/A</v>
      </c>
      <c r="F114" s="810">
        <v>0</v>
      </c>
      <c r="G114" s="737" t="str">
        <f>IF(F114&gt;=(F115+F116+F117+F118+F119+F120),"","Account 639 is less than the total sum of accounts 640 through 644 + 384")</f>
        <v/>
      </c>
      <c r="H114" s="414"/>
      <c r="I114" s="408"/>
      <c r="J114" s="772"/>
      <c r="K114"/>
      <c r="L114" s="550"/>
    </row>
    <row r="115" spans="1:123" ht="111.6" customHeight="1" x14ac:dyDescent="0.3">
      <c r="A115" s="191">
        <v>640</v>
      </c>
      <c r="B115" s="967" t="s">
        <v>1969</v>
      </c>
      <c r="C115" s="462" t="s">
        <v>728</v>
      </c>
      <c r="D115" s="216" t="s">
        <v>801</v>
      </c>
      <c r="E115" s="373" t="e">
        <f>INDEX('PY1 Data(H)'!$A$1:$CZ$265,MATCH('Unit Data from Audit Worksheet'!$A115,'PY1 Data(H)'!$A$1:$A$258,0),MATCH('Unit Data from Audit Worksheet'!$D$2,'PY1 Data(H)'!$A$1:$CZ$1,0))</f>
        <v>#N/A</v>
      </c>
      <c r="F115" s="810">
        <v>0</v>
      </c>
      <c r="G115" s="739">
        <f>IF(F115&gt;F114,"Error: Please review components of current liabilities above. Account numbers 640&gt;639",)</f>
        <v>0</v>
      </c>
      <c r="H115" s="408"/>
      <c r="I115" s="414"/>
      <c r="J115" s="773"/>
      <c r="K115"/>
      <c r="L115" s="550"/>
    </row>
    <row r="116" spans="1:123" ht="121.2" customHeight="1" x14ac:dyDescent="0.3">
      <c r="A116" s="191">
        <v>641</v>
      </c>
      <c r="B116" s="967" t="s">
        <v>1969</v>
      </c>
      <c r="C116" s="462" t="s">
        <v>728</v>
      </c>
      <c r="D116" s="216" t="s">
        <v>802</v>
      </c>
      <c r="E116" s="373" t="e">
        <f>INDEX('PY1 Data(H)'!$A$1:$CZ$265,MATCH('Unit Data from Audit Worksheet'!$A116,'PY1 Data(H)'!$A$1:$A$258,0),MATCH('Unit Data from Audit Worksheet'!$D$2,'PY1 Data(H)'!$A$1:$CZ$1,0))</f>
        <v>#N/A</v>
      </c>
      <c r="F116" s="810">
        <v>0</v>
      </c>
      <c r="G116" s="739">
        <f>IF(F116&gt;F114,"Error: Please review components of current liabilities above. Account numbers 641&gt;639",)</f>
        <v>0</v>
      </c>
      <c r="H116" s="408"/>
      <c r="I116" s="408"/>
      <c r="J116" s="772"/>
      <c r="K116"/>
      <c r="L116" s="550"/>
    </row>
    <row r="117" spans="1:123" ht="110.4" customHeight="1" x14ac:dyDescent="0.3">
      <c r="A117" s="191">
        <v>642</v>
      </c>
      <c r="B117" s="967" t="s">
        <v>1969</v>
      </c>
      <c r="C117" s="462" t="s">
        <v>728</v>
      </c>
      <c r="D117" s="216" t="s">
        <v>803</v>
      </c>
      <c r="E117" s="373" t="e">
        <f>INDEX('PY1 Data(H)'!$A$1:$CZ$265,MATCH('Unit Data from Audit Worksheet'!$A117,'PY1 Data(H)'!$A$1:$A$258,0),MATCH('Unit Data from Audit Worksheet'!$D$2,'PY1 Data(H)'!$A$1:$CZ$1,0))</f>
        <v>#N/A</v>
      </c>
      <c r="F117" s="810">
        <v>0</v>
      </c>
      <c r="G117" s="739">
        <f>IF(F117&gt;F114,"Error: Please review components of current liabilities above. Account numbers  642&gt;639",)</f>
        <v>0</v>
      </c>
      <c r="H117" s="408"/>
      <c r="I117" s="408"/>
      <c r="J117" s="772"/>
      <c r="K117"/>
      <c r="L117" s="550"/>
    </row>
    <row r="118" spans="1:123" ht="79.95" customHeight="1" x14ac:dyDescent="0.3">
      <c r="A118" s="191">
        <v>643</v>
      </c>
      <c r="B118" s="967" t="s">
        <v>1969</v>
      </c>
      <c r="C118" s="462" t="s">
        <v>728</v>
      </c>
      <c r="D118" s="216" t="s">
        <v>804</v>
      </c>
      <c r="E118" s="373" t="e">
        <f>INDEX('PY1 Data(H)'!$A$1:$CZ$265,MATCH('Unit Data from Audit Worksheet'!$A118,'PY1 Data(H)'!$A$1:$A$258,0),MATCH('Unit Data from Audit Worksheet'!$D$2,'PY1 Data(H)'!$A$1:$CZ$1,0))</f>
        <v>#N/A</v>
      </c>
      <c r="F118" s="810">
        <v>0</v>
      </c>
      <c r="G118" s="739">
        <f>IF(F118&gt;F114,"Error: Please review components of current liabilities above. Account numbers 643&gt;639",)</f>
        <v>0</v>
      </c>
      <c r="H118" s="408"/>
      <c r="I118" s="408"/>
      <c r="J118" s="772"/>
      <c r="K118"/>
      <c r="L118" s="550"/>
    </row>
    <row r="119" spans="1:123" ht="105" customHeight="1" x14ac:dyDescent="0.3">
      <c r="A119" s="191">
        <v>644</v>
      </c>
      <c r="B119" s="967" t="s">
        <v>1969</v>
      </c>
      <c r="C119" s="462" t="s">
        <v>728</v>
      </c>
      <c r="D119" s="216" t="s">
        <v>805</v>
      </c>
      <c r="E119" s="373" t="e">
        <f>INDEX('PY1 Data(H)'!$A$1:$CZ$265,MATCH('Unit Data from Audit Worksheet'!$A119,'PY1 Data(H)'!$A$1:$A$258,0),MATCH('Unit Data from Audit Worksheet'!$D$2,'PY1 Data(H)'!$A$1:$CZ$1,0))</f>
        <v>#N/A</v>
      </c>
      <c r="F119" s="810">
        <v>0</v>
      </c>
      <c r="G119" s="739">
        <f>IF(F119&gt;F114,"Error: Please review components of current liabilities above. Account number 644&gt;639",)</f>
        <v>0</v>
      </c>
      <c r="H119" s="408"/>
      <c r="I119" s="408"/>
      <c r="J119" s="772"/>
      <c r="K119"/>
      <c r="L119" s="550"/>
    </row>
    <row r="120" spans="1:123" ht="88.95" customHeight="1" x14ac:dyDescent="0.3">
      <c r="A120" s="100">
        <v>384</v>
      </c>
      <c r="B120" s="4" t="s">
        <v>62</v>
      </c>
      <c r="C120" s="4" t="s">
        <v>728</v>
      </c>
      <c r="D120" s="26" t="s">
        <v>806</v>
      </c>
      <c r="E120" s="373" t="e">
        <f>INDEX('PY1 Data(H)'!$A$1:$CZ$265,MATCH('Unit Data from Audit Worksheet'!$A120,'PY1 Data(H)'!$A$1:$A$258,0),MATCH('Unit Data from Audit Worksheet'!$D$2,'PY1 Data(H)'!$A$1:$CZ$1,0))</f>
        <v>#N/A</v>
      </c>
      <c r="F120" s="810">
        <v>0</v>
      </c>
      <c r="G120" s="739">
        <f>IF(F120&gt;F114,"Error: Please review components of current liabilities above. Account number 384&gt;639",)</f>
        <v>0</v>
      </c>
      <c r="H120" s="344"/>
      <c r="I120" s="72"/>
      <c r="J120" s="72"/>
      <c r="K120"/>
      <c r="L120" s="550"/>
    </row>
    <row r="121" spans="1:123" ht="92.4" customHeight="1" x14ac:dyDescent="0.3">
      <c r="A121" s="100">
        <v>361</v>
      </c>
      <c r="B121" s="4" t="s">
        <v>55</v>
      </c>
      <c r="C121" s="4" t="s">
        <v>728</v>
      </c>
      <c r="D121" s="385" t="s">
        <v>734</v>
      </c>
      <c r="E121" s="373" t="e">
        <f>INDEX('PY1 Data(H)'!$A$1:$CZ$265,MATCH('Unit Data from Audit Worksheet'!$A121,'PY1 Data(H)'!$A$1:$A$258,0),MATCH('Unit Data from Audit Worksheet'!$D$2,'PY1 Data(H)'!$A$1:$CZ$1,0))</f>
        <v>#N/A</v>
      </c>
      <c r="F121" s="810">
        <v>0</v>
      </c>
      <c r="G121" s="409"/>
      <c r="H121" s="404"/>
      <c r="I121" s="72"/>
      <c r="J121" s="72"/>
      <c r="K121"/>
      <c r="L121" s="550"/>
    </row>
    <row r="122" spans="1:123" ht="54" customHeight="1" x14ac:dyDescent="0.3">
      <c r="A122" s="100">
        <v>362</v>
      </c>
      <c r="B122" s="4" t="s">
        <v>55</v>
      </c>
      <c r="C122" s="4" t="s">
        <v>728</v>
      </c>
      <c r="D122" s="99" t="s">
        <v>150</v>
      </c>
      <c r="E122" s="373" t="e">
        <f>INDEX('PY1 Data(H)'!$A$1:$CZ$265,MATCH('Unit Data from Audit Worksheet'!$A122,'PY1 Data(H)'!$A$1:$A$258,0),MATCH('Unit Data from Audit Worksheet'!$D$2,'PY1 Data(H)'!$A$1:$CZ$1,0))</f>
        <v>#N/A</v>
      </c>
      <c r="F122" s="810">
        <v>0</v>
      </c>
      <c r="G122" s="403">
        <f>IF(H122=0,,"Error: Total assets less total liabilities do not equal total net position. Account numbers 382-360-362=0  The amount of the formula is in the cell to the right")</f>
        <v>0</v>
      </c>
      <c r="H122" s="406">
        <f>F111-F112-F122</f>
        <v>0</v>
      </c>
      <c r="I122" s="72"/>
      <c r="J122" s="72"/>
      <c r="K122"/>
      <c r="L122" s="550"/>
    </row>
    <row r="123" spans="1:123" ht="26.25" customHeight="1" x14ac:dyDescent="0.3">
      <c r="A123" s="100"/>
      <c r="B123" s="481" t="s">
        <v>174</v>
      </c>
      <c r="C123" s="482"/>
      <c r="D123" s="494"/>
      <c r="E123" s="480"/>
      <c r="F123" s="480"/>
      <c r="G123" s="480"/>
      <c r="H123" s="17"/>
      <c r="I123" s="72"/>
      <c r="J123" s="72"/>
      <c r="K123"/>
      <c r="L123" s="550"/>
    </row>
    <row r="124" spans="1:123" s="18" customFormat="1" ht="84.6" customHeight="1" x14ac:dyDescent="0.3">
      <c r="A124" s="100"/>
      <c r="B124" s="1071" t="s">
        <v>814</v>
      </c>
      <c r="C124" s="1071"/>
      <c r="D124" s="1071"/>
      <c r="E124" s="489"/>
      <c r="F124" s="489"/>
      <c r="G124" s="489"/>
      <c r="H124" s="17"/>
      <c r="I124" s="72"/>
      <c r="J124" s="72"/>
      <c r="K124"/>
      <c r="L124" s="550"/>
      <c r="M124"/>
      <c r="O124" s="187"/>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row>
    <row r="125" spans="1:123" ht="87" customHeight="1" x14ac:dyDescent="0.3">
      <c r="A125" s="100">
        <v>88</v>
      </c>
      <c r="B125" s="4" t="s">
        <v>60</v>
      </c>
      <c r="C125" s="4" t="s">
        <v>735</v>
      </c>
      <c r="D125" s="21" t="s">
        <v>736</v>
      </c>
      <c r="E125" s="373" t="e">
        <f>INDEX('PY1 Data(H)'!$A$1:$CZ$265,MATCH('Unit Data from Audit Worksheet'!$A125,'PY1 Data(H)'!$A$1:$A$258,0),MATCH('Unit Data from Audit Worksheet'!$D$2,'PY1 Data(H)'!$A$1:$CZ$1,0))</f>
        <v>#N/A</v>
      </c>
      <c r="F125" s="810">
        <v>0</v>
      </c>
      <c r="G125" s="409"/>
      <c r="H125" s="17"/>
      <c r="I125" s="72"/>
      <c r="J125" s="72"/>
      <c r="K125"/>
      <c r="L125" s="550"/>
    </row>
    <row r="126" spans="1:123" ht="81" customHeight="1" x14ac:dyDescent="0.3">
      <c r="A126" s="100">
        <v>84</v>
      </c>
      <c r="B126" s="965" t="s">
        <v>1965</v>
      </c>
      <c r="C126" s="4" t="s">
        <v>735</v>
      </c>
      <c r="D126" s="26" t="s">
        <v>151</v>
      </c>
      <c r="E126" s="373" t="e">
        <f>INDEX('PY1 Data(H)'!$A$1:$CZ$265,MATCH('Unit Data from Audit Worksheet'!$A126,'PY1 Data(H)'!$A$1:$A$258,0),MATCH('Unit Data from Audit Worksheet'!$D$2,'PY1 Data(H)'!$A$1:$CZ$1,0))</f>
        <v>#N/A</v>
      </c>
      <c r="F126" s="810">
        <v>0</v>
      </c>
      <c r="G126" s="403">
        <f>IF(F126&gt;=F125,,"Error: Charges for services exceed total operating revenues. Account numbers 88&gt;84")</f>
        <v>0</v>
      </c>
      <c r="H126" s="17"/>
      <c r="I126" s="72"/>
      <c r="J126" s="72"/>
      <c r="K126"/>
      <c r="L126" s="550"/>
    </row>
    <row r="127" spans="1:123" ht="78" customHeight="1" x14ac:dyDescent="0.3">
      <c r="A127" s="100">
        <v>49</v>
      </c>
      <c r="B127" s="965" t="s">
        <v>1965</v>
      </c>
      <c r="C127" s="4" t="s">
        <v>735</v>
      </c>
      <c r="D127" s="26" t="s">
        <v>152</v>
      </c>
      <c r="E127" s="373" t="e">
        <f>INDEX('PY1 Data(H)'!$A$1:$CZ$265,MATCH('Unit Data from Audit Worksheet'!$A127,'PY1 Data(H)'!$A$1:$A$258,0),MATCH('Unit Data from Audit Worksheet'!$D$2,'PY1 Data(H)'!$A$1:$CZ$1,0))</f>
        <v>#N/A</v>
      </c>
      <c r="F127" s="810">
        <v>0</v>
      </c>
      <c r="G127" s="403">
        <f>IF(F127&lt;0,"Error: Enter as positive.",)</f>
        <v>0</v>
      </c>
      <c r="H127" s="17"/>
      <c r="I127" s="72"/>
      <c r="J127" s="72"/>
      <c r="K127"/>
      <c r="L127" s="550"/>
    </row>
    <row r="128" spans="1:123" ht="87.6" customHeight="1" x14ac:dyDescent="0.3">
      <c r="A128" s="100">
        <v>85</v>
      </c>
      <c r="B128" s="965" t="s">
        <v>1965</v>
      </c>
      <c r="C128" s="4" t="s">
        <v>735</v>
      </c>
      <c r="D128" s="26" t="s">
        <v>153</v>
      </c>
      <c r="E128" s="373" t="e">
        <f>INDEX('PY1 Data(H)'!$A$1:$CZ$265,MATCH('Unit Data from Audit Worksheet'!$A128,'PY1 Data(H)'!$A$1:$A$258,0),MATCH('Unit Data from Audit Worksheet'!$D$2,'PY1 Data(H)'!$A$1:$CZ$1,0))</f>
        <v>#N/A</v>
      </c>
      <c r="F128" s="810">
        <v>0</v>
      </c>
      <c r="G128" s="403">
        <f>IF(F128&lt;0,"Error: Enter as positive.",)</f>
        <v>0</v>
      </c>
      <c r="H128" s="17"/>
      <c r="I128" s="72"/>
      <c r="J128" s="72"/>
      <c r="K128"/>
      <c r="L128" s="550"/>
    </row>
    <row r="129" spans="1:123" ht="75.599999999999994" customHeight="1" x14ac:dyDescent="0.3">
      <c r="A129" s="100">
        <v>89</v>
      </c>
      <c r="B129" s="965" t="s">
        <v>1965</v>
      </c>
      <c r="C129" s="4" t="s">
        <v>735</v>
      </c>
      <c r="D129" s="26" t="s">
        <v>154</v>
      </c>
      <c r="E129" s="373" t="e">
        <f>INDEX('PY1 Data(H)'!$A$1:$CZ$265,MATCH('Unit Data from Audit Worksheet'!$A129,'PY1 Data(H)'!$A$1:$A$258,0),MATCH('Unit Data from Audit Worksheet'!$D$2,'PY1 Data(H)'!$A$1:$CZ$1,0))</f>
        <v>#N/A</v>
      </c>
      <c r="F129" s="810">
        <v>0</v>
      </c>
      <c r="G129" s="403">
        <f>IF(F129&lt;0,"Error: Enter as positive.",)</f>
        <v>0</v>
      </c>
      <c r="H129" s="404"/>
      <c r="I129" s="72"/>
      <c r="J129" s="72"/>
      <c r="K129"/>
      <c r="L129" s="550"/>
    </row>
    <row r="130" spans="1:123" ht="79.2" customHeight="1" x14ac:dyDescent="0.3">
      <c r="A130" s="100">
        <v>350</v>
      </c>
      <c r="B130" s="4" t="s">
        <v>55</v>
      </c>
      <c r="C130" s="4" t="s">
        <v>735</v>
      </c>
      <c r="D130" s="21" t="s">
        <v>737</v>
      </c>
      <c r="E130" s="373" t="e">
        <f>INDEX('PY1 Data(H)'!$A$1:$CZ$265,MATCH('Unit Data from Audit Worksheet'!$A130,'PY1 Data(H)'!$A$1:$A$258,0),MATCH('Unit Data from Audit Worksheet'!$D$2,'PY1 Data(H)'!$A$1:$CZ$1,0))</f>
        <v>#N/A</v>
      </c>
      <c r="F130" s="810">
        <v>0</v>
      </c>
      <c r="G130" s="409"/>
      <c r="H130" s="404"/>
      <c r="I130" s="72"/>
      <c r="J130" s="72"/>
      <c r="K130"/>
      <c r="L130" s="550"/>
    </row>
    <row r="131" spans="1:123" ht="66" customHeight="1" x14ac:dyDescent="0.3">
      <c r="A131" s="100">
        <v>351</v>
      </c>
      <c r="B131" s="965" t="s">
        <v>1965</v>
      </c>
      <c r="C131" s="4" t="s">
        <v>735</v>
      </c>
      <c r="D131" s="21" t="s">
        <v>738</v>
      </c>
      <c r="E131" s="373" t="e">
        <f>INDEX('PY1 Data(H)'!$A$1:$CZ$265,MATCH('Unit Data from Audit Worksheet'!$A131,'PY1 Data(H)'!$A$1:$A$258,0),MATCH('Unit Data from Audit Worksheet'!$D$2,'PY1 Data(H)'!$A$1:$CZ$1,0))</f>
        <v>#N/A</v>
      </c>
      <c r="F131" s="810">
        <v>0</v>
      </c>
      <c r="G131" s="403">
        <f t="shared" ref="G131:G136" si="2">IF(F131&lt;0,"Error: Enter as positive.",)</f>
        <v>0</v>
      </c>
      <c r="H131" s="404"/>
      <c r="I131" s="72"/>
      <c r="J131" s="72"/>
      <c r="K131"/>
      <c r="L131" s="550"/>
    </row>
    <row r="132" spans="1:123" ht="93.75" customHeight="1" x14ac:dyDescent="0.3">
      <c r="A132" s="100">
        <v>191</v>
      </c>
      <c r="B132" s="4" t="s">
        <v>56</v>
      </c>
      <c r="C132" s="4" t="s">
        <v>735</v>
      </c>
      <c r="D132" s="21" t="s">
        <v>739</v>
      </c>
      <c r="E132" s="373" t="e">
        <f>INDEX('PY1 Data(H)'!$A$1:$CZ$265,MATCH('Unit Data from Audit Worksheet'!$A132,'PY1 Data(H)'!$A$1:$A$258,0),MATCH('Unit Data from Audit Worksheet'!$D$2,'PY1 Data(H)'!$A$1:$CZ$1,0))</f>
        <v>#N/A</v>
      </c>
      <c r="F132" s="810">
        <v>0</v>
      </c>
      <c r="G132" s="403">
        <f t="shared" si="2"/>
        <v>0</v>
      </c>
      <c r="H132" s="404"/>
      <c r="I132" s="72"/>
      <c r="J132" s="72"/>
      <c r="K132"/>
      <c r="L132" s="550"/>
    </row>
    <row r="133" spans="1:123" ht="81.599999999999994" customHeight="1" x14ac:dyDescent="0.3">
      <c r="A133" s="100">
        <v>1053</v>
      </c>
      <c r="B133" s="794" t="s">
        <v>587</v>
      </c>
      <c r="C133" s="794" t="s">
        <v>1512</v>
      </c>
      <c r="D133" s="795" t="s">
        <v>1550</v>
      </c>
      <c r="E133" s="373" t="e">
        <f>INDEX('PY1 Data(H)'!$A$1:$CZ$265,MATCH('Unit Data from Audit Worksheet'!$A133,'PY1 Data(H)'!$A$1:$A$258,0),MATCH('Unit Data from Audit Worksheet'!$D$2,'PY1 Data(H)'!$A$1:$CZ$1,0))</f>
        <v>#N/A</v>
      </c>
      <c r="F133" s="810">
        <v>0</v>
      </c>
      <c r="G133" s="403"/>
      <c r="H133" s="404"/>
      <c r="I133" s="72"/>
      <c r="J133" s="72"/>
      <c r="K133" s="180"/>
      <c r="L133" s="550"/>
      <c r="M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row>
    <row r="134" spans="1:123" ht="78.599999999999994" customHeight="1" x14ac:dyDescent="0.3">
      <c r="A134" s="100">
        <v>352</v>
      </c>
      <c r="B134" s="4" t="s">
        <v>67</v>
      </c>
      <c r="C134" s="4" t="s">
        <v>735</v>
      </c>
      <c r="D134" s="26" t="s">
        <v>661</v>
      </c>
      <c r="E134" s="373" t="e">
        <f>INDEX('PY1 Data(H)'!$A$1:$CZ$265,MATCH('Unit Data from Audit Worksheet'!$A134,'PY1 Data(H)'!$A$1:$A$258,0),MATCH('Unit Data from Audit Worksheet'!$D$2,'PY1 Data(H)'!$A$1:$CZ$1,0))</f>
        <v>#N/A</v>
      </c>
      <c r="F134" s="810">
        <v>0</v>
      </c>
      <c r="G134" s="403">
        <f t="shared" si="2"/>
        <v>0</v>
      </c>
      <c r="H134" s="18"/>
      <c r="I134" s="17"/>
      <c r="J134" s="17"/>
      <c r="K134"/>
      <c r="L134" s="550"/>
    </row>
    <row r="135" spans="1:123" ht="79.95" customHeight="1" x14ac:dyDescent="0.3">
      <c r="A135" s="100">
        <v>986</v>
      </c>
      <c r="B135" s="965" t="s">
        <v>1966</v>
      </c>
      <c r="C135" s="375" t="s">
        <v>735</v>
      </c>
      <c r="D135" s="26" t="s">
        <v>594</v>
      </c>
      <c r="E135" s="373" t="e">
        <f>INDEX('PY1 Data(H)'!$A$1:$CZ$265,MATCH('Unit Data from Audit Worksheet'!$A135,'PY1 Data(H)'!$A$1:$A$258,0),MATCH('Unit Data from Audit Worksheet'!$D$2,'PY1 Data(H)'!$A$1:$CZ$1,0))</f>
        <v>#N/A</v>
      </c>
      <c r="F135" s="810">
        <v>0</v>
      </c>
      <c r="G135" s="403">
        <f t="shared" si="2"/>
        <v>0</v>
      </c>
      <c r="H135" s="404"/>
      <c r="I135" s="72"/>
      <c r="J135" s="72"/>
      <c r="K135"/>
      <c r="L135" s="550"/>
    </row>
    <row r="136" spans="1:123" ht="79.2" customHeight="1" x14ac:dyDescent="0.3">
      <c r="A136" s="100">
        <v>353</v>
      </c>
      <c r="B136" s="4" t="s">
        <v>67</v>
      </c>
      <c r="C136" s="4" t="s">
        <v>735</v>
      </c>
      <c r="D136" s="26" t="s">
        <v>135</v>
      </c>
      <c r="E136" s="373" t="e">
        <f>INDEX('PY1 Data(H)'!$A$1:$CZ$265,MATCH('Unit Data from Audit Worksheet'!$A136,'PY1 Data(H)'!$A$1:$A$258,0),MATCH('Unit Data from Audit Worksheet'!$D$2,'PY1 Data(H)'!$A$1:$CZ$1,0))</f>
        <v>#N/A</v>
      </c>
      <c r="F136" s="810">
        <v>0</v>
      </c>
      <c r="G136" s="403">
        <f t="shared" si="2"/>
        <v>0</v>
      </c>
      <c r="H136" s="404"/>
      <c r="I136" s="72"/>
      <c r="J136" s="72"/>
      <c r="K136"/>
      <c r="L136" s="550"/>
    </row>
    <row r="137" spans="1:123" ht="138" customHeight="1" x14ac:dyDescent="0.3">
      <c r="A137" s="100">
        <v>50</v>
      </c>
      <c r="B137" s="4" t="s">
        <v>63</v>
      </c>
      <c r="C137" s="4" t="s">
        <v>735</v>
      </c>
      <c r="D137" s="385" t="s">
        <v>740</v>
      </c>
      <c r="E137" s="373" t="e">
        <f>INDEX('PY1 Data(H)'!$A$1:$CZ$265,MATCH('Unit Data from Audit Worksheet'!$A137,'PY1 Data(H)'!$A$1:$A$258,0),MATCH('Unit Data from Audit Worksheet'!$D$2,'PY1 Data(H)'!$A$1:$CZ$1,0))</f>
        <v>#N/A</v>
      </c>
      <c r="F137" s="810">
        <v>0</v>
      </c>
      <c r="G137" s="403">
        <f>IF(H137=0,,"Error: Total revenues less total expenses do not equal total change in net position. Account number 84-85+350-351+191+352-353-50=0  The amount of the formula is in the cell to the right")</f>
        <v>0</v>
      </c>
      <c r="H137" s="406">
        <f>F126-F128+F130-F131+F132+F134-F136-F137</f>
        <v>0</v>
      </c>
      <c r="I137" s="72"/>
      <c r="J137" s="72"/>
      <c r="K137"/>
      <c r="L137" s="550"/>
    </row>
    <row r="138" spans="1:123" ht="138" customHeight="1" x14ac:dyDescent="0.3">
      <c r="A138" s="100">
        <v>377</v>
      </c>
      <c r="B138" s="4" t="s">
        <v>67</v>
      </c>
      <c r="C138" s="4" t="s">
        <v>735</v>
      </c>
      <c r="D138" s="385" t="s">
        <v>741</v>
      </c>
      <c r="E138" s="373" t="e">
        <f>INDEX('PY1 Data(H)'!$A$1:$CZ$265,MATCH('Unit Data from Audit Worksheet'!$A138,'PY1 Data(H)'!$A$1:$A$258,0),MATCH('Unit Data from Audit Worksheet'!$D$2,'PY1 Data(H)'!$A$1:$CZ$1,0))</f>
        <v>#N/A</v>
      </c>
      <c r="F138" s="810">
        <v>0</v>
      </c>
      <c r="G138" s="766" t="e">
        <f>IF(F103-F137-F138=E103,,"Error: Beginning Balance does not agree with our records.  Acct #s (83-50-377)=prior year 83 The amount of the formula is in the cell to the right")</f>
        <v>#N/A</v>
      </c>
      <c r="H138" s="767" t="e">
        <f>+F103-F137-F138-E103</f>
        <v>#N/A</v>
      </c>
      <c r="I138" s="790" t="e">
        <f>IF(H138=0," ","If the out of balance is because prior years data is not populated in cell E103, disregard the error message. Do not include prior year's ending balance in cell F136.")</f>
        <v>#N/A</v>
      </c>
      <c r="J138" s="774"/>
      <c r="K138"/>
      <c r="L138" s="550"/>
    </row>
    <row r="139" spans="1:123" ht="78.599999999999994" customHeight="1" x14ac:dyDescent="0.3">
      <c r="A139" s="100">
        <v>537</v>
      </c>
      <c r="B139" s="375" t="s">
        <v>58</v>
      </c>
      <c r="C139" s="375" t="s">
        <v>735</v>
      </c>
      <c r="D139" s="372" t="s">
        <v>1530</v>
      </c>
      <c r="E139" s="809" t="e">
        <f>INDEX('PY1 Data(H)'!$A$1:$CZ$265,MATCH('Unit Data from Audit Worksheet'!$A139,'PY1 Data(H)'!$A$1:$A$258,0),MATCH('Unit Data from Audit Worksheet'!$D$2,'PY1 Data(H)'!$A$1:$CZ$1,0))</f>
        <v>#N/A</v>
      </c>
      <c r="F139" s="185"/>
      <c r="G139" s="403"/>
      <c r="H139" s="404"/>
      <c r="I139" s="405"/>
      <c r="J139" s="405"/>
      <c r="K139"/>
      <c r="L139" s="550"/>
    </row>
    <row r="140" spans="1:123" ht="96.75" customHeight="1" x14ac:dyDescent="0.3">
      <c r="A140" s="100">
        <v>538</v>
      </c>
      <c r="B140" s="375" t="s">
        <v>58</v>
      </c>
      <c r="C140" s="375" t="s">
        <v>735</v>
      </c>
      <c r="D140" s="372" t="s">
        <v>1531</v>
      </c>
      <c r="E140" s="809" t="e">
        <f>INDEX('PY1 Data(H)'!$A$1:$CZ$265,MATCH('Unit Data from Audit Worksheet'!$A140,'PY1 Data(H)'!$A$1:$A$258,0),MATCH('Unit Data from Audit Worksheet'!$D$2,'PY1 Data(H)'!$A$1:$CZ$1,0))</f>
        <v>#N/A</v>
      </c>
      <c r="F140" s="185"/>
      <c r="G140" s="403"/>
      <c r="H140" s="404"/>
      <c r="I140" s="405"/>
      <c r="J140" s="405"/>
      <c r="K140"/>
      <c r="L140" s="550"/>
    </row>
    <row r="141" spans="1:123" ht="26.25" customHeight="1" x14ac:dyDescent="0.3">
      <c r="A141" s="100"/>
      <c r="B141" s="715" t="s">
        <v>6</v>
      </c>
      <c r="C141" s="502"/>
      <c r="D141" s="470"/>
      <c r="E141" s="488"/>
      <c r="F141" s="488"/>
      <c r="G141" s="489"/>
      <c r="H141" s="17"/>
      <c r="I141" s="72"/>
      <c r="J141" s="72"/>
      <c r="K141"/>
      <c r="L141" s="550"/>
    </row>
    <row r="142" spans="1:123" ht="91.95" customHeight="1" x14ac:dyDescent="0.3">
      <c r="A142" s="100">
        <v>97</v>
      </c>
      <c r="B142" s="4" t="s">
        <v>67</v>
      </c>
      <c r="C142" s="4" t="s">
        <v>742</v>
      </c>
      <c r="D142" s="26" t="s">
        <v>155</v>
      </c>
      <c r="E142" s="373" t="e">
        <f>INDEX('PY1 Data(H)'!$A$1:$CZ$265,MATCH('Unit Data from Audit Worksheet'!$A142,'PY1 Data(H)'!$A$1:$A$258,0),MATCH('Unit Data from Audit Worksheet'!$D$2,'PY1 Data(H)'!$A$1:$CZ$1,0))</f>
        <v>#N/A</v>
      </c>
      <c r="F142" s="810">
        <v>0</v>
      </c>
      <c r="G142" s="409"/>
      <c r="H142" s="17"/>
      <c r="I142" s="72"/>
      <c r="J142" s="72"/>
      <c r="K142"/>
      <c r="L142" s="550"/>
    </row>
    <row r="143" spans="1:123" ht="72.599999999999994" customHeight="1" x14ac:dyDescent="0.3">
      <c r="A143" s="100">
        <v>93</v>
      </c>
      <c r="B143" s="965" t="s">
        <v>1970</v>
      </c>
      <c r="C143" s="4" t="s">
        <v>742</v>
      </c>
      <c r="D143" s="26" t="s">
        <v>151</v>
      </c>
      <c r="E143" s="373" t="e">
        <f>INDEX('PY1 Data(H)'!$A$1:$CZ$265,MATCH('Unit Data from Audit Worksheet'!$A143,'PY1 Data(H)'!$A$1:$A$258,0),MATCH('Unit Data from Audit Worksheet'!$D$2,'PY1 Data(H)'!$A$1:$CZ$1,0))</f>
        <v>#N/A</v>
      </c>
      <c r="F143" s="810">
        <v>0</v>
      </c>
      <c r="G143" s="403">
        <f>IF(F142&gt;F143,"Error: Charges for services exceed total operating revenues. Account number 97&gt;93",)</f>
        <v>0</v>
      </c>
      <c r="H143" s="404"/>
      <c r="I143" s="72"/>
      <c r="J143" s="72"/>
      <c r="K143"/>
      <c r="L143" s="550"/>
    </row>
    <row r="144" spans="1:123" ht="76.2" customHeight="1" x14ac:dyDescent="0.3">
      <c r="A144" s="100">
        <v>99</v>
      </c>
      <c r="B144" s="4" t="s">
        <v>57</v>
      </c>
      <c r="C144" s="4" t="s">
        <v>742</v>
      </c>
      <c r="D144" s="26" t="s">
        <v>156</v>
      </c>
      <c r="E144" s="373" t="e">
        <f>INDEX('PY1 Data(H)'!$A$1:$CZ$265,MATCH('Unit Data from Audit Worksheet'!$A144,'PY1 Data(H)'!$A$1:$A$258,0),MATCH('Unit Data from Audit Worksheet'!$D$2,'PY1 Data(H)'!$A$1:$CZ$1,0))</f>
        <v>#N/A</v>
      </c>
      <c r="F144" s="810">
        <v>0</v>
      </c>
      <c r="G144" s="403">
        <f t="shared" ref="G144:G153" si="3">IF(F144&lt;0,"Error: Enter as positive.",)</f>
        <v>0</v>
      </c>
      <c r="H144" s="404"/>
      <c r="I144" s="72"/>
      <c r="J144" s="72"/>
      <c r="K144"/>
      <c r="L144" s="550"/>
    </row>
    <row r="145" spans="1:123" ht="73.2" customHeight="1" x14ac:dyDescent="0.3">
      <c r="A145" s="100">
        <v>52</v>
      </c>
      <c r="B145" s="965" t="s">
        <v>1971</v>
      </c>
      <c r="C145" s="4" t="s">
        <v>742</v>
      </c>
      <c r="D145" s="26" t="s">
        <v>152</v>
      </c>
      <c r="E145" s="373" t="e">
        <f>INDEX('PY1 Data(H)'!$A$1:$CZ$265,MATCH('Unit Data from Audit Worksheet'!$A145,'PY1 Data(H)'!$A$1:$A$258,0),MATCH('Unit Data from Audit Worksheet'!$D$2,'PY1 Data(H)'!$A$1:$CZ$1,0))</f>
        <v>#N/A</v>
      </c>
      <c r="F145" s="810">
        <v>0</v>
      </c>
      <c r="G145" s="403">
        <f t="shared" si="3"/>
        <v>0</v>
      </c>
      <c r="H145" s="404"/>
      <c r="I145" s="72"/>
      <c r="J145" s="72"/>
      <c r="K145"/>
      <c r="L145" s="550"/>
    </row>
    <row r="146" spans="1:123" ht="81" customHeight="1" x14ac:dyDescent="0.3">
      <c r="A146" s="100">
        <v>94</v>
      </c>
      <c r="B146" s="965" t="s">
        <v>1970</v>
      </c>
      <c r="C146" s="4" t="s">
        <v>742</v>
      </c>
      <c r="D146" s="26" t="s">
        <v>153</v>
      </c>
      <c r="E146" s="373" t="e">
        <f>INDEX('PY1 Data(H)'!$A$1:$CZ$265,MATCH('Unit Data from Audit Worksheet'!$A146,'PY1 Data(H)'!$A$1:$A$258,0),MATCH('Unit Data from Audit Worksheet'!$D$2,'PY1 Data(H)'!$A$1:$CZ$1,0))</f>
        <v>#N/A</v>
      </c>
      <c r="F146" s="810">
        <v>0</v>
      </c>
      <c r="G146" s="403">
        <f t="shared" si="3"/>
        <v>0</v>
      </c>
      <c r="H146" s="404"/>
      <c r="I146" s="72"/>
      <c r="J146" s="72"/>
      <c r="K146"/>
      <c r="L146" s="550"/>
    </row>
    <row r="147" spans="1:123" ht="85.95" customHeight="1" x14ac:dyDescent="0.3">
      <c r="A147" s="100">
        <v>98</v>
      </c>
      <c r="B147" s="965" t="s">
        <v>1970</v>
      </c>
      <c r="C147" s="4" t="s">
        <v>742</v>
      </c>
      <c r="D147" s="26" t="s">
        <v>154</v>
      </c>
      <c r="E147" s="373" t="e">
        <f>INDEX('PY1 Data(H)'!$A$1:$CZ$265,MATCH('Unit Data from Audit Worksheet'!$A147,'PY1 Data(H)'!$A$1:$A$258,0),MATCH('Unit Data from Audit Worksheet'!$D$2,'PY1 Data(H)'!$A$1:$CZ$1,0))</f>
        <v>#N/A</v>
      </c>
      <c r="F147" s="810">
        <v>0</v>
      </c>
      <c r="G147" s="403">
        <f t="shared" si="3"/>
        <v>0</v>
      </c>
      <c r="H147" s="404"/>
      <c r="I147" s="72"/>
      <c r="J147" s="72"/>
      <c r="K147"/>
      <c r="L147" s="550"/>
    </row>
    <row r="148" spans="1:123" ht="84" customHeight="1" x14ac:dyDescent="0.3">
      <c r="A148" s="100">
        <v>363</v>
      </c>
      <c r="B148" s="4" t="s">
        <v>55</v>
      </c>
      <c r="C148" s="4" t="s">
        <v>742</v>
      </c>
      <c r="D148" s="21" t="s">
        <v>743</v>
      </c>
      <c r="E148" s="373" t="e">
        <f>INDEX('PY1 Data(H)'!$A$1:$CZ$265,MATCH('Unit Data from Audit Worksheet'!$A148,'PY1 Data(H)'!$A$1:$A$258,0),MATCH('Unit Data from Audit Worksheet'!$D$2,'PY1 Data(H)'!$A$1:$CZ$1,0))</f>
        <v>#N/A</v>
      </c>
      <c r="F148" s="810">
        <v>0</v>
      </c>
      <c r="G148" s="403">
        <f t="shared" si="3"/>
        <v>0</v>
      </c>
      <c r="H148" s="404"/>
      <c r="I148" s="72"/>
      <c r="J148" s="72"/>
      <c r="K148"/>
      <c r="L148" s="550"/>
    </row>
    <row r="149" spans="1:123" ht="76.95" customHeight="1" x14ac:dyDescent="0.3">
      <c r="A149" s="100">
        <v>364</v>
      </c>
      <c r="B149" s="965" t="s">
        <v>1973</v>
      </c>
      <c r="C149" s="4" t="s">
        <v>742</v>
      </c>
      <c r="D149" s="21" t="s">
        <v>744</v>
      </c>
      <c r="E149" s="373" t="e">
        <f>INDEX('PY1 Data(H)'!$A$1:$CZ$265,MATCH('Unit Data from Audit Worksheet'!$A149,'PY1 Data(H)'!$A$1:$A$258,0),MATCH('Unit Data from Audit Worksheet'!$D$2,'PY1 Data(H)'!$A$1:$CZ$1,0))</f>
        <v>#N/A</v>
      </c>
      <c r="F149" s="810">
        <v>0</v>
      </c>
      <c r="G149" s="403">
        <f t="shared" si="3"/>
        <v>0</v>
      </c>
      <c r="H149" s="404"/>
      <c r="I149" s="72"/>
      <c r="J149" s="72"/>
      <c r="K149"/>
      <c r="L149" s="550"/>
    </row>
    <row r="150" spans="1:123" ht="86.4" customHeight="1" x14ac:dyDescent="0.3">
      <c r="A150" s="100">
        <v>192</v>
      </c>
      <c r="B150" s="4" t="s">
        <v>57</v>
      </c>
      <c r="C150" s="4" t="s">
        <v>742</v>
      </c>
      <c r="D150" s="21" t="s">
        <v>745</v>
      </c>
      <c r="E150" s="373" t="e">
        <f>INDEX('PY1 Data(H)'!$A$1:$CZ$265,MATCH('Unit Data from Audit Worksheet'!$A150,'PY1 Data(H)'!$A$1:$A$258,0),MATCH('Unit Data from Audit Worksheet'!$D$2,'PY1 Data(H)'!$A$1:$CZ$1,0))</f>
        <v>#N/A</v>
      </c>
      <c r="F150" s="810">
        <v>0</v>
      </c>
      <c r="G150" s="403">
        <f t="shared" si="3"/>
        <v>0</v>
      </c>
      <c r="H150" s="404"/>
      <c r="I150" s="72"/>
      <c r="J150" s="72"/>
      <c r="K150"/>
      <c r="L150" s="550"/>
    </row>
    <row r="151" spans="1:123" ht="80.400000000000006" customHeight="1" x14ac:dyDescent="0.3">
      <c r="A151" s="100">
        <v>1054</v>
      </c>
      <c r="B151" s="375" t="s">
        <v>587</v>
      </c>
      <c r="C151" s="375" t="s">
        <v>1510</v>
      </c>
      <c r="D151" s="795" t="s">
        <v>1551</v>
      </c>
      <c r="E151" s="373" t="e">
        <f>INDEX('PY1 Data(H)'!$A$1:$CZ$265,MATCH('Unit Data from Audit Worksheet'!$A151,'PY1 Data(H)'!$A$1:$A$258,0),MATCH('Unit Data from Audit Worksheet'!$D$2,'PY1 Data(H)'!$A$1:$CZ$1,0))</f>
        <v>#N/A</v>
      </c>
      <c r="F151" s="810">
        <v>0</v>
      </c>
      <c r="G151" s="403"/>
      <c r="H151" s="404"/>
      <c r="I151" s="72"/>
      <c r="J151" s="72"/>
      <c r="K151" s="180"/>
      <c r="L151" s="550"/>
      <c r="M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row>
    <row r="152" spans="1:123" ht="94.2" customHeight="1" x14ac:dyDescent="0.3">
      <c r="A152" s="100">
        <v>365</v>
      </c>
      <c r="B152" s="4" t="s">
        <v>65</v>
      </c>
      <c r="C152" s="4" t="s">
        <v>742</v>
      </c>
      <c r="D152" s="21" t="s">
        <v>746</v>
      </c>
      <c r="E152" s="373" t="e">
        <f>INDEX('PY1 Data(H)'!$A$1:$CZ$265,MATCH('Unit Data from Audit Worksheet'!$A152,'PY1 Data(H)'!$A$1:$A$258,0),MATCH('Unit Data from Audit Worksheet'!$D$2,'PY1 Data(H)'!$A$1:$CZ$1,0))</f>
        <v>#N/A</v>
      </c>
      <c r="F152" s="810">
        <v>0</v>
      </c>
      <c r="G152" s="403">
        <f t="shared" si="3"/>
        <v>0</v>
      </c>
      <c r="H152" s="404"/>
      <c r="I152" s="72"/>
      <c r="J152" s="72"/>
      <c r="K152"/>
      <c r="L152" s="550"/>
    </row>
    <row r="153" spans="1:123" ht="84.75" customHeight="1" x14ac:dyDescent="0.3">
      <c r="A153" s="100">
        <v>366</v>
      </c>
      <c r="B153" s="965" t="s">
        <v>1970</v>
      </c>
      <c r="C153" s="4" t="s">
        <v>742</v>
      </c>
      <c r="D153" s="21" t="s">
        <v>747</v>
      </c>
      <c r="E153" s="373" t="e">
        <f>INDEX('PY1 Data(H)'!$A$1:$CZ$265,MATCH('Unit Data from Audit Worksheet'!$A153,'PY1 Data(H)'!$A$1:$A$258,0),MATCH('Unit Data from Audit Worksheet'!$D$2,'PY1 Data(H)'!$A$1:$CZ$1,0))</f>
        <v>#N/A</v>
      </c>
      <c r="F153" s="810">
        <v>0</v>
      </c>
      <c r="G153" s="403">
        <f t="shared" si="3"/>
        <v>0</v>
      </c>
      <c r="H153" s="404"/>
      <c r="I153" s="72"/>
      <c r="J153" s="72"/>
      <c r="K153"/>
      <c r="L153" s="550"/>
    </row>
    <row r="154" spans="1:123" s="18" customFormat="1" ht="138" customHeight="1" x14ac:dyDescent="0.3">
      <c r="A154" s="100">
        <v>53</v>
      </c>
      <c r="B154" s="375" t="s">
        <v>65</v>
      </c>
      <c r="C154" s="375" t="s">
        <v>742</v>
      </c>
      <c r="D154" s="385" t="s">
        <v>748</v>
      </c>
      <c r="E154" s="373" t="e">
        <f>INDEX('PY1 Data(H)'!$A$1:$CZ$265,MATCH('Unit Data from Audit Worksheet'!$A154,'PY1 Data(H)'!$A$1:$A$258,0),MATCH('Unit Data from Audit Worksheet'!$D$2,'PY1 Data(H)'!$A$1:$CZ$1,0))</f>
        <v>#N/A</v>
      </c>
      <c r="F154" s="810">
        <v>0</v>
      </c>
      <c r="G154" s="403">
        <f>IF(H154=0,,"Error: Total revenues less total expenses do not equal total change in net position. Account number 93-94+363-364+192+365-366-53=0  The amount of the formula is in the cell to the right")</f>
        <v>0</v>
      </c>
      <c r="H154" s="406">
        <f>+F143-F146+F148-F149+F150+F152-F153-F154</f>
        <v>0</v>
      </c>
      <c r="I154" s="72"/>
      <c r="J154" s="72"/>
      <c r="K154"/>
      <c r="L154" s="550"/>
      <c r="M154"/>
      <c r="O154" s="187"/>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row>
    <row r="155" spans="1:123" s="18" customFormat="1" ht="138" customHeight="1" x14ac:dyDescent="0.3">
      <c r="A155" s="100">
        <v>378</v>
      </c>
      <c r="B155" s="279" t="s">
        <v>55</v>
      </c>
      <c r="C155" s="375" t="s">
        <v>742</v>
      </c>
      <c r="D155" s="385" t="s">
        <v>749</v>
      </c>
      <c r="E155" s="373" t="e">
        <f>INDEX('PY1 Data(H)'!$A$1:$CZ$265,MATCH('Unit Data from Audit Worksheet'!$A155,'PY1 Data(H)'!$A$1:$A$258,0),MATCH('Unit Data from Audit Worksheet'!$D$2,'PY1 Data(H)'!$A$1:$CZ$1,0))</f>
        <v>#N/A</v>
      </c>
      <c r="F155" s="810">
        <v>0</v>
      </c>
      <c r="G155" s="764" t="e">
        <f>IF(F122-F154-F155=E122,,"Error: Beginning Balance does not agree with our records.  Acct #s (362-53-378)=prior year 362  The amount of the formula is in the cell to the right")</f>
        <v>#N/A</v>
      </c>
      <c r="H155" s="767" t="e">
        <f>+F122-F154-F155-E122</f>
        <v>#N/A</v>
      </c>
      <c r="I155" s="822" t="e">
        <f>IF(H155=0," ","If the out of balance is because prior years data is not populated in cell E122, disregard the error message. Do not include prior year's ending balance in cell F153.")</f>
        <v>#N/A</v>
      </c>
      <c r="J155" s="774"/>
      <c r="K155"/>
      <c r="L155" s="550"/>
      <c r="M155"/>
      <c r="O155" s="187"/>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row>
    <row r="156" spans="1:123" ht="30.75" customHeight="1" x14ac:dyDescent="0.3">
      <c r="A156" s="100"/>
      <c r="B156" s="492" t="s">
        <v>427</v>
      </c>
      <c r="C156" s="715"/>
      <c r="D156" s="495"/>
      <c r="E156" s="496"/>
      <c r="F156" s="496"/>
      <c r="G156" s="477"/>
      <c r="H156" s="17"/>
      <c r="I156" s="72"/>
      <c r="J156" s="72"/>
      <c r="K156"/>
      <c r="L156" s="550"/>
    </row>
    <row r="157" spans="1:123" ht="13.5" customHeight="1" x14ac:dyDescent="0.3">
      <c r="A157" s="100"/>
      <c r="B157" s="748" t="s">
        <v>750</v>
      </c>
      <c r="C157" s="502"/>
      <c r="D157" s="470"/>
      <c r="E157" s="497"/>
      <c r="F157" s="497"/>
      <c r="G157" s="489"/>
      <c r="H157" s="17"/>
      <c r="I157" s="72"/>
      <c r="J157" s="72"/>
      <c r="K157"/>
      <c r="L157" s="550"/>
    </row>
    <row r="158" spans="1:123" ht="17.25" customHeight="1" x14ac:dyDescent="0.3">
      <c r="A158" s="100"/>
      <c r="B158" s="493" t="s">
        <v>751</v>
      </c>
      <c r="C158" s="502"/>
      <c r="D158" s="484"/>
      <c r="E158" s="498"/>
      <c r="F158" s="498"/>
      <c r="G158" s="491"/>
      <c r="H158" s="17"/>
      <c r="I158" s="72"/>
      <c r="J158" s="72"/>
      <c r="K158"/>
      <c r="L158" s="550"/>
    </row>
    <row r="159" spans="1:123" ht="13.5" customHeight="1" x14ac:dyDescent="0.3">
      <c r="A159" s="100"/>
      <c r="B159" s="493" t="s">
        <v>23</v>
      </c>
      <c r="C159" s="502"/>
      <c r="D159" s="484"/>
      <c r="E159" s="498"/>
      <c r="F159" s="498"/>
      <c r="G159" s="491"/>
      <c r="H159" s="17"/>
      <c r="I159" s="72"/>
      <c r="J159" s="72"/>
      <c r="K159"/>
      <c r="L159" s="550"/>
    </row>
    <row r="160" spans="1:123" ht="59.25" customHeight="1" x14ac:dyDescent="0.3">
      <c r="A160" s="100">
        <v>51</v>
      </c>
      <c r="B160" s="4" t="s">
        <v>285</v>
      </c>
      <c r="C160" s="465" t="s">
        <v>752</v>
      </c>
      <c r="D160" s="21" t="s">
        <v>753</v>
      </c>
      <c r="E160" s="373" t="e">
        <f>INDEX('PY1 Data(H)'!$A$1:$CZ$265,MATCH('Unit Data from Audit Worksheet'!$A160,'PY1 Data(H)'!$A$1:$A$258,0),MATCH('Unit Data from Audit Worksheet'!$D$2,'PY1 Data(H)'!$A$1:$CZ$1,0))</f>
        <v>#N/A</v>
      </c>
      <c r="F160" s="810">
        <v>0</v>
      </c>
      <c r="G160" s="409"/>
      <c r="H160" s="17"/>
      <c r="I160" s="72"/>
      <c r="J160" s="72"/>
      <c r="K160"/>
      <c r="L160" s="550"/>
    </row>
    <row r="161" spans="1:123" ht="45" customHeight="1" x14ac:dyDescent="0.3">
      <c r="A161" s="100">
        <v>332</v>
      </c>
      <c r="B161" s="4" t="s">
        <v>36</v>
      </c>
      <c r="C161" s="465" t="s">
        <v>752</v>
      </c>
      <c r="D161" s="21" t="s">
        <v>754</v>
      </c>
      <c r="E161" s="373" t="e">
        <f>INDEX('PY1 Data(H)'!$A$1:$CZ$265,MATCH('Unit Data from Audit Worksheet'!$A161,'PY1 Data(H)'!$A$1:$A$258,0),MATCH('Unit Data from Audit Worksheet'!$D$2,'PY1 Data(H)'!$A$1:$CZ$1,0))</f>
        <v>#N/A</v>
      </c>
      <c r="F161" s="810">
        <v>0</v>
      </c>
      <c r="G161" s="403">
        <f>IF(F161&lt;0,"Error: Enter as positive.",)</f>
        <v>0</v>
      </c>
      <c r="H161" s="17"/>
      <c r="I161" s="72"/>
      <c r="J161" s="72"/>
      <c r="K161"/>
      <c r="L161" s="550"/>
    </row>
    <row r="162" spans="1:123" ht="75" customHeight="1" x14ac:dyDescent="0.3">
      <c r="A162" s="100">
        <v>331</v>
      </c>
      <c r="B162" s="965" t="s">
        <v>1965</v>
      </c>
      <c r="C162" s="465" t="s">
        <v>752</v>
      </c>
      <c r="D162" s="21" t="s">
        <v>755</v>
      </c>
      <c r="E162" s="373" t="e">
        <f>INDEX('PY1 Data(H)'!$A$1:$CZ$265,MATCH('Unit Data from Audit Worksheet'!$A162,'PY1 Data(H)'!$A$1:$A$258,0),MATCH('Unit Data from Audit Worksheet'!$D$2,'PY1 Data(H)'!$A$1:$CZ$1,0))</f>
        <v>#N/A</v>
      </c>
      <c r="F162" s="810">
        <v>0</v>
      </c>
      <c r="G162" s="403">
        <f>IF(F162&lt;0,"Error: Enter as positive.",)</f>
        <v>0</v>
      </c>
      <c r="H162" s="17"/>
      <c r="I162" s="72"/>
      <c r="J162" s="72"/>
      <c r="K162"/>
      <c r="L162" s="550"/>
    </row>
    <row r="163" spans="1:123" ht="17.399999999999999" customHeight="1" x14ac:dyDescent="0.3">
      <c r="A163" s="100"/>
      <c r="B163" s="715" t="s">
        <v>6</v>
      </c>
      <c r="C163" s="502"/>
      <c r="D163" s="493"/>
      <c r="E163" s="497"/>
      <c r="F163" s="497"/>
      <c r="G163" s="499"/>
      <c r="H163" s="17"/>
      <c r="I163" s="72"/>
      <c r="J163" s="72"/>
      <c r="K163"/>
      <c r="L163" s="550"/>
    </row>
    <row r="164" spans="1:123" ht="48" customHeight="1" x14ac:dyDescent="0.3">
      <c r="A164" s="100">
        <v>55</v>
      </c>
      <c r="B164" s="4" t="s">
        <v>58</v>
      </c>
      <c r="C164" s="465" t="s">
        <v>756</v>
      </c>
      <c r="D164" s="21" t="s">
        <v>757</v>
      </c>
      <c r="E164" s="373" t="e">
        <f>INDEX('PY1 Data(H)'!$A$1:$CZ$265,MATCH('Unit Data from Audit Worksheet'!$A164,'PY1 Data(H)'!$A$1:$A$258,0),MATCH('Unit Data from Audit Worksheet'!$D$2,'PY1 Data(H)'!$A$1:$CZ$1,0))</f>
        <v>#N/A</v>
      </c>
      <c r="F164" s="810">
        <v>0</v>
      </c>
      <c r="G164" s="409"/>
      <c r="H164" s="17"/>
      <c r="I164" s="72"/>
      <c r="J164" s="72"/>
      <c r="K164"/>
      <c r="L164" s="550"/>
    </row>
    <row r="165" spans="1:123" ht="60" customHeight="1" x14ac:dyDescent="0.3">
      <c r="A165" s="100">
        <v>101</v>
      </c>
      <c r="B165" s="4" t="s">
        <v>64</v>
      </c>
      <c r="C165" s="465" t="s">
        <v>756</v>
      </c>
      <c r="D165" s="21" t="s">
        <v>758</v>
      </c>
      <c r="E165" s="373" t="e">
        <f>INDEX('PY1 Data(H)'!$A$1:$CZ$265,MATCH('Unit Data from Audit Worksheet'!$A165,'PY1 Data(H)'!$A$1:$A$258,0),MATCH('Unit Data from Audit Worksheet'!$D$2,'PY1 Data(H)'!$A$1:$CZ$1,0))</f>
        <v>#N/A</v>
      </c>
      <c r="F165" s="810">
        <v>0</v>
      </c>
      <c r="G165" s="403">
        <f>IF(F165&lt;0,"Error: Enter as positive.",)</f>
        <v>0</v>
      </c>
      <c r="H165" s="17"/>
      <c r="I165" s="72"/>
      <c r="J165" s="72"/>
      <c r="K165"/>
      <c r="L165" s="550"/>
    </row>
    <row r="166" spans="1:123" ht="71.25" customHeight="1" x14ac:dyDescent="0.3">
      <c r="A166" s="100">
        <v>100</v>
      </c>
      <c r="B166" s="965" t="s">
        <v>1970</v>
      </c>
      <c r="C166" s="465" t="s">
        <v>756</v>
      </c>
      <c r="D166" s="21" t="s">
        <v>755</v>
      </c>
      <c r="E166" s="373" t="e">
        <f>INDEX('PY1 Data(H)'!$A$1:$CZ$265,MATCH('Unit Data from Audit Worksheet'!$A166,'PY1 Data(H)'!$A$1:$A$258,0),MATCH('Unit Data from Audit Worksheet'!$D$2,'PY1 Data(H)'!$A$1:$CZ$1,0))</f>
        <v>#N/A</v>
      </c>
      <c r="F166" s="810">
        <v>0</v>
      </c>
      <c r="G166" s="403">
        <f>IF(F166&lt;0,"Error: Enter as positive.",)</f>
        <v>0</v>
      </c>
      <c r="H166" s="17"/>
      <c r="I166" s="72"/>
      <c r="J166" s="72"/>
      <c r="K166"/>
      <c r="L166" s="550"/>
    </row>
    <row r="167" spans="1:123" ht="31.2" customHeight="1" x14ac:dyDescent="0.3">
      <c r="A167" s="100"/>
      <c r="B167" s="492" t="s">
        <v>1650</v>
      </c>
      <c r="C167" s="715"/>
      <c r="D167" s="492"/>
      <c r="E167" s="492"/>
      <c r="F167" s="492"/>
      <c r="G167" s="492"/>
      <c r="H167" s="17"/>
      <c r="I167" s="72"/>
      <c r="J167" s="72"/>
      <c r="K167" s="180"/>
      <c r="L167" s="550"/>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87">
        <v>1060</v>
      </c>
      <c r="B168" s="375" t="s">
        <v>1521</v>
      </c>
      <c r="C168" s="411"/>
      <c r="D168" s="788" t="s">
        <v>1542</v>
      </c>
      <c r="E168" s="373" t="e">
        <f>INDEX('PY1 Data(H)'!$A$1:$CZ$265,MATCH('Unit Data from Audit Worksheet'!$A168,'PY1 Data(H)'!$A$1:$A$258,0),MATCH('Unit Data from Audit Worksheet'!$D$2,'PY1 Data(H)'!$A$1:$CZ$1,0))</f>
        <v>#N/A</v>
      </c>
      <c r="F168" s="810">
        <v>0</v>
      </c>
      <c r="G168" s="403"/>
      <c r="H168" s="17"/>
      <c r="I168" s="72"/>
      <c r="J168" s="72"/>
      <c r="K168" s="180"/>
      <c r="L168" s="550"/>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87">
        <v>1061</v>
      </c>
      <c r="B169" s="375" t="s">
        <v>1521</v>
      </c>
      <c r="C169" s="411"/>
      <c r="D169" s="788" t="s">
        <v>1543</v>
      </c>
      <c r="E169" s="373" t="e">
        <f>INDEX('PY1 Data(H)'!$A$1:$CZ$265,MATCH('Unit Data from Audit Worksheet'!$A169,'PY1 Data(H)'!$A$1:$A$258,0),MATCH('Unit Data from Audit Worksheet'!$D$2,'PY1 Data(H)'!$A$1:$CZ$1,0))</f>
        <v>#N/A</v>
      </c>
      <c r="F169" s="810">
        <v>0</v>
      </c>
      <c r="G169" s="403"/>
      <c r="H169" s="17"/>
      <c r="I169" s="72"/>
      <c r="J169" s="72"/>
      <c r="K169" s="180"/>
      <c r="L169" s="550"/>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ht="98.4" customHeight="1" x14ac:dyDescent="0.3">
      <c r="A170" s="787">
        <v>1062</v>
      </c>
      <c r="B170" s="375" t="s">
        <v>1521</v>
      </c>
      <c r="C170" s="411"/>
      <c r="D170" s="788" t="s">
        <v>1953</v>
      </c>
      <c r="E170" s="373" t="e">
        <f>INDEX('PY1 Data(H)'!$A$1:$CZ$265,MATCH('Unit Data from Audit Worksheet'!$A170,'PY1 Data(H)'!$A$1:$A$258,0),MATCH('Unit Data from Audit Worksheet'!$D$2,'PY1 Data(H)'!$A$1:$CZ$1,0))</f>
        <v>#N/A</v>
      </c>
      <c r="F170" s="185"/>
      <c r="G170" s="403"/>
      <c r="H170" s="17"/>
      <c r="I170" s="72"/>
      <c r="J170" s="72"/>
      <c r="K170" s="180"/>
      <c r="L170" s="550"/>
      <c r="M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row>
    <row r="171" spans="1:123" ht="71.25" customHeight="1" x14ac:dyDescent="0.3">
      <c r="A171" s="787">
        <v>1063</v>
      </c>
      <c r="B171" s="375" t="s">
        <v>1521</v>
      </c>
      <c r="C171" s="411"/>
      <c r="D171" s="788" t="s">
        <v>1954</v>
      </c>
      <c r="E171" s="373" t="e">
        <f>INDEX('PY1 Data(H)'!$A$1:$CZ$265,MATCH('Unit Data from Audit Worksheet'!$A171,'PY1 Data(H)'!$A$1:$A$258,0),MATCH('Unit Data from Audit Worksheet'!$D$2,'PY1 Data(H)'!$A$1:$CZ$1,0))</f>
        <v>#N/A</v>
      </c>
      <c r="F171" s="185"/>
      <c r="G171" s="403"/>
      <c r="H171" s="17"/>
      <c r="I171" s="72"/>
      <c r="J171" s="72"/>
      <c r="K171" s="180"/>
      <c r="L171" s="550"/>
      <c r="M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row>
    <row r="172" spans="1:123" x14ac:dyDescent="0.3">
      <c r="A172" s="100"/>
      <c r="B172" s="715" t="s">
        <v>70</v>
      </c>
      <c r="C172" s="502"/>
      <c r="D172" s="470"/>
      <c r="E172" s="500"/>
      <c r="F172" s="500"/>
      <c r="G172" s="487"/>
      <c r="H172" s="17"/>
      <c r="I172" s="72"/>
      <c r="J172" s="72"/>
      <c r="K172"/>
      <c r="L172" s="550"/>
    </row>
    <row r="173" spans="1:123" ht="90.6" customHeight="1" x14ac:dyDescent="0.3">
      <c r="A173" s="100">
        <v>512</v>
      </c>
      <c r="B173" s="279"/>
      <c r="C173" s="465" t="s">
        <v>157</v>
      </c>
      <c r="D173" s="21" t="s">
        <v>759</v>
      </c>
      <c r="E173" s="373" t="e">
        <f>INDEX('PY1 Data(H)'!$A$1:$CZ$265,MATCH('Unit Data from Audit Worksheet'!$A173,'PY1 Data(H)'!$A$1:$A$258,0),MATCH('Unit Data from Audit Worksheet'!$D$2,'PY1 Data(H)'!$A$1:$CZ$1,0))</f>
        <v>#N/A</v>
      </c>
      <c r="F173" s="810">
        <v>0</v>
      </c>
      <c r="G173" s="403">
        <f>IF(F173&lt;0,"Error: Enter as positive.",)</f>
        <v>0</v>
      </c>
      <c r="H173" s="17"/>
      <c r="I173" s="72"/>
      <c r="J173" s="72"/>
      <c r="K173"/>
      <c r="L173" s="550"/>
    </row>
    <row r="174" spans="1:123" x14ac:dyDescent="0.3">
      <c r="A174" s="100"/>
      <c r="B174" s="492" t="s">
        <v>417</v>
      </c>
      <c r="C174" s="502"/>
      <c r="D174" s="495"/>
      <c r="E174" s="500"/>
      <c r="F174" s="500"/>
      <c r="G174" s="487"/>
      <c r="H174" s="404"/>
      <c r="I174" s="405"/>
      <c r="J174" s="405"/>
      <c r="K174"/>
      <c r="L174" s="550"/>
    </row>
    <row r="175" spans="1:123" ht="59.25" customHeight="1" x14ac:dyDescent="0.3">
      <c r="A175" s="191">
        <v>656</v>
      </c>
      <c r="B175" s="191"/>
      <c r="C175" s="191"/>
      <c r="D175" s="752" t="s">
        <v>1619</v>
      </c>
      <c r="E175" s="373" t="e">
        <f>INDEX('PY1 Data(H)'!$A$1:$CZ$265,MATCH('Unit Data from Audit Worksheet'!$A175,'PY1 Data(H)'!$A$1:$A$258,0),MATCH('Unit Data from Audit Worksheet'!$D$2,'PY1 Data(H)'!$A$1:$CZ$1,0))</f>
        <v>#N/A</v>
      </c>
      <c r="F175" s="810"/>
      <c r="G175" s="403"/>
      <c r="H175" s="17"/>
      <c r="I175" s="72"/>
      <c r="J175" s="72"/>
      <c r="K175"/>
      <c r="L175" s="550"/>
    </row>
    <row r="176" spans="1:123" x14ac:dyDescent="0.3">
      <c r="A176" s="100"/>
      <c r="B176" s="492" t="s">
        <v>288</v>
      </c>
      <c r="C176" s="502"/>
      <c r="D176" s="495"/>
      <c r="E176" s="500"/>
      <c r="F176" s="500"/>
      <c r="G176" s="487"/>
      <c r="H176" s="404"/>
      <c r="I176" s="405"/>
      <c r="J176" s="405"/>
      <c r="K176"/>
      <c r="L176" s="550"/>
    </row>
    <row r="177" spans="1:12" ht="106.95" customHeight="1" x14ac:dyDescent="0.3">
      <c r="A177" s="100">
        <v>535</v>
      </c>
      <c r="B177" s="375" t="s">
        <v>54</v>
      </c>
      <c r="C177" s="375" t="s">
        <v>158</v>
      </c>
      <c r="D177" s="21" t="s">
        <v>760</v>
      </c>
      <c r="E177" s="373" t="e">
        <f>INDEX('PY1 Data(H)'!$A$1:$CZ$265,MATCH('Unit Data from Audit Worksheet'!$A177,'PY1 Data(H)'!$A$1:$A$258,0),MATCH('Unit Data from Audit Worksheet'!$D$2,'PY1 Data(H)'!$A$1:$CZ$1,0))</f>
        <v>#N/A</v>
      </c>
      <c r="F177" s="810">
        <v>0</v>
      </c>
      <c r="G177" s="764" t="str">
        <f>IF(F177&lt;1,"Reminder: Please make sure you have entered all cash and investments from bond/Debt proceeds, if applicable.",)</f>
        <v>Reminder: Please make sure you have entered all cash and investments from bond/Debt proceeds, if applicable.</v>
      </c>
      <c r="H177" s="404"/>
      <c r="I177" s="405"/>
      <c r="J177" s="405"/>
      <c r="K177"/>
      <c r="L177" s="550"/>
    </row>
    <row r="178" spans="1:12" x14ac:dyDescent="0.3">
      <c r="A178" s="100"/>
      <c r="B178" s="492" t="s">
        <v>29</v>
      </c>
      <c r="C178" s="502"/>
      <c r="D178" s="471"/>
      <c r="E178" s="497"/>
      <c r="F178" s="497"/>
      <c r="G178" s="489"/>
      <c r="H178" s="17"/>
      <c r="I178" s="72"/>
      <c r="J178" s="72"/>
      <c r="K178"/>
      <c r="L178" s="550"/>
    </row>
    <row r="179" spans="1:12" x14ac:dyDescent="0.3">
      <c r="A179" s="100"/>
      <c r="B179" s="279"/>
      <c r="C179" s="279"/>
      <c r="D179" s="417" t="s">
        <v>2</v>
      </c>
      <c r="E179" s="373"/>
      <c r="F179" s="154"/>
      <c r="G179" s="409"/>
      <c r="H179" s="17"/>
      <c r="I179" s="72"/>
      <c r="J179" s="72"/>
      <c r="K179"/>
      <c r="L179" s="550"/>
    </row>
    <row r="180" spans="1:12" ht="36" customHeight="1" x14ac:dyDescent="0.3">
      <c r="A180" s="100"/>
      <c r="B180" s="279"/>
      <c r="C180" s="279"/>
      <c r="D180" s="374" t="s">
        <v>761</v>
      </c>
      <c r="E180" s="373"/>
      <c r="F180" s="154"/>
      <c r="G180" s="409"/>
      <c r="H180" s="17"/>
      <c r="I180" s="72"/>
      <c r="J180" s="72"/>
      <c r="K180"/>
      <c r="L180" s="550"/>
    </row>
    <row r="181" spans="1:12" ht="51" customHeight="1" x14ac:dyDescent="0.3">
      <c r="A181" s="100">
        <v>334</v>
      </c>
      <c r="B181" s="4" t="s">
        <v>55</v>
      </c>
      <c r="C181" s="4" t="s">
        <v>165</v>
      </c>
      <c r="D181" s="21" t="s">
        <v>762</v>
      </c>
      <c r="E181" s="373" t="e">
        <f>INDEX('PY1 Data(H)'!$A$1:$CZ$265,MATCH('Unit Data from Audit Worksheet'!$A181,'PY1 Data(H)'!$A$1:$A$258,0),MATCH('Unit Data from Audit Worksheet'!$D$2,'PY1 Data(H)'!$A$1:$CZ$1,0))</f>
        <v>#N/A</v>
      </c>
      <c r="F181" s="810">
        <v>0</v>
      </c>
      <c r="G181" s="409"/>
      <c r="H181" s="17"/>
      <c r="I181" s="72"/>
      <c r="J181" s="72"/>
      <c r="K181"/>
      <c r="L181" s="550"/>
    </row>
    <row r="182" spans="1:12" ht="45.6" customHeight="1" x14ac:dyDescent="0.3">
      <c r="A182" s="100">
        <v>373</v>
      </c>
      <c r="B182" s="4" t="s">
        <v>55</v>
      </c>
      <c r="C182" s="4" t="s">
        <v>165</v>
      </c>
      <c r="D182" s="26" t="s">
        <v>164</v>
      </c>
      <c r="E182" s="373" t="e">
        <f>INDEX('PY1 Data(H)'!$A$1:$CZ$265,MATCH('Unit Data from Audit Worksheet'!$A182,'PY1 Data(H)'!$A$1:$A$258,0),MATCH('Unit Data from Audit Worksheet'!$D$2,'PY1 Data(H)'!$A$1:$CZ$1,0))</f>
        <v>#N/A</v>
      </c>
      <c r="F182" s="810">
        <v>0</v>
      </c>
      <c r="G182" s="403">
        <f>IF(F182&lt;0,"Error: Enter as positive.",)</f>
        <v>0</v>
      </c>
      <c r="H182" s="17"/>
      <c r="I182" s="72"/>
      <c r="J182" s="72"/>
      <c r="K182"/>
      <c r="L182" s="550"/>
    </row>
    <row r="183" spans="1:12" ht="92.25" customHeight="1" x14ac:dyDescent="0.3">
      <c r="A183" s="100">
        <v>987</v>
      </c>
      <c r="B183" s="375" t="s">
        <v>587</v>
      </c>
      <c r="C183" s="375"/>
      <c r="D183" s="21" t="s">
        <v>648</v>
      </c>
      <c r="E183" s="373" t="e">
        <f>INDEX('PY1 Data(H)'!$A$1:$CZ$265,MATCH('Unit Data from Audit Worksheet'!$A183,'PY1 Data(H)'!$A$1:$A$258,0),MATCH('Unit Data from Audit Worksheet'!$D$2,'PY1 Data(H)'!$A$1:$CZ$1,0))</f>
        <v>#N/A</v>
      </c>
      <c r="F183" s="810">
        <v>0</v>
      </c>
      <c r="G183" s="418" t="str">
        <f>IF(F183="","If this question is not applicable please place a zero in the cell to the left","")</f>
        <v/>
      </c>
      <c r="H183" s="386"/>
      <c r="I183" s="72"/>
      <c r="J183" s="72"/>
      <c r="K183"/>
      <c r="L183" s="550"/>
    </row>
    <row r="184" spans="1:12" ht="66.75" customHeight="1" x14ac:dyDescent="0.3">
      <c r="A184" s="100">
        <v>988</v>
      </c>
      <c r="B184" s="375" t="s">
        <v>587</v>
      </c>
      <c r="C184" s="375"/>
      <c r="D184" s="21" t="s">
        <v>647</v>
      </c>
      <c r="E184" s="373" t="e">
        <f>INDEX('PY1 Data(H)'!$A$1:$CZ$265,MATCH('Unit Data from Audit Worksheet'!$A184,'PY1 Data(H)'!$A$1:$A$258,0),MATCH('Unit Data from Audit Worksheet'!$D$2,'PY1 Data(H)'!$A$1:$CZ$1,0))</f>
        <v>#N/A</v>
      </c>
      <c r="F184" s="186"/>
      <c r="G184" s="403"/>
      <c r="H184" s="17"/>
      <c r="I184" s="72"/>
      <c r="J184" s="72"/>
      <c r="K184"/>
      <c r="L184" s="550"/>
    </row>
    <row r="185" spans="1:12" ht="90" customHeight="1" x14ac:dyDescent="0.3">
      <c r="A185" s="100">
        <v>989</v>
      </c>
      <c r="B185" s="375" t="s">
        <v>587</v>
      </c>
      <c r="C185" s="375"/>
      <c r="D185" s="21" t="s">
        <v>807</v>
      </c>
      <c r="E185" s="373" t="e">
        <f>INDEX('PY1 Data(H)'!$A$1:$CZ$265,MATCH('Unit Data from Audit Worksheet'!$A185,'PY1 Data(H)'!$A$1:$A$258,0),MATCH('Unit Data from Audit Worksheet'!$D$2,'PY1 Data(H)'!$A$1:$CZ$1,0))</f>
        <v>#N/A</v>
      </c>
      <c r="F185" s="186"/>
      <c r="G185" s="403"/>
      <c r="H185" s="17"/>
      <c r="I185" s="72"/>
      <c r="J185" s="72"/>
      <c r="K185"/>
      <c r="L185" s="550"/>
    </row>
    <row r="186" spans="1:12" ht="72" x14ac:dyDescent="0.3">
      <c r="A186" s="100"/>
      <c r="B186" s="502"/>
      <c r="C186" s="502"/>
      <c r="D186" s="503" t="s">
        <v>1635</v>
      </c>
      <c r="E186" s="505"/>
      <c r="F186" s="505"/>
      <c r="G186" s="506"/>
      <c r="H186" s="17"/>
      <c r="I186" s="72"/>
      <c r="J186" s="72"/>
      <c r="K186"/>
      <c r="L186" s="550"/>
    </row>
    <row r="187" spans="1:12" ht="31.8" customHeight="1" x14ac:dyDescent="0.3">
      <c r="A187" s="100"/>
      <c r="B187" s="279"/>
      <c r="C187" s="279"/>
      <c r="D187" s="419" t="s">
        <v>2658</v>
      </c>
      <c r="E187" s="373"/>
      <c r="F187" s="245"/>
      <c r="G187" s="409"/>
      <c r="H187" s="17"/>
      <c r="I187" s="72"/>
      <c r="J187" s="72"/>
      <c r="K187"/>
      <c r="L187" s="550"/>
    </row>
    <row r="188" spans="1:12" ht="48.75" customHeight="1" x14ac:dyDescent="0.3">
      <c r="A188" s="100"/>
      <c r="B188" s="279"/>
      <c r="C188" s="279"/>
      <c r="D188" s="21" t="s">
        <v>763</v>
      </c>
      <c r="E188" s="373"/>
      <c r="F188" s="245"/>
      <c r="G188" s="409"/>
      <c r="H188" s="17"/>
      <c r="I188" s="72"/>
      <c r="J188" s="72"/>
      <c r="K188"/>
      <c r="L188" s="550"/>
    </row>
    <row r="189" spans="1:12" ht="51.75" customHeight="1" x14ac:dyDescent="0.3">
      <c r="A189" s="100">
        <v>327</v>
      </c>
      <c r="B189" s="375" t="s">
        <v>36</v>
      </c>
      <c r="C189" s="375" t="s">
        <v>166</v>
      </c>
      <c r="D189" s="420" t="s">
        <v>764</v>
      </c>
      <c r="E189" s="373" t="e">
        <f>INDEX('PY1 Data(H)'!$A$1:$CZ$265,MATCH('Unit Data from Audit Worksheet'!$A189,'PY1 Data(H)'!$A$1:$A$258,0),MATCH('Unit Data from Audit Worksheet'!$D$2,'PY1 Data(H)'!$A$1:$CZ$1,0))</f>
        <v>#N/A</v>
      </c>
      <c r="F189" s="810">
        <v>0</v>
      </c>
      <c r="G189" s="409"/>
      <c r="H189" s="17"/>
      <c r="I189" s="405"/>
      <c r="J189" s="405"/>
      <c r="K189"/>
      <c r="L189" s="550"/>
    </row>
    <row r="190" spans="1:12" ht="51.75" customHeight="1" x14ac:dyDescent="0.3">
      <c r="A190" s="100">
        <v>328</v>
      </c>
      <c r="B190" s="375" t="s">
        <v>36</v>
      </c>
      <c r="C190" s="375" t="s">
        <v>166</v>
      </c>
      <c r="D190" s="27" t="s">
        <v>7</v>
      </c>
      <c r="E190" s="373" t="e">
        <f>INDEX('PY1 Data(H)'!$A$1:$CZ$265,MATCH('Unit Data from Audit Worksheet'!$A190,'PY1 Data(H)'!$A$1:$A$258,0),MATCH('Unit Data from Audit Worksheet'!$D$2,'PY1 Data(H)'!$A$1:$CZ$1,0))</f>
        <v>#N/A</v>
      </c>
      <c r="F190" s="810">
        <v>0</v>
      </c>
      <c r="G190" s="409"/>
      <c r="H190" s="17"/>
      <c r="I190" s="405"/>
      <c r="J190" s="405"/>
      <c r="K190"/>
      <c r="L190" s="550"/>
    </row>
    <row r="191" spans="1:12" ht="42" customHeight="1" x14ac:dyDescent="0.3">
      <c r="A191" s="100"/>
      <c r="B191" s="279"/>
      <c r="C191" s="279"/>
      <c r="D191" s="28" t="s">
        <v>765</v>
      </c>
      <c r="E191" s="93" t="e">
        <f>E189+E190</f>
        <v>#N/A</v>
      </c>
      <c r="F191" s="93">
        <f>SUM(F189:F190)</f>
        <v>0</v>
      </c>
      <c r="G191" s="409"/>
      <c r="H191" s="17"/>
      <c r="I191" s="72"/>
      <c r="J191" s="72"/>
      <c r="K191"/>
      <c r="L191" s="550"/>
    </row>
    <row r="192" spans="1:12" ht="28.8" x14ac:dyDescent="0.3">
      <c r="A192" s="100"/>
      <c r="B192" s="279"/>
      <c r="C192" s="279"/>
      <c r="D192" s="21" t="s">
        <v>766</v>
      </c>
      <c r="E192" s="1"/>
      <c r="F192" s="245"/>
      <c r="G192" s="409"/>
      <c r="H192" s="17"/>
      <c r="I192" s="72"/>
      <c r="J192" s="72"/>
      <c r="K192"/>
      <c r="L192" s="550"/>
    </row>
    <row r="193" spans="1:20" ht="24" customHeight="1" x14ac:dyDescent="0.3">
      <c r="A193" s="100"/>
      <c r="B193" s="279"/>
      <c r="C193" s="279"/>
      <c r="D193" s="25" t="s">
        <v>9</v>
      </c>
      <c r="F193" s="421"/>
      <c r="G193" s="409"/>
      <c r="H193" s="17"/>
      <c r="I193" s="72"/>
      <c r="J193" s="72"/>
      <c r="K193"/>
      <c r="L193" s="550"/>
    </row>
    <row r="194" spans="1:20" ht="72" customHeight="1" x14ac:dyDescent="0.3">
      <c r="A194" s="100">
        <v>515</v>
      </c>
      <c r="B194" s="965" t="s">
        <v>1965</v>
      </c>
      <c r="C194" s="375" t="s">
        <v>167</v>
      </c>
      <c r="D194" s="29" t="s">
        <v>3</v>
      </c>
      <c r="E194" s="373" t="e">
        <f>INDEX('PY1 Data(H)'!$A$1:$CZ$265,MATCH('Unit Data from Audit Worksheet'!$A194,'PY1 Data(H)'!$A$1:$A$258,0),MATCH('Unit Data from Audit Worksheet'!$D$2,'PY1 Data(H)'!$A$1:$CZ$1,0))</f>
        <v>#N/A</v>
      </c>
      <c r="F194" s="810">
        <v>0</v>
      </c>
      <c r="G194" s="403"/>
      <c r="H194" s="17"/>
      <c r="I194" s="72"/>
      <c r="J194" s="72"/>
      <c r="K194"/>
      <c r="L194" s="550"/>
    </row>
    <row r="195" spans="1:20" ht="75.599999999999994" customHeight="1" x14ac:dyDescent="0.3">
      <c r="A195" s="100">
        <v>516</v>
      </c>
      <c r="B195" s="965" t="s">
        <v>1965</v>
      </c>
      <c r="C195" s="375" t="s">
        <v>167</v>
      </c>
      <c r="D195" s="29" t="s">
        <v>4</v>
      </c>
      <c r="E195" s="373" t="e">
        <f>INDEX('PY1 Data(H)'!$A$1:$CZ$265,MATCH('Unit Data from Audit Worksheet'!$A195,'PY1 Data(H)'!$A$1:$A$258,0),MATCH('Unit Data from Audit Worksheet'!$D$2,'PY1 Data(H)'!$A$1:$CZ$1,0))</f>
        <v>#N/A</v>
      </c>
      <c r="F195" s="810">
        <v>0</v>
      </c>
      <c r="G195" s="403"/>
      <c r="H195" s="17"/>
      <c r="I195" s="72"/>
      <c r="J195" s="72"/>
      <c r="K195"/>
      <c r="L195" s="550"/>
    </row>
    <row r="196" spans="1:20" ht="73.2" customHeight="1" x14ac:dyDescent="0.3">
      <c r="A196" s="100">
        <v>517</v>
      </c>
      <c r="B196" s="965" t="s">
        <v>1965</v>
      </c>
      <c r="C196" s="375" t="s">
        <v>167</v>
      </c>
      <c r="D196" s="29" t="s">
        <v>5</v>
      </c>
      <c r="E196" s="373" t="e">
        <f>INDEX('PY1 Data(H)'!$A$1:$CZ$265,MATCH('Unit Data from Audit Worksheet'!$A196,'PY1 Data(H)'!$A$1:$A$258,0),MATCH('Unit Data from Audit Worksheet'!$D$2,'PY1 Data(H)'!$A$1:$CZ$1,0))</f>
        <v>#N/A</v>
      </c>
      <c r="F196" s="810">
        <v>0</v>
      </c>
      <c r="G196" s="403"/>
      <c r="H196" s="17"/>
      <c r="I196" s="72"/>
      <c r="J196" s="72"/>
      <c r="K196"/>
      <c r="L196" s="550"/>
    </row>
    <row r="197" spans="1:20" ht="78" customHeight="1" x14ac:dyDescent="0.3">
      <c r="A197" s="100">
        <v>518</v>
      </c>
      <c r="B197" s="965" t="s">
        <v>1965</v>
      </c>
      <c r="C197" s="375" t="s">
        <v>167</v>
      </c>
      <c r="D197" s="29" t="s">
        <v>38</v>
      </c>
      <c r="E197" s="373" t="e">
        <f>INDEX('PY1 Data(H)'!$A$1:$CZ$265,MATCH('Unit Data from Audit Worksheet'!$A197,'PY1 Data(H)'!$A$1:$A$258,0),MATCH('Unit Data from Audit Worksheet'!$D$2,'PY1 Data(H)'!$A$1:$CZ$1,0))</f>
        <v>#N/A</v>
      </c>
      <c r="F197" s="810">
        <v>0</v>
      </c>
      <c r="G197" s="403"/>
      <c r="H197" s="17"/>
      <c r="I197" s="72"/>
      <c r="J197" s="72"/>
      <c r="K197"/>
      <c r="L197" s="550"/>
    </row>
    <row r="198" spans="1:20" ht="51" customHeight="1" x14ac:dyDescent="0.3">
      <c r="A198" s="718"/>
      <c r="B198" s="279"/>
      <c r="C198" s="279"/>
      <c r="D198" s="422" t="s">
        <v>767</v>
      </c>
      <c r="E198" s="93" t="e">
        <f>E194+E195+E196+E197</f>
        <v>#N/A</v>
      </c>
      <c r="F198" s="93">
        <f>SUM(F194:F197)</f>
        <v>0</v>
      </c>
      <c r="G198" s="409"/>
      <c r="H198" s="17"/>
      <c r="I198" s="72"/>
      <c r="J198" s="72"/>
      <c r="K198"/>
      <c r="L198" s="550"/>
    </row>
    <row r="199" spans="1:20" ht="30.75" customHeight="1" x14ac:dyDescent="0.3">
      <c r="A199" s="100"/>
      <c r="B199" s="279"/>
      <c r="C199" s="279"/>
      <c r="D199" s="25" t="s">
        <v>47</v>
      </c>
      <c r="E199" s="1"/>
      <c r="F199" s="245"/>
      <c r="G199" s="409"/>
      <c r="H199" s="17"/>
      <c r="I199" s="72"/>
      <c r="J199" s="72"/>
      <c r="K199"/>
      <c r="L199" s="550"/>
    </row>
    <row r="200" spans="1:20" ht="63" customHeight="1" x14ac:dyDescent="0.3">
      <c r="A200" s="100">
        <v>519</v>
      </c>
      <c r="B200" s="375" t="s">
        <v>36</v>
      </c>
      <c r="C200" s="375" t="s">
        <v>168</v>
      </c>
      <c r="D200" s="29" t="s">
        <v>14</v>
      </c>
      <c r="E200" s="373" t="e">
        <f>INDEX('PY1 Data(H)'!$A$1:$CZ$265,MATCH('Unit Data from Audit Worksheet'!$A200,'PY1 Data(H)'!$A$1:$A$258,0),MATCH('Unit Data from Audit Worksheet'!$D$2,'PY1 Data(H)'!$A$1:$CZ$1,0))</f>
        <v>#N/A</v>
      </c>
      <c r="F200" s="810">
        <v>0</v>
      </c>
      <c r="G200" s="403">
        <f>IF(F200&lt;0,"Error: Enter as positive.",)</f>
        <v>0</v>
      </c>
      <c r="H200" s="17"/>
      <c r="I200" s="72"/>
      <c r="J200" s="72"/>
      <c r="K200"/>
      <c r="L200" s="550"/>
    </row>
    <row r="201" spans="1:20" ht="69.75" customHeight="1" x14ac:dyDescent="0.3">
      <c r="A201" s="100">
        <v>520</v>
      </c>
      <c r="B201" s="375" t="s">
        <v>36</v>
      </c>
      <c r="C201" s="375" t="s">
        <v>168</v>
      </c>
      <c r="D201" s="29" t="s">
        <v>16</v>
      </c>
      <c r="E201" s="373" t="e">
        <f>INDEX('PY1 Data(H)'!$A$1:$CZ$265,MATCH('Unit Data from Audit Worksheet'!$A201,'PY1 Data(H)'!$A$1:$A$258,0),MATCH('Unit Data from Audit Worksheet'!$D$2,'PY1 Data(H)'!$A$1:$CZ$1,0))</f>
        <v>#N/A</v>
      </c>
      <c r="F201" s="810">
        <v>0</v>
      </c>
      <c r="G201" s="403">
        <f>IF(F201&lt;0,"Error: Enter as positive.",)</f>
        <v>0</v>
      </c>
      <c r="H201" s="17"/>
      <c r="I201" s="72"/>
      <c r="J201" s="72"/>
      <c r="K201"/>
      <c r="L201" s="550"/>
    </row>
    <row r="202" spans="1:20" ht="72" customHeight="1" x14ac:dyDescent="0.3">
      <c r="A202" s="100">
        <v>521</v>
      </c>
      <c r="B202" s="375" t="s">
        <v>36</v>
      </c>
      <c r="C202" s="375" t="s">
        <v>168</v>
      </c>
      <c r="D202" s="29" t="s">
        <v>18</v>
      </c>
      <c r="E202" s="373" t="e">
        <f>INDEX('PY1 Data(H)'!$A$1:$CZ$265,MATCH('Unit Data from Audit Worksheet'!$A202,'PY1 Data(H)'!$A$1:$A$258,0),MATCH('Unit Data from Audit Worksheet'!$D$2,'PY1 Data(H)'!$A$1:$CZ$1,0))</f>
        <v>#N/A</v>
      </c>
      <c r="F202" s="810">
        <v>0</v>
      </c>
      <c r="G202" s="403">
        <f>IF(F202&lt;0,"Error: Enter as positive.",)</f>
        <v>0</v>
      </c>
      <c r="H202" s="17"/>
      <c r="I202" s="72"/>
      <c r="J202" s="72"/>
      <c r="K202"/>
      <c r="L202" s="550"/>
    </row>
    <row r="203" spans="1:20" ht="74.25" customHeight="1" x14ac:dyDescent="0.3">
      <c r="A203" s="100">
        <v>522</v>
      </c>
      <c r="B203" s="375" t="s">
        <v>36</v>
      </c>
      <c r="C203" s="375" t="s">
        <v>168</v>
      </c>
      <c r="D203" s="29" t="s">
        <v>39</v>
      </c>
      <c r="E203" s="373" t="e">
        <f>INDEX('PY1 Data(H)'!$A$1:$CZ$265,MATCH('Unit Data from Audit Worksheet'!$A203,'PY1 Data(H)'!$A$1:$A$258,0),MATCH('Unit Data from Audit Worksheet'!$D$2,'PY1 Data(H)'!$A$1:$CZ$1,0))</f>
        <v>#N/A</v>
      </c>
      <c r="F203" s="810">
        <v>0</v>
      </c>
      <c r="G203" s="403">
        <f>IF(F203&lt;0,"Error: Enter as positive.",)</f>
        <v>0</v>
      </c>
      <c r="H203" s="17"/>
      <c r="I203" s="72"/>
      <c r="J203" s="72"/>
      <c r="K203"/>
      <c r="L203" s="550"/>
    </row>
    <row r="204" spans="1:20" ht="31.5" customHeight="1" x14ac:dyDescent="0.3">
      <c r="A204" s="716"/>
      <c r="B204" s="279"/>
      <c r="C204" s="279"/>
      <c r="D204" s="423" t="s">
        <v>33</v>
      </c>
      <c r="E204" s="93" t="e">
        <f>E200+E201+E202+E203</f>
        <v>#N/A</v>
      </c>
      <c r="F204" s="93">
        <f>SUM(F200:F203)</f>
        <v>0</v>
      </c>
      <c r="G204" s="123"/>
      <c r="H204" s="17"/>
      <c r="I204" s="72"/>
      <c r="J204" s="72"/>
      <c r="K204"/>
      <c r="L204" s="550"/>
    </row>
    <row r="205" spans="1:20" ht="26.25" customHeight="1" x14ac:dyDescent="0.3">
      <c r="A205" s="716"/>
      <c r="B205" s="279"/>
      <c r="C205" s="279"/>
      <c r="D205" s="25" t="s">
        <v>31</v>
      </c>
      <c r="E205" s="6"/>
      <c r="F205" s="424"/>
      <c r="G205" s="123"/>
      <c r="H205" s="17"/>
      <c r="I205"/>
      <c r="J205"/>
      <c r="K205"/>
      <c r="L205"/>
      <c r="N205"/>
      <c r="O205"/>
      <c r="P205"/>
      <c r="Q205"/>
      <c r="R205"/>
      <c r="S205"/>
      <c r="T205"/>
    </row>
    <row r="206" spans="1:20" ht="89.25" customHeight="1" x14ac:dyDescent="0.3">
      <c r="A206" s="100">
        <v>523</v>
      </c>
      <c r="B206" s="965" t="s">
        <v>1965</v>
      </c>
      <c r="C206" s="375" t="s">
        <v>169</v>
      </c>
      <c r="D206" s="29" t="s">
        <v>15</v>
      </c>
      <c r="E206" s="373" t="e">
        <f>INDEX('PY1 Data(H)'!$A$1:$CZ$265,MATCH('Unit Data from Audit Worksheet'!$A206,'PY1 Data(H)'!$A$1:$A$258,0),MATCH('Unit Data from Audit Worksheet'!$D$2,'PY1 Data(H)'!$A$1:$CZ$1,0))</f>
        <v>#N/A</v>
      </c>
      <c r="F206" s="810">
        <v>0</v>
      </c>
      <c r="G206" s="403">
        <f>IF(F206&lt;0,"Error: Enter as positive.",)</f>
        <v>0</v>
      </c>
      <c r="H206" s="17"/>
      <c r="I206"/>
      <c r="J206"/>
      <c r="K206"/>
      <c r="L206"/>
      <c r="N206"/>
      <c r="O206"/>
      <c r="P206"/>
      <c r="Q206"/>
      <c r="R206"/>
      <c r="S206"/>
      <c r="T206"/>
    </row>
    <row r="207" spans="1:20" ht="75" customHeight="1" x14ac:dyDescent="0.3">
      <c r="A207" s="100">
        <v>524</v>
      </c>
      <c r="B207" s="965" t="s">
        <v>1965</v>
      </c>
      <c r="C207" s="375" t="s">
        <v>169</v>
      </c>
      <c r="D207" s="29" t="s">
        <v>17</v>
      </c>
      <c r="E207" s="373" t="e">
        <f>INDEX('PY1 Data(H)'!$A$1:$CZ$265,MATCH('Unit Data from Audit Worksheet'!$A207,'PY1 Data(H)'!$A$1:$A$258,0),MATCH('Unit Data from Audit Worksheet'!$D$2,'PY1 Data(H)'!$A$1:$CZ$1,0))</f>
        <v>#N/A</v>
      </c>
      <c r="F207" s="810">
        <v>0</v>
      </c>
      <c r="G207" s="403">
        <f>IF(F207&lt;0,"Error: Enter as positive.",)</f>
        <v>0</v>
      </c>
      <c r="H207" s="17"/>
      <c r="I207"/>
      <c r="J207"/>
      <c r="K207"/>
      <c r="L207"/>
      <c r="N207"/>
      <c r="O207"/>
      <c r="P207"/>
      <c r="Q207"/>
      <c r="R207"/>
      <c r="S207"/>
      <c r="T207"/>
    </row>
    <row r="208" spans="1:20" ht="75" customHeight="1" x14ac:dyDescent="0.3">
      <c r="A208" s="100">
        <v>525</v>
      </c>
      <c r="B208" s="965" t="s">
        <v>1965</v>
      </c>
      <c r="C208" s="375" t="s">
        <v>169</v>
      </c>
      <c r="D208" s="29" t="s">
        <v>19</v>
      </c>
      <c r="E208" s="373" t="e">
        <f>INDEX('PY1 Data(H)'!$A$1:$CZ$265,MATCH('Unit Data from Audit Worksheet'!$A208,'PY1 Data(H)'!$A$1:$A$258,0),MATCH('Unit Data from Audit Worksheet'!$D$2,'PY1 Data(H)'!$A$1:$CZ$1,0))</f>
        <v>#N/A</v>
      </c>
      <c r="F208" s="810">
        <v>0</v>
      </c>
      <c r="G208" s="403">
        <f>IF(F208&lt;0,"Error: Enter as positive.",)</f>
        <v>0</v>
      </c>
      <c r="H208" s="17"/>
      <c r="I208"/>
      <c r="J208"/>
      <c r="K208"/>
      <c r="L208"/>
      <c r="N208"/>
      <c r="O208"/>
      <c r="P208"/>
      <c r="Q208"/>
      <c r="R208"/>
      <c r="S208"/>
      <c r="T208"/>
    </row>
    <row r="209" spans="1:1881" ht="76.5" customHeight="1" x14ac:dyDescent="0.3">
      <c r="A209" s="100">
        <v>526</v>
      </c>
      <c r="B209" s="965" t="s">
        <v>1965</v>
      </c>
      <c r="C209" s="375" t="s">
        <v>169</v>
      </c>
      <c r="D209" s="29" t="s">
        <v>40</v>
      </c>
      <c r="E209" s="373" t="e">
        <f>INDEX('PY1 Data(H)'!$A$1:$CZ$265,MATCH('Unit Data from Audit Worksheet'!$A209,'PY1 Data(H)'!$A$1:$A$258,0),MATCH('Unit Data from Audit Worksheet'!$D$2,'PY1 Data(H)'!$A$1:$CZ$1,0))</f>
        <v>#N/A</v>
      </c>
      <c r="F209" s="810">
        <v>0</v>
      </c>
      <c r="G209" s="403">
        <f>IF(F209&lt;0,"Error: Enter as positive.",)</f>
        <v>0</v>
      </c>
      <c r="H209" s="17"/>
      <c r="I209"/>
      <c r="J209"/>
      <c r="K209"/>
      <c r="L209"/>
      <c r="N209"/>
      <c r="O209"/>
      <c r="P209"/>
      <c r="Q209"/>
      <c r="R209"/>
      <c r="S209"/>
      <c r="T209"/>
    </row>
    <row r="210" spans="1:1881" ht="24.75" customHeight="1" x14ac:dyDescent="0.3">
      <c r="A210" s="100"/>
      <c r="B210" s="466"/>
      <c r="C210" s="466"/>
      <c r="D210" s="423" t="s">
        <v>32</v>
      </c>
      <c r="E210" s="93" t="e">
        <f>E206+E207+E208+E209</f>
        <v>#N/A</v>
      </c>
      <c r="F210" s="93">
        <f>SUM(F206:F209)</f>
        <v>0</v>
      </c>
      <c r="G210" s="409"/>
      <c r="H210" s="17"/>
      <c r="I210" s="72"/>
      <c r="J210" s="72"/>
      <c r="K210"/>
      <c r="L210" s="550"/>
    </row>
    <row r="211" spans="1:1881" ht="61.5" customHeight="1" x14ac:dyDescent="0.3">
      <c r="A211" s="100"/>
      <c r="B211" s="466"/>
      <c r="C211" s="466"/>
      <c r="D211" s="425" t="s">
        <v>34</v>
      </c>
      <c r="E211" s="93" t="e">
        <f>E191+E198-E210</f>
        <v>#N/A</v>
      </c>
      <c r="F211" s="93">
        <f>F191+F198-F210</f>
        <v>0</v>
      </c>
      <c r="G211" s="409"/>
      <c r="H211" s="17"/>
      <c r="I211" s="72"/>
      <c r="J211" s="72"/>
      <c r="K211"/>
      <c r="L211" s="550"/>
    </row>
    <row r="212" spans="1:1881" ht="21.6" customHeight="1" x14ac:dyDescent="0.3">
      <c r="A212" s="100"/>
      <c r="B212" s="279"/>
      <c r="C212" s="279"/>
      <c r="D212" s="417"/>
      <c r="E212" s="1"/>
      <c r="F212" s="245"/>
      <c r="G212" s="409"/>
      <c r="H212" s="17"/>
      <c r="I212" s="72"/>
      <c r="J212" s="72"/>
      <c r="K212"/>
      <c r="L212" s="550"/>
    </row>
    <row r="213" spans="1:1881" ht="34.5" customHeight="1" x14ac:dyDescent="0.3">
      <c r="A213" s="100"/>
      <c r="B213" s="502"/>
      <c r="C213" s="502"/>
      <c r="D213" s="494" t="s">
        <v>8</v>
      </c>
      <c r="E213" s="504"/>
      <c r="F213" s="505"/>
      <c r="G213" s="506"/>
      <c r="H213" s="17"/>
      <c r="I213" s="72"/>
      <c r="J213" s="72"/>
      <c r="K213"/>
      <c r="L213" s="550"/>
    </row>
    <row r="214" spans="1:1881" ht="55.5" customHeight="1" x14ac:dyDescent="0.3">
      <c r="A214" s="100">
        <v>527</v>
      </c>
      <c r="B214" s="965" t="s">
        <v>1971</v>
      </c>
      <c r="C214" s="375" t="s">
        <v>170</v>
      </c>
      <c r="D214" s="26" t="s">
        <v>768</v>
      </c>
      <c r="E214" s="373" t="e">
        <f>INDEX('PY1 Data(H)'!$A$1:$CZ$265,MATCH('Unit Data from Audit Worksheet'!$A214,'PY1 Data(H)'!$A$1:$A$258,0),MATCH('Unit Data from Audit Worksheet'!$D$2,'PY1 Data(H)'!$A$1:$CZ$1,0))</f>
        <v>#N/A</v>
      </c>
      <c r="F214" s="810">
        <v>0</v>
      </c>
      <c r="G214" s="409"/>
      <c r="H214" s="17"/>
      <c r="I214" s="405"/>
      <c r="J214" s="405"/>
      <c r="K214"/>
      <c r="L214" s="550"/>
    </row>
    <row r="215" spans="1:1881" ht="55.5" customHeight="1" x14ac:dyDescent="0.3">
      <c r="A215" s="100">
        <v>356</v>
      </c>
      <c r="B215" s="965" t="s">
        <v>1970</v>
      </c>
      <c r="C215" s="375" t="s">
        <v>170</v>
      </c>
      <c r="D215" s="99" t="s">
        <v>20</v>
      </c>
      <c r="E215" s="373" t="e">
        <f>INDEX('PY1 Data(H)'!$A$1:$CZ$265,MATCH('Unit Data from Audit Worksheet'!$A215,'PY1 Data(H)'!$A$1:$A$258,0),MATCH('Unit Data from Audit Worksheet'!$D$2,'PY1 Data(H)'!$A$1:$CZ$1,0))</f>
        <v>#N/A</v>
      </c>
      <c r="F215" s="810">
        <v>0</v>
      </c>
      <c r="G215" s="409"/>
      <c r="H215" s="17"/>
      <c r="I215" s="405"/>
      <c r="J215" s="405"/>
      <c r="K215"/>
      <c r="L215" s="550"/>
    </row>
    <row r="216" spans="1:1881" ht="55.5" customHeight="1" x14ac:dyDescent="0.3">
      <c r="A216" s="100">
        <v>357</v>
      </c>
      <c r="B216" s="375" t="s">
        <v>55</v>
      </c>
      <c r="C216" s="375" t="s">
        <v>171</v>
      </c>
      <c r="D216" s="99" t="s">
        <v>21</v>
      </c>
      <c r="E216" s="373" t="e">
        <f>INDEX('PY1 Data(H)'!$A$1:$CZ$265,MATCH('Unit Data from Audit Worksheet'!$A216,'PY1 Data(H)'!$A$1:$A$258,0),MATCH('Unit Data from Audit Worksheet'!$D$2,'PY1 Data(H)'!$A$1:$CZ$1,0))</f>
        <v>#N/A</v>
      </c>
      <c r="F216" s="810">
        <v>0</v>
      </c>
      <c r="G216" s="403">
        <f>IF(F216&lt;0,"Error: Enter as positive.",)</f>
        <v>0</v>
      </c>
      <c r="H216" s="17"/>
      <c r="I216" s="405"/>
      <c r="J216" s="405"/>
      <c r="K216"/>
      <c r="L216" s="550"/>
    </row>
    <row r="217" spans="1:1881" s="18" customFormat="1" ht="35.25" customHeight="1" x14ac:dyDescent="0.3">
      <c r="A217" s="100"/>
      <c r="B217" s="492" t="s">
        <v>10</v>
      </c>
      <c r="C217" s="502"/>
      <c r="D217" s="470"/>
      <c r="E217" s="507"/>
      <c r="F217" s="507"/>
      <c r="G217" s="489"/>
      <c r="H217" s="17"/>
      <c r="I217" s="72"/>
      <c r="J217" s="72"/>
      <c r="K217"/>
      <c r="L217" s="550"/>
      <c r="M217"/>
      <c r="O217" s="1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s="18" customFormat="1" ht="253.2" customHeight="1" x14ac:dyDescent="0.3">
      <c r="A218" s="100">
        <v>337</v>
      </c>
      <c r="B218" s="4" t="s">
        <v>55</v>
      </c>
      <c r="C218" s="4" t="s">
        <v>769</v>
      </c>
      <c r="D218" s="21" t="s">
        <v>649</v>
      </c>
      <c r="E218" s="373" t="e">
        <f>INDEX('PY1 Data(H)'!$A$1:$CZ$265,MATCH('Unit Data from Audit Worksheet'!$A218,'PY1 Data(H)'!$A$1:$A$258,0),MATCH('Unit Data from Audit Worksheet'!$D$2,'PY1 Data(H)'!$A$1:$CZ$1,0))</f>
        <v>#N/A</v>
      </c>
      <c r="F218" s="810">
        <v>0</v>
      </c>
      <c r="G218" s="403">
        <f>IF(F218&lt;0,"Error: Enter as positive.",)</f>
        <v>0</v>
      </c>
      <c r="H218" s="17"/>
      <c r="I218" s="72"/>
      <c r="J218" s="72"/>
      <c r="K218"/>
      <c r="L218" s="550"/>
      <c r="M218"/>
      <c r="O218" s="1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row>
    <row r="219" spans="1:1881" s="18" customFormat="1" ht="81.75" customHeight="1" x14ac:dyDescent="0.3">
      <c r="A219" s="100">
        <v>343</v>
      </c>
      <c r="B219" s="4" t="s">
        <v>55</v>
      </c>
      <c r="C219" s="4" t="s">
        <v>339</v>
      </c>
      <c r="D219" s="26" t="s">
        <v>770</v>
      </c>
      <c r="E219" s="373" t="e">
        <f>INDEX('PY1 Data(H)'!$A$1:$CZ$265,MATCH('Unit Data from Audit Worksheet'!$A219,'PY1 Data(H)'!$A$1:$A$258,0),MATCH('Unit Data from Audit Worksheet'!$D$2,'PY1 Data(H)'!$A$1:$CZ$1,0))</f>
        <v>#N/A</v>
      </c>
      <c r="F219" s="810">
        <v>0</v>
      </c>
      <c r="G219" s="403">
        <f>IF(F219&lt;0,"Error: Enter as positive.",)</f>
        <v>0</v>
      </c>
      <c r="H219" s="17"/>
      <c r="I219" s="72"/>
      <c r="J219" s="72"/>
      <c r="K219"/>
      <c r="L219" s="550"/>
      <c r="M219"/>
      <c r="N219" s="91"/>
      <c r="O219" s="1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row>
    <row r="220" spans="1:1881" ht="274.5" customHeight="1" x14ac:dyDescent="0.3">
      <c r="A220" s="100">
        <v>82</v>
      </c>
      <c r="B220" s="4" t="s">
        <v>60</v>
      </c>
      <c r="C220" s="4" t="s">
        <v>771</v>
      </c>
      <c r="D220" s="21" t="s">
        <v>454</v>
      </c>
      <c r="E220" s="373" t="e">
        <f>INDEX('PY1 Data(H)'!$A$1:$CZ$265,MATCH('Unit Data from Audit Worksheet'!$A220,'PY1 Data(H)'!$A$1:$A$258,0),MATCH('Unit Data from Audit Worksheet'!$D$2,'PY1 Data(H)'!$A$1:$CZ$1,0))</f>
        <v>#N/A</v>
      </c>
      <c r="F220" s="820">
        <v>0</v>
      </c>
      <c r="G220" s="403">
        <f>IF(F220&lt;0,"Error: Enter as positive.",)</f>
        <v>0</v>
      </c>
      <c r="H220" s="17"/>
      <c r="I220" s="426"/>
      <c r="J220" s="426"/>
      <c r="K220"/>
      <c r="L220" s="550"/>
    </row>
    <row r="221" spans="1:1881" ht="270.75" customHeight="1" x14ac:dyDescent="0.3">
      <c r="A221" s="100">
        <v>359</v>
      </c>
      <c r="B221" s="4" t="s">
        <v>55</v>
      </c>
      <c r="C221" s="4" t="s">
        <v>772</v>
      </c>
      <c r="D221" s="21" t="s">
        <v>454</v>
      </c>
      <c r="E221" s="373" t="e">
        <f>INDEX('PY1 Data(H)'!$A$1:$CZ$265,MATCH('Unit Data from Audit Worksheet'!$A221,'PY1 Data(H)'!$A$1:$A$258,0),MATCH('Unit Data from Audit Worksheet'!$D$2,'PY1 Data(H)'!$A$1:$CZ$1,0))</f>
        <v>#N/A</v>
      </c>
      <c r="F221" s="810">
        <v>0</v>
      </c>
      <c r="G221" s="403">
        <f>IF(F221&lt;0,"Error: Enter as positive.",)</f>
        <v>0</v>
      </c>
      <c r="H221" s="17"/>
      <c r="I221" s="426"/>
      <c r="J221" s="426"/>
      <c r="K221"/>
      <c r="L221" s="550"/>
    </row>
    <row r="222" spans="1:1881" s="428" customFormat="1" ht="33" customHeight="1" x14ac:dyDescent="0.3">
      <c r="A222" s="100"/>
      <c r="B222" s="749" t="s">
        <v>355</v>
      </c>
      <c r="C222" s="721"/>
      <c r="D222" s="89"/>
      <c r="E222" s="427"/>
      <c r="F222" s="415"/>
      <c r="G222" s="402"/>
      <c r="H222" s="17"/>
      <c r="I222" s="426"/>
      <c r="J222" s="426"/>
      <c r="K222"/>
      <c r="L222" s="550"/>
      <c r="M222"/>
      <c r="N222" s="18"/>
      <c r="O222" s="187"/>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28" customFormat="1" ht="110.25" customHeight="1" x14ac:dyDescent="0.3">
      <c r="A223" s="100">
        <v>622</v>
      </c>
      <c r="B223" s="429" t="s">
        <v>326</v>
      </c>
      <c r="C223" s="117" t="s">
        <v>354</v>
      </c>
      <c r="D223" s="116" t="s">
        <v>674</v>
      </c>
      <c r="E223" s="373" t="e">
        <f>INDEX('PY1 Data(H)'!$A$1:$CZ$265,MATCH('Unit Data from Audit Worksheet'!$A223,'PY1 Data(H)'!$A$1:$A$258,0),MATCH('Unit Data from Audit Worksheet'!$D$2,'PY1 Data(H)'!$A$1:$CZ$1,0))</f>
        <v>#N/A</v>
      </c>
      <c r="F223" s="820">
        <v>0</v>
      </c>
      <c r="G223" s="403"/>
      <c r="H223" s="17"/>
      <c r="I223" s="426"/>
      <c r="J223" s="426"/>
      <c r="K223"/>
      <c r="L223" s="550"/>
      <c r="M223"/>
      <c r="N223" s="18"/>
      <c r="O223" s="187"/>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28" customFormat="1" ht="191.4" customHeight="1" x14ac:dyDescent="0.3">
      <c r="A224" s="100">
        <v>577</v>
      </c>
      <c r="B224" s="429" t="s">
        <v>326</v>
      </c>
      <c r="C224" s="375" t="s">
        <v>298</v>
      </c>
      <c r="D224" s="228" t="s">
        <v>1532</v>
      </c>
      <c r="E224" s="531"/>
      <c r="F224" s="810"/>
      <c r="G224" s="533" t="str">
        <f>IF(F224="Yes","In this cell - Please include the name of the plan, a brief description of the benefit and the population group that received the benefits."," ")</f>
        <v xml:space="preserve"> </v>
      </c>
      <c r="H224" s="17"/>
      <c r="I224" s="426"/>
      <c r="J224" s="426"/>
      <c r="K224"/>
      <c r="L224" s="550"/>
      <c r="M224"/>
      <c r="N224" s="18"/>
      <c r="O224" s="187"/>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28" customFormat="1" ht="30.75" customHeight="1" x14ac:dyDescent="0.3">
      <c r="A225" s="100"/>
      <c r="B225" s="749" t="s">
        <v>286</v>
      </c>
      <c r="C225" s="721"/>
      <c r="D225" s="89"/>
      <c r="E225" s="427"/>
      <c r="F225" s="430"/>
      <c r="G225" s="402"/>
      <c r="H225" s="17"/>
      <c r="I225" s="72"/>
      <c r="J225" s="72"/>
      <c r="K225"/>
      <c r="L225" s="550"/>
      <c r="M225"/>
      <c r="N225" s="18"/>
      <c r="O225" s="187"/>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28" customFormat="1" ht="81.75" customHeight="1" x14ac:dyDescent="0.3">
      <c r="A226" s="100">
        <v>598</v>
      </c>
      <c r="B226" s="375" t="s">
        <v>58</v>
      </c>
      <c r="C226" s="375" t="s">
        <v>287</v>
      </c>
      <c r="D226" s="385" t="s">
        <v>340</v>
      </c>
      <c r="E226" s="373" t="e">
        <f>INDEX('PY1 Data(H)'!$A$1:$CZ$265,MATCH('Unit Data from Audit Worksheet'!$A226,'PY1 Data(H)'!$A$1:$A$258,0),MATCH('Unit Data from Audit Worksheet'!$D$2,'PY1 Data(H)'!$A$1:$CZ$1,0))</f>
        <v>#N/A</v>
      </c>
      <c r="F226" s="810">
        <v>0</v>
      </c>
      <c r="G226" s="403">
        <f>IF(F226&lt;0,"Error: Enter as positive.",)</f>
        <v>0</v>
      </c>
      <c r="H226" s="403"/>
      <c r="I226" s="426"/>
      <c r="J226" s="426"/>
      <c r="K226"/>
      <c r="L226" s="550"/>
      <c r="M226"/>
      <c r="N226" s="18"/>
      <c r="O226" s="187"/>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28" customFormat="1" ht="53.25" customHeight="1" x14ac:dyDescent="0.3">
      <c r="A227" s="100">
        <v>599</v>
      </c>
      <c r="B227" s="375" t="s">
        <v>58</v>
      </c>
      <c r="C227" s="375" t="s">
        <v>287</v>
      </c>
      <c r="D227" s="26" t="s">
        <v>341</v>
      </c>
      <c r="E227" s="373" t="e">
        <f>INDEX('PY1 Data(H)'!$A$1:$CZ$265,MATCH('Unit Data from Audit Worksheet'!$A227,'PY1 Data(H)'!$A$1:$A$258,0),MATCH('Unit Data from Audit Worksheet'!$D$2,'PY1 Data(H)'!$A$1:$CZ$1,0))</f>
        <v>#N/A</v>
      </c>
      <c r="F227" s="810">
        <v>0</v>
      </c>
      <c r="G227" s="432" t="str">
        <f>IF(ISBLANK(F227),"Please do not leave blank","")</f>
        <v/>
      </c>
      <c r="H227" s="403">
        <f>IF(F227&lt;0,"Error: Enter as positive.",)</f>
        <v>0</v>
      </c>
      <c r="I227" s="72"/>
      <c r="J227" s="72"/>
      <c r="K227"/>
      <c r="L227" s="550"/>
      <c r="M227"/>
      <c r="N227" s="18"/>
      <c r="O227" s="187"/>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s="428" customFormat="1" ht="78.75" customHeight="1" x14ac:dyDescent="0.3">
      <c r="A228" s="100">
        <v>602</v>
      </c>
      <c r="B228" s="375" t="s">
        <v>58</v>
      </c>
      <c r="C228" s="375" t="s">
        <v>287</v>
      </c>
      <c r="D228" s="99" t="s">
        <v>345</v>
      </c>
      <c r="E228" s="373" t="e">
        <f>INDEX('PY1 Data(H)'!$A$1:$CZ$265,MATCH('Unit Data from Audit Worksheet'!$A228,'PY1 Data(H)'!$A$1:$A$258,0),MATCH('Unit Data from Audit Worksheet'!$D$2,'PY1 Data(H)'!$A$1:$CZ$1,0))</f>
        <v>#N/A</v>
      </c>
      <c r="F228" s="810">
        <v>0</v>
      </c>
      <c r="G228" s="432" t="str">
        <f>IF(ISBLANK(F228),"Please do not leave blank","")</f>
        <v/>
      </c>
      <c r="H228" s="403">
        <f>IF(F228&lt;0,"Note: Number is normally positive.",)</f>
        <v>0</v>
      </c>
      <c r="I228" s="72"/>
      <c r="J228" s="72"/>
      <c r="K228"/>
      <c r="L228" s="550"/>
      <c r="M228"/>
      <c r="N228" s="18"/>
      <c r="O228" s="187"/>
      <c r="P228" s="18"/>
      <c r="Q228" s="18"/>
      <c r="R228" s="18"/>
      <c r="S228" s="18"/>
      <c r="T228" s="18"/>
      <c r="U228" s="18"/>
      <c r="V228" s="18"/>
      <c r="W228" s="18"/>
      <c r="X228" s="18"/>
      <c r="Y228" s="1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18"/>
      <c r="JH228" s="18"/>
      <c r="JI228" s="18"/>
      <c r="JJ228" s="18"/>
      <c r="JK228" s="18"/>
      <c r="JL228" s="18"/>
      <c r="JM228" s="18"/>
      <c r="JN228" s="18"/>
      <c r="JO228" s="18"/>
      <c r="JP228" s="18"/>
      <c r="JQ228" s="18"/>
      <c r="JR228" s="18"/>
      <c r="JS228" s="18"/>
      <c r="JT228" s="18"/>
      <c r="JU228" s="18"/>
      <c r="JV228" s="18"/>
      <c r="JW228" s="18"/>
      <c r="JX228" s="18"/>
      <c r="JY228" s="18"/>
      <c r="JZ228" s="18"/>
      <c r="KA228" s="18"/>
      <c r="KB228" s="18"/>
      <c r="KC228" s="18"/>
      <c r="KD228" s="18"/>
      <c r="KE228" s="18"/>
      <c r="KF228" s="18"/>
      <c r="KG228" s="18"/>
      <c r="KH228" s="18"/>
      <c r="KI228" s="18"/>
      <c r="KJ228" s="18"/>
      <c r="KK228" s="18"/>
      <c r="KL228" s="18"/>
      <c r="KM228" s="18"/>
      <c r="KN228" s="18"/>
      <c r="KO228" s="18"/>
      <c r="KP228" s="18"/>
      <c r="KQ228" s="18"/>
      <c r="KR228" s="18"/>
      <c r="KS228" s="18"/>
      <c r="KT228" s="18"/>
      <c r="KU228" s="18"/>
      <c r="KV228" s="18"/>
      <c r="KW228" s="18"/>
      <c r="KX228" s="18"/>
      <c r="KY228" s="18"/>
      <c r="KZ228" s="18"/>
      <c r="LA228" s="18"/>
      <c r="LB228" s="18"/>
      <c r="LC228" s="18"/>
      <c r="LD228" s="18"/>
      <c r="LE228" s="18"/>
      <c r="LF228" s="18"/>
      <c r="LG228" s="18"/>
      <c r="LH228" s="18"/>
      <c r="LI228" s="18"/>
      <c r="LJ228" s="18"/>
      <c r="LK228" s="18"/>
      <c r="LL228" s="18"/>
      <c r="LM228" s="18"/>
      <c r="LN228" s="18"/>
      <c r="LO228" s="18"/>
      <c r="LP228" s="18"/>
      <c r="LQ228" s="18"/>
      <c r="LR228" s="18"/>
      <c r="LS228" s="18"/>
      <c r="LT228" s="18"/>
      <c r="LU228" s="18"/>
      <c r="LV228" s="18"/>
      <c r="LW228" s="18"/>
      <c r="LX228" s="18"/>
      <c r="LY228" s="18"/>
      <c r="LZ228" s="18"/>
      <c r="MA228" s="18"/>
      <c r="MB228" s="18"/>
      <c r="MC228" s="18"/>
      <c r="MD228" s="18"/>
      <c r="ME228" s="18"/>
      <c r="MF228" s="18"/>
      <c r="MG228" s="18"/>
      <c r="MH228" s="18"/>
      <c r="MI228" s="18"/>
      <c r="MJ228" s="18"/>
      <c r="MK228" s="18"/>
      <c r="ML228" s="18"/>
      <c r="MM228" s="18"/>
      <c r="MN228" s="18"/>
      <c r="MO228" s="18"/>
      <c r="MP228" s="18"/>
      <c r="MQ228" s="18"/>
      <c r="MR228" s="18"/>
      <c r="MS228" s="18"/>
      <c r="MT228" s="18"/>
      <c r="MU228" s="18"/>
      <c r="MV228" s="18"/>
      <c r="MW228" s="18"/>
      <c r="MX228" s="18"/>
      <c r="MY228" s="18"/>
      <c r="MZ228" s="18"/>
      <c r="NA228" s="18"/>
      <c r="NB228" s="18"/>
      <c r="NC228" s="18"/>
      <c r="ND228" s="18"/>
      <c r="NE228" s="18"/>
      <c r="NF228" s="18"/>
      <c r="NG228" s="18"/>
      <c r="NH228" s="18"/>
      <c r="NI228" s="18"/>
      <c r="NJ228" s="18"/>
      <c r="NK228" s="18"/>
      <c r="NL228" s="18"/>
      <c r="NM228" s="18"/>
      <c r="NN228" s="18"/>
      <c r="NO228" s="18"/>
      <c r="NP228" s="18"/>
      <c r="NQ228" s="18"/>
      <c r="NR228" s="18"/>
      <c r="NS228" s="18"/>
      <c r="NT228" s="18"/>
      <c r="NU228" s="18"/>
      <c r="NV228" s="18"/>
      <c r="NW228" s="18"/>
      <c r="NX228" s="18"/>
      <c r="NY228" s="18"/>
      <c r="NZ228" s="18"/>
      <c r="OA228" s="18"/>
      <c r="OB228" s="18"/>
      <c r="OC228" s="18"/>
      <c r="OD228" s="18"/>
      <c r="OE228" s="18"/>
      <c r="OF228" s="18"/>
      <c r="OG228" s="18"/>
      <c r="OH228" s="18"/>
      <c r="OI228" s="18"/>
      <c r="OJ228" s="18"/>
      <c r="OK228" s="18"/>
      <c r="OL228" s="18"/>
      <c r="OM228" s="18"/>
      <c r="ON228" s="18"/>
      <c r="OO228" s="18"/>
      <c r="OP228" s="18"/>
      <c r="OQ228" s="18"/>
      <c r="OR228" s="18"/>
      <c r="OS228" s="18"/>
      <c r="OT228" s="18"/>
      <c r="OU228" s="18"/>
      <c r="OV228" s="18"/>
      <c r="OW228" s="18"/>
      <c r="OX228" s="18"/>
      <c r="OY228" s="18"/>
      <c r="OZ228" s="18"/>
      <c r="PA228" s="18"/>
      <c r="PB228" s="18"/>
      <c r="PC228" s="18"/>
      <c r="PD228" s="18"/>
      <c r="PE228" s="18"/>
      <c r="PF228" s="18"/>
      <c r="PG228" s="18"/>
      <c r="PH228" s="18"/>
      <c r="PI228" s="18"/>
      <c r="PJ228" s="18"/>
      <c r="PK228" s="18"/>
      <c r="PL228" s="18"/>
      <c r="PM228" s="18"/>
      <c r="PN228" s="18"/>
      <c r="PO228" s="18"/>
      <c r="PP228" s="18"/>
      <c r="PQ228" s="18"/>
      <c r="PR228" s="18"/>
      <c r="PS228" s="18"/>
      <c r="PT228" s="18"/>
      <c r="PU228" s="18"/>
      <c r="PV228" s="18"/>
      <c r="PW228" s="18"/>
      <c r="PX228" s="18"/>
      <c r="PY228" s="18"/>
      <c r="PZ228" s="18"/>
      <c r="QA228" s="18"/>
      <c r="QB228" s="18"/>
      <c r="QC228" s="18"/>
      <c r="QD228" s="18"/>
      <c r="QE228" s="18"/>
      <c r="QF228" s="18"/>
      <c r="QG228" s="18"/>
      <c r="QH228" s="18"/>
      <c r="QI228" s="18"/>
      <c r="QJ228" s="18"/>
      <c r="QK228" s="18"/>
      <c r="QL228" s="18"/>
      <c r="QM228" s="18"/>
      <c r="QN228" s="18"/>
      <c r="QO228" s="18"/>
      <c r="QP228" s="18"/>
      <c r="QQ228" s="18"/>
      <c r="QR228" s="18"/>
      <c r="QS228" s="18"/>
      <c r="QT228" s="18"/>
      <c r="QU228" s="18"/>
      <c r="QV228" s="18"/>
      <c r="QW228" s="18"/>
      <c r="QX228" s="18"/>
      <c r="QY228" s="18"/>
      <c r="QZ228" s="18"/>
      <c r="RA228" s="18"/>
      <c r="RB228" s="18"/>
      <c r="RC228" s="18"/>
      <c r="RD228" s="18"/>
      <c r="RE228" s="18"/>
      <c r="RF228" s="18"/>
      <c r="RG228" s="18"/>
      <c r="RH228" s="18"/>
      <c r="RI228" s="18"/>
      <c r="RJ228" s="18"/>
      <c r="RK228" s="18"/>
      <c r="RL228" s="18"/>
      <c r="RM228" s="18"/>
      <c r="RN228" s="18"/>
      <c r="RO228" s="18"/>
      <c r="RP228" s="18"/>
      <c r="RQ228" s="18"/>
      <c r="RR228" s="18"/>
      <c r="RS228" s="18"/>
      <c r="RT228" s="18"/>
      <c r="RU228" s="18"/>
      <c r="RV228" s="18"/>
      <c r="RW228" s="18"/>
      <c r="RX228" s="18"/>
      <c r="RY228" s="18"/>
      <c r="RZ228" s="18"/>
      <c r="SA228" s="18"/>
      <c r="SB228" s="18"/>
      <c r="SC228" s="18"/>
      <c r="SD228" s="18"/>
      <c r="SE228" s="18"/>
      <c r="SF228" s="18"/>
      <c r="SG228" s="18"/>
      <c r="SH228" s="18"/>
      <c r="SI228" s="18"/>
      <c r="SJ228" s="18"/>
      <c r="SK228" s="18"/>
      <c r="SL228" s="18"/>
      <c r="SM228" s="18"/>
      <c r="SN228" s="18"/>
      <c r="SO228" s="18"/>
      <c r="SP228" s="18"/>
      <c r="SQ228" s="18"/>
      <c r="SR228" s="18"/>
      <c r="SS228" s="18"/>
      <c r="ST228" s="18"/>
      <c r="SU228" s="18"/>
      <c r="SV228" s="18"/>
      <c r="SW228" s="18"/>
      <c r="SX228" s="18"/>
      <c r="SY228" s="18"/>
      <c r="SZ228" s="18"/>
      <c r="TA228" s="18"/>
      <c r="TB228" s="18"/>
      <c r="TC228" s="18"/>
      <c r="TD228" s="18"/>
      <c r="TE228" s="18"/>
      <c r="TF228" s="18"/>
      <c r="TG228" s="18"/>
      <c r="TH228" s="18"/>
      <c r="TI228" s="18"/>
      <c r="TJ228" s="18"/>
      <c r="TK228" s="18"/>
      <c r="TL228" s="18"/>
      <c r="TM228" s="18"/>
      <c r="TN228" s="18"/>
      <c r="TO228" s="18"/>
      <c r="TP228" s="18"/>
      <c r="TQ228" s="18"/>
      <c r="TR228" s="18"/>
      <c r="TS228" s="18"/>
      <c r="TT228" s="18"/>
      <c r="TU228" s="18"/>
      <c r="TV228" s="18"/>
      <c r="TW228" s="18"/>
      <c r="TX228" s="18"/>
      <c r="TY228" s="18"/>
      <c r="TZ228" s="18"/>
      <c r="UA228" s="18"/>
      <c r="UB228" s="18"/>
      <c r="UC228" s="18"/>
      <c r="UD228" s="18"/>
      <c r="UE228" s="18"/>
      <c r="UF228" s="18"/>
      <c r="UG228" s="18"/>
      <c r="UH228" s="18"/>
      <c r="UI228" s="18"/>
      <c r="UJ228" s="18"/>
      <c r="UK228" s="18"/>
      <c r="UL228" s="18"/>
      <c r="UM228" s="18"/>
      <c r="UN228" s="18"/>
      <c r="UO228" s="18"/>
      <c r="UP228" s="18"/>
      <c r="UQ228" s="18"/>
      <c r="UR228" s="18"/>
      <c r="US228" s="18"/>
      <c r="UT228" s="18"/>
      <c r="UU228" s="18"/>
      <c r="UV228" s="18"/>
      <c r="UW228" s="18"/>
      <c r="UX228" s="18"/>
      <c r="UY228" s="18"/>
      <c r="UZ228" s="18"/>
      <c r="VA228" s="18"/>
      <c r="VB228" s="18"/>
      <c r="VC228" s="18"/>
      <c r="VD228" s="18"/>
      <c r="VE228" s="18"/>
      <c r="VF228" s="18"/>
      <c r="VG228" s="18"/>
      <c r="VH228" s="18"/>
      <c r="VI228" s="18"/>
      <c r="VJ228" s="18"/>
      <c r="VK228" s="18"/>
      <c r="VL228" s="18"/>
      <c r="VM228" s="18"/>
      <c r="VN228" s="18"/>
      <c r="VO228" s="18"/>
      <c r="VP228" s="18"/>
      <c r="VQ228" s="18"/>
      <c r="VR228" s="18"/>
      <c r="VS228" s="18"/>
      <c r="VT228" s="18"/>
      <c r="VU228" s="18"/>
      <c r="VV228" s="18"/>
      <c r="VW228" s="18"/>
      <c r="VX228" s="18"/>
      <c r="VY228" s="18"/>
      <c r="VZ228" s="18"/>
      <c r="WA228" s="18"/>
      <c r="WB228" s="18"/>
      <c r="WC228" s="18"/>
      <c r="WD228" s="18"/>
      <c r="WE228" s="18"/>
      <c r="WF228" s="18"/>
      <c r="WG228" s="18"/>
      <c r="WH228" s="18"/>
      <c r="WI228" s="18"/>
      <c r="WJ228" s="18"/>
      <c r="WK228" s="18"/>
      <c r="WL228" s="18"/>
      <c r="WM228" s="18"/>
      <c r="WN228" s="18"/>
      <c r="WO228" s="18"/>
      <c r="WP228" s="18"/>
      <c r="WQ228" s="18"/>
      <c r="WR228" s="18"/>
      <c r="WS228" s="18"/>
      <c r="WT228" s="18"/>
      <c r="WU228" s="18"/>
      <c r="WV228" s="18"/>
      <c r="WW228" s="18"/>
      <c r="WX228" s="18"/>
      <c r="WY228" s="18"/>
      <c r="WZ228" s="18"/>
      <c r="XA228" s="18"/>
      <c r="XB228" s="18"/>
      <c r="XC228" s="18"/>
      <c r="XD228" s="18"/>
      <c r="XE228" s="18"/>
      <c r="XF228" s="18"/>
      <c r="XG228" s="18"/>
      <c r="XH228" s="18"/>
      <c r="XI228" s="18"/>
      <c r="XJ228" s="18"/>
      <c r="XK228" s="18"/>
      <c r="XL228" s="18"/>
      <c r="XM228" s="18"/>
      <c r="XN228" s="18"/>
      <c r="XO228" s="18"/>
      <c r="XP228" s="18"/>
      <c r="XQ228" s="18"/>
      <c r="XR228" s="18"/>
      <c r="XS228" s="18"/>
      <c r="XT228" s="18"/>
      <c r="XU228" s="18"/>
      <c r="XV228" s="18"/>
      <c r="XW228" s="18"/>
      <c r="XX228" s="18"/>
      <c r="XY228" s="18"/>
      <c r="XZ228" s="18"/>
      <c r="YA228" s="18"/>
      <c r="YB228" s="18"/>
      <c r="YC228" s="18"/>
      <c r="YD228" s="18"/>
      <c r="YE228" s="18"/>
      <c r="YF228" s="18"/>
      <c r="YG228" s="18"/>
      <c r="YH228" s="18"/>
      <c r="YI228" s="18"/>
      <c r="YJ228" s="18"/>
      <c r="YK228" s="18"/>
      <c r="YL228" s="18"/>
      <c r="YM228" s="18"/>
      <c r="YN228" s="18"/>
      <c r="YO228" s="18"/>
      <c r="YP228" s="18"/>
      <c r="YQ228" s="18"/>
      <c r="YR228" s="18"/>
      <c r="YS228" s="18"/>
      <c r="YT228" s="18"/>
      <c r="YU228" s="18"/>
      <c r="YV228" s="18"/>
      <c r="YW228" s="18"/>
      <c r="YX228" s="18"/>
      <c r="YY228" s="18"/>
      <c r="YZ228" s="18"/>
      <c r="ZA228" s="18"/>
      <c r="ZB228" s="18"/>
      <c r="ZC228" s="18"/>
      <c r="ZD228" s="18"/>
      <c r="ZE228" s="18"/>
      <c r="ZF228" s="18"/>
      <c r="ZG228" s="18"/>
      <c r="ZH228" s="18"/>
      <c r="ZI228" s="18"/>
      <c r="ZJ228" s="18"/>
      <c r="ZK228" s="18"/>
      <c r="ZL228" s="18"/>
      <c r="ZM228" s="18"/>
      <c r="ZN228" s="18"/>
      <c r="ZO228" s="18"/>
      <c r="ZP228" s="18"/>
      <c r="ZQ228" s="18"/>
      <c r="ZR228" s="18"/>
      <c r="ZS228" s="18"/>
      <c r="ZT228" s="18"/>
      <c r="ZU228" s="18"/>
      <c r="ZV228" s="18"/>
      <c r="ZW228" s="18"/>
      <c r="ZX228" s="18"/>
      <c r="ZY228" s="18"/>
      <c r="ZZ228" s="18"/>
      <c r="AAA228" s="18"/>
      <c r="AAB228" s="18"/>
      <c r="AAC228" s="18"/>
      <c r="AAD228" s="18"/>
      <c r="AAE228" s="18"/>
      <c r="AAF228" s="18"/>
      <c r="AAG228" s="18"/>
      <c r="AAH228" s="18"/>
      <c r="AAI228" s="18"/>
      <c r="AAJ228" s="18"/>
      <c r="AAK228" s="18"/>
      <c r="AAL228" s="18"/>
      <c r="AAM228" s="18"/>
      <c r="AAN228" s="18"/>
      <c r="AAO228" s="18"/>
      <c r="AAP228" s="18"/>
      <c r="AAQ228" s="18"/>
      <c r="AAR228" s="18"/>
      <c r="AAS228" s="18"/>
      <c r="AAT228" s="18"/>
      <c r="AAU228" s="18"/>
      <c r="AAV228" s="18"/>
      <c r="AAW228" s="18"/>
      <c r="AAX228" s="18"/>
      <c r="AAY228" s="18"/>
      <c r="AAZ228" s="18"/>
      <c r="ABA228" s="18"/>
      <c r="ABB228" s="18"/>
      <c r="ABC228" s="18"/>
      <c r="ABD228" s="18"/>
      <c r="ABE228" s="18"/>
      <c r="ABF228" s="18"/>
      <c r="ABG228" s="18"/>
      <c r="ABH228" s="18"/>
      <c r="ABI228" s="18"/>
      <c r="ABJ228" s="18"/>
      <c r="ABK228" s="18"/>
      <c r="ABL228" s="18"/>
      <c r="ABM228" s="18"/>
      <c r="ABN228" s="18"/>
      <c r="ABO228" s="18"/>
      <c r="ABP228" s="18"/>
      <c r="ABQ228" s="18"/>
      <c r="ABR228" s="18"/>
      <c r="ABS228" s="18"/>
      <c r="ABT228" s="18"/>
      <c r="ABU228" s="18"/>
      <c r="ABV228" s="18"/>
      <c r="ABW228" s="18"/>
      <c r="ABX228" s="18"/>
      <c r="ABY228" s="18"/>
      <c r="ABZ228" s="18"/>
      <c r="ACA228" s="18"/>
      <c r="ACB228" s="18"/>
      <c r="ACC228" s="18"/>
      <c r="ACD228" s="18"/>
      <c r="ACE228" s="18"/>
      <c r="ACF228" s="18"/>
      <c r="ACG228" s="18"/>
      <c r="ACH228" s="18"/>
      <c r="ACI228" s="18"/>
      <c r="ACJ228" s="18"/>
      <c r="ACK228" s="18"/>
      <c r="ACL228" s="18"/>
      <c r="ACM228" s="18"/>
      <c r="ACN228" s="18"/>
      <c r="ACO228" s="18"/>
      <c r="ACP228" s="18"/>
      <c r="ACQ228" s="18"/>
      <c r="ACR228" s="18"/>
      <c r="ACS228" s="18"/>
      <c r="ACT228" s="18"/>
      <c r="ACU228" s="18"/>
      <c r="ACV228" s="18"/>
      <c r="ACW228" s="18"/>
      <c r="ACX228" s="18"/>
      <c r="ACY228" s="18"/>
      <c r="ACZ228" s="18"/>
      <c r="ADA228" s="18"/>
      <c r="ADB228" s="18"/>
      <c r="ADC228" s="18"/>
      <c r="ADD228" s="18"/>
      <c r="ADE228" s="18"/>
      <c r="ADF228" s="18"/>
      <c r="ADG228" s="18"/>
      <c r="ADH228" s="18"/>
      <c r="ADI228" s="18"/>
      <c r="ADJ228" s="18"/>
      <c r="ADK228" s="18"/>
      <c r="ADL228" s="18"/>
      <c r="ADM228" s="18"/>
      <c r="ADN228" s="18"/>
      <c r="ADO228" s="18"/>
      <c r="ADP228" s="18"/>
      <c r="ADQ228" s="18"/>
      <c r="ADR228" s="18"/>
      <c r="ADS228" s="18"/>
      <c r="ADT228" s="18"/>
      <c r="ADU228" s="18"/>
      <c r="ADV228" s="18"/>
      <c r="ADW228" s="18"/>
      <c r="ADX228" s="18"/>
      <c r="ADY228" s="18"/>
      <c r="ADZ228" s="18"/>
      <c r="AEA228" s="18"/>
      <c r="AEB228" s="18"/>
      <c r="AEC228" s="18"/>
      <c r="AED228" s="18"/>
      <c r="AEE228" s="18"/>
      <c r="AEF228" s="18"/>
      <c r="AEG228" s="18"/>
      <c r="AEH228" s="18"/>
      <c r="AEI228" s="18"/>
      <c r="AEJ228" s="18"/>
      <c r="AEK228" s="18"/>
      <c r="AEL228" s="18"/>
      <c r="AEM228" s="18"/>
      <c r="AEN228" s="18"/>
      <c r="AEO228" s="18"/>
      <c r="AEP228" s="18"/>
      <c r="AEQ228" s="18"/>
      <c r="AER228" s="18"/>
      <c r="AES228" s="18"/>
      <c r="AET228" s="18"/>
      <c r="AEU228" s="18"/>
      <c r="AEV228" s="18"/>
      <c r="AEW228" s="18"/>
      <c r="AEX228" s="18"/>
      <c r="AEY228" s="18"/>
      <c r="AEZ228" s="18"/>
      <c r="AFA228" s="18"/>
      <c r="AFB228" s="18"/>
      <c r="AFC228" s="18"/>
      <c r="AFD228" s="18"/>
      <c r="AFE228" s="18"/>
      <c r="AFF228" s="18"/>
      <c r="AFG228" s="18"/>
      <c r="AFH228" s="18"/>
      <c r="AFI228" s="18"/>
      <c r="AFJ228" s="18"/>
      <c r="AFK228" s="18"/>
      <c r="AFL228" s="18"/>
      <c r="AFM228" s="18"/>
      <c r="AFN228" s="18"/>
      <c r="AFO228" s="18"/>
      <c r="AFP228" s="18"/>
      <c r="AFQ228" s="18"/>
      <c r="AFR228" s="18"/>
      <c r="AFS228" s="18"/>
      <c r="AFT228" s="18"/>
      <c r="AFU228" s="18"/>
      <c r="AFV228" s="18"/>
      <c r="AFW228" s="18"/>
      <c r="AFX228" s="18"/>
      <c r="AFY228" s="18"/>
      <c r="AFZ228" s="18"/>
      <c r="AGA228" s="18"/>
      <c r="AGB228" s="18"/>
      <c r="AGC228" s="18"/>
      <c r="AGD228" s="18"/>
      <c r="AGE228" s="18"/>
      <c r="AGF228" s="18"/>
      <c r="AGG228" s="18"/>
      <c r="AGH228" s="18"/>
      <c r="AGI228" s="18"/>
      <c r="AGJ228" s="18"/>
      <c r="AGK228" s="18"/>
      <c r="AGL228" s="18"/>
      <c r="AGM228" s="18"/>
      <c r="AGN228" s="18"/>
      <c r="AGO228" s="18"/>
      <c r="AGP228" s="18"/>
      <c r="AGQ228" s="18"/>
      <c r="AGR228" s="18"/>
      <c r="AGS228" s="18"/>
      <c r="AGT228" s="18"/>
      <c r="AGU228" s="18"/>
      <c r="AGV228" s="18"/>
      <c r="AGW228" s="18"/>
      <c r="AGX228" s="18"/>
      <c r="AGY228" s="18"/>
      <c r="AGZ228" s="18"/>
      <c r="AHA228" s="18"/>
      <c r="AHB228" s="18"/>
      <c r="AHC228" s="18"/>
      <c r="AHD228" s="18"/>
      <c r="AHE228" s="18"/>
      <c r="AHF228" s="18"/>
      <c r="AHG228" s="18"/>
      <c r="AHH228" s="18"/>
      <c r="AHI228" s="18"/>
      <c r="AHJ228" s="18"/>
      <c r="AHK228" s="18"/>
      <c r="AHL228" s="18"/>
      <c r="AHM228" s="18"/>
      <c r="AHN228" s="18"/>
      <c r="AHO228" s="18"/>
      <c r="AHP228" s="18"/>
      <c r="AHQ228" s="18"/>
      <c r="AHR228" s="18"/>
      <c r="AHS228" s="18"/>
      <c r="AHT228" s="18"/>
      <c r="AHU228" s="18"/>
      <c r="AHV228" s="18"/>
      <c r="AHW228" s="18"/>
      <c r="AHX228" s="18"/>
      <c r="AHY228" s="18"/>
      <c r="AHZ228" s="18"/>
      <c r="AIA228" s="18"/>
      <c r="AIB228" s="18"/>
      <c r="AIC228" s="18"/>
      <c r="AID228" s="18"/>
      <c r="AIE228" s="18"/>
      <c r="AIF228" s="18"/>
      <c r="AIG228" s="18"/>
      <c r="AIH228" s="18"/>
      <c r="AII228" s="18"/>
      <c r="AIJ228" s="18"/>
      <c r="AIK228" s="18"/>
      <c r="AIL228" s="18"/>
      <c r="AIM228" s="18"/>
      <c r="AIN228" s="18"/>
      <c r="AIO228" s="18"/>
      <c r="AIP228" s="18"/>
      <c r="AIQ228" s="18"/>
      <c r="AIR228" s="18"/>
      <c r="AIS228" s="18"/>
      <c r="AIT228" s="18"/>
      <c r="AIU228" s="18"/>
      <c r="AIV228" s="18"/>
      <c r="AIW228" s="18"/>
      <c r="AIX228" s="18"/>
      <c r="AIY228" s="18"/>
      <c r="AIZ228" s="18"/>
      <c r="AJA228" s="18"/>
      <c r="AJB228" s="18"/>
      <c r="AJC228" s="18"/>
      <c r="AJD228" s="18"/>
      <c r="AJE228" s="18"/>
      <c r="AJF228" s="18"/>
      <c r="AJG228" s="18"/>
      <c r="AJH228" s="18"/>
      <c r="AJI228" s="18"/>
      <c r="AJJ228" s="18"/>
      <c r="AJK228" s="18"/>
      <c r="AJL228" s="18"/>
      <c r="AJM228" s="18"/>
      <c r="AJN228" s="18"/>
      <c r="AJO228" s="18"/>
      <c r="AJP228" s="18"/>
      <c r="AJQ228" s="18"/>
      <c r="AJR228" s="18"/>
      <c r="AJS228" s="18"/>
      <c r="AJT228" s="18"/>
      <c r="AJU228" s="18"/>
      <c r="AJV228" s="18"/>
      <c r="AJW228" s="18"/>
      <c r="AJX228" s="18"/>
      <c r="AJY228" s="18"/>
      <c r="AJZ228" s="18"/>
      <c r="AKA228" s="18"/>
      <c r="AKB228" s="18"/>
      <c r="AKC228" s="18"/>
      <c r="AKD228" s="18"/>
      <c r="AKE228" s="18"/>
      <c r="AKF228" s="18"/>
      <c r="AKG228" s="18"/>
      <c r="AKH228" s="18"/>
      <c r="AKI228" s="18"/>
      <c r="AKJ228" s="18"/>
      <c r="AKK228" s="18"/>
      <c r="AKL228" s="18"/>
      <c r="AKM228" s="18"/>
      <c r="AKN228" s="18"/>
      <c r="AKO228" s="18"/>
      <c r="AKP228" s="18"/>
      <c r="AKQ228" s="18"/>
      <c r="AKR228" s="18"/>
      <c r="AKS228" s="18"/>
      <c r="AKT228" s="18"/>
      <c r="AKU228" s="18"/>
      <c r="AKV228" s="18"/>
      <c r="AKW228" s="18"/>
      <c r="AKX228" s="18"/>
      <c r="AKY228" s="18"/>
      <c r="AKZ228" s="18"/>
      <c r="ALA228" s="18"/>
      <c r="ALB228" s="18"/>
      <c r="ALC228" s="18"/>
      <c r="ALD228" s="18"/>
      <c r="ALE228" s="18"/>
      <c r="ALF228" s="18"/>
      <c r="ALG228" s="18"/>
      <c r="ALH228" s="18"/>
      <c r="ALI228" s="18"/>
      <c r="ALJ228" s="18"/>
      <c r="ALK228" s="18"/>
      <c r="ALL228" s="18"/>
      <c r="ALM228" s="18"/>
      <c r="ALN228" s="18"/>
      <c r="ALO228" s="18"/>
      <c r="ALP228" s="18"/>
      <c r="ALQ228" s="18"/>
      <c r="ALR228" s="18"/>
      <c r="ALS228" s="18"/>
      <c r="ALT228" s="18"/>
      <c r="ALU228" s="18"/>
      <c r="ALV228" s="18"/>
      <c r="ALW228" s="18"/>
      <c r="ALX228" s="18"/>
      <c r="ALY228" s="18"/>
      <c r="ALZ228" s="18"/>
      <c r="AMA228" s="18"/>
      <c r="AMB228" s="18"/>
      <c r="AMC228" s="18"/>
      <c r="AMD228" s="18"/>
      <c r="AME228" s="18"/>
      <c r="AMF228" s="18"/>
      <c r="AMG228" s="18"/>
      <c r="AMH228" s="18"/>
      <c r="AMI228" s="18"/>
      <c r="AMJ228" s="18"/>
      <c r="AMK228" s="18"/>
      <c r="AML228" s="18"/>
      <c r="AMM228" s="18"/>
      <c r="AMN228" s="18"/>
      <c r="AMO228" s="18"/>
      <c r="AMP228" s="18"/>
      <c r="AMQ228" s="18"/>
      <c r="AMR228" s="18"/>
      <c r="AMS228" s="18"/>
      <c r="AMT228" s="18"/>
      <c r="AMU228" s="18"/>
      <c r="AMV228" s="18"/>
      <c r="AMW228" s="18"/>
      <c r="AMX228" s="18"/>
      <c r="AMY228" s="18"/>
      <c r="AMZ228" s="18"/>
      <c r="ANA228" s="18"/>
      <c r="ANB228" s="18"/>
      <c r="ANC228" s="18"/>
      <c r="AND228" s="18"/>
      <c r="ANE228" s="18"/>
      <c r="ANF228" s="18"/>
      <c r="ANG228" s="18"/>
      <c r="ANH228" s="18"/>
      <c r="ANI228" s="18"/>
      <c r="ANJ228" s="18"/>
      <c r="ANK228" s="18"/>
      <c r="ANL228" s="18"/>
      <c r="ANM228" s="18"/>
      <c r="ANN228" s="18"/>
      <c r="ANO228" s="18"/>
      <c r="ANP228" s="18"/>
      <c r="ANQ228" s="18"/>
      <c r="ANR228" s="18"/>
      <c r="ANS228" s="18"/>
      <c r="ANT228" s="18"/>
      <c r="ANU228" s="18"/>
      <c r="ANV228" s="18"/>
      <c r="ANW228" s="18"/>
      <c r="ANX228" s="18"/>
      <c r="ANY228" s="18"/>
      <c r="ANZ228" s="18"/>
      <c r="AOA228" s="18"/>
      <c r="AOB228" s="18"/>
      <c r="AOC228" s="18"/>
      <c r="AOD228" s="18"/>
      <c r="AOE228" s="18"/>
      <c r="AOF228" s="18"/>
      <c r="AOG228" s="18"/>
      <c r="AOH228" s="18"/>
      <c r="AOI228" s="18"/>
      <c r="AOJ228" s="18"/>
      <c r="AOK228" s="18"/>
      <c r="AOL228" s="18"/>
      <c r="AOM228" s="18"/>
      <c r="AON228" s="18"/>
      <c r="AOO228" s="18"/>
      <c r="AOP228" s="18"/>
      <c r="AOQ228" s="18"/>
      <c r="AOR228" s="18"/>
      <c r="AOS228" s="18"/>
      <c r="AOT228" s="18"/>
      <c r="AOU228" s="18"/>
      <c r="AOV228" s="18"/>
      <c r="AOW228" s="18"/>
      <c r="AOX228" s="18"/>
      <c r="AOY228" s="18"/>
      <c r="AOZ228" s="18"/>
      <c r="APA228" s="18"/>
      <c r="APB228" s="18"/>
      <c r="APC228" s="18"/>
      <c r="APD228" s="18"/>
      <c r="APE228" s="18"/>
      <c r="APF228" s="18"/>
      <c r="APG228" s="18"/>
      <c r="APH228" s="18"/>
      <c r="API228" s="18"/>
      <c r="APJ228" s="18"/>
      <c r="APK228" s="18"/>
      <c r="APL228" s="18"/>
      <c r="APM228" s="18"/>
      <c r="APN228" s="18"/>
      <c r="APO228" s="18"/>
      <c r="APP228" s="18"/>
      <c r="APQ228" s="18"/>
      <c r="APR228" s="18"/>
      <c r="APS228" s="18"/>
      <c r="APT228" s="18"/>
      <c r="APU228" s="18"/>
      <c r="APV228" s="18"/>
      <c r="APW228" s="18"/>
      <c r="APX228" s="18"/>
      <c r="APY228" s="18"/>
      <c r="APZ228" s="18"/>
      <c r="AQA228" s="18"/>
      <c r="AQB228" s="18"/>
      <c r="AQC228" s="18"/>
      <c r="AQD228" s="18"/>
      <c r="AQE228" s="18"/>
      <c r="AQF228" s="18"/>
      <c r="AQG228" s="18"/>
      <c r="AQH228" s="18"/>
      <c r="AQI228" s="18"/>
      <c r="AQJ228" s="18"/>
      <c r="AQK228" s="18"/>
      <c r="AQL228" s="18"/>
      <c r="AQM228" s="18"/>
      <c r="AQN228" s="18"/>
      <c r="AQO228" s="18"/>
      <c r="AQP228" s="18"/>
      <c r="AQQ228" s="18"/>
      <c r="AQR228" s="18"/>
      <c r="AQS228" s="18"/>
      <c r="AQT228" s="18"/>
      <c r="AQU228" s="18"/>
      <c r="AQV228" s="18"/>
      <c r="AQW228" s="18"/>
      <c r="AQX228" s="18"/>
      <c r="AQY228" s="18"/>
      <c r="AQZ228" s="18"/>
      <c r="ARA228" s="18"/>
      <c r="ARB228" s="18"/>
      <c r="ARC228" s="18"/>
      <c r="ARD228" s="18"/>
      <c r="ARE228" s="18"/>
      <c r="ARF228" s="18"/>
      <c r="ARG228" s="18"/>
      <c r="ARH228" s="18"/>
      <c r="ARI228" s="18"/>
      <c r="ARJ228" s="18"/>
      <c r="ARK228" s="18"/>
      <c r="ARL228" s="18"/>
      <c r="ARM228" s="18"/>
      <c r="ARN228" s="18"/>
      <c r="ARO228" s="18"/>
      <c r="ARP228" s="18"/>
      <c r="ARQ228" s="18"/>
      <c r="ARR228" s="18"/>
      <c r="ARS228" s="18"/>
      <c r="ART228" s="18"/>
      <c r="ARU228" s="18"/>
      <c r="ARV228" s="18"/>
      <c r="ARW228" s="18"/>
      <c r="ARX228" s="18"/>
      <c r="ARY228" s="18"/>
      <c r="ARZ228" s="18"/>
      <c r="ASA228" s="18"/>
      <c r="ASB228" s="18"/>
      <c r="ASC228" s="18"/>
      <c r="ASD228" s="18"/>
      <c r="ASE228" s="18"/>
      <c r="ASF228" s="18"/>
      <c r="ASG228" s="18"/>
      <c r="ASH228" s="18"/>
      <c r="ASI228" s="18"/>
      <c r="ASJ228" s="18"/>
      <c r="ASK228" s="18"/>
      <c r="ASL228" s="18"/>
      <c r="ASM228" s="18"/>
      <c r="ASN228" s="18"/>
      <c r="ASO228" s="18"/>
      <c r="ASP228" s="18"/>
      <c r="ASQ228" s="18"/>
      <c r="ASR228" s="18"/>
      <c r="ASS228" s="18"/>
      <c r="AST228" s="18"/>
      <c r="ASU228" s="18"/>
      <c r="ASV228" s="18"/>
      <c r="ASW228" s="18"/>
      <c r="ASX228" s="18"/>
      <c r="ASY228" s="18"/>
      <c r="ASZ228" s="18"/>
      <c r="ATA228" s="18"/>
      <c r="ATB228" s="18"/>
      <c r="ATC228" s="18"/>
      <c r="ATD228" s="18"/>
      <c r="ATE228" s="18"/>
      <c r="ATF228" s="18"/>
      <c r="ATG228" s="18"/>
      <c r="ATH228" s="18"/>
      <c r="ATI228" s="18"/>
      <c r="ATJ228" s="18"/>
      <c r="ATK228" s="18"/>
      <c r="ATL228" s="18"/>
      <c r="ATM228" s="18"/>
      <c r="ATN228" s="18"/>
      <c r="ATO228" s="18"/>
      <c r="ATP228" s="18"/>
      <c r="ATQ228" s="18"/>
      <c r="ATR228" s="18"/>
      <c r="ATS228" s="18"/>
      <c r="ATT228" s="18"/>
      <c r="ATU228" s="18"/>
      <c r="ATV228" s="18"/>
      <c r="ATW228" s="18"/>
      <c r="ATX228" s="18"/>
      <c r="ATY228" s="18"/>
      <c r="ATZ228" s="18"/>
      <c r="AUA228" s="18"/>
      <c r="AUB228" s="18"/>
      <c r="AUC228" s="18"/>
      <c r="AUD228" s="18"/>
      <c r="AUE228" s="18"/>
      <c r="AUF228" s="18"/>
      <c r="AUG228" s="18"/>
      <c r="AUH228" s="18"/>
      <c r="AUI228" s="18"/>
      <c r="AUJ228" s="18"/>
      <c r="AUK228" s="18"/>
      <c r="AUL228" s="18"/>
      <c r="AUM228" s="18"/>
      <c r="AUN228" s="18"/>
      <c r="AUO228" s="18"/>
      <c r="AUP228" s="18"/>
      <c r="AUQ228" s="18"/>
      <c r="AUR228" s="18"/>
      <c r="AUS228" s="18"/>
      <c r="AUT228" s="18"/>
      <c r="AUU228" s="18"/>
      <c r="AUV228" s="18"/>
      <c r="AUW228" s="18"/>
      <c r="AUX228" s="18"/>
      <c r="AUY228" s="18"/>
      <c r="AUZ228" s="18"/>
      <c r="AVA228" s="18"/>
      <c r="AVB228" s="18"/>
      <c r="AVC228" s="18"/>
      <c r="AVD228" s="18"/>
      <c r="AVE228" s="18"/>
      <c r="AVF228" s="18"/>
      <c r="AVG228" s="18"/>
      <c r="AVH228" s="18"/>
      <c r="AVI228" s="18"/>
      <c r="AVJ228" s="18"/>
      <c r="AVK228" s="18"/>
      <c r="AVL228" s="18"/>
      <c r="AVM228" s="18"/>
      <c r="AVN228" s="18"/>
      <c r="AVO228" s="18"/>
      <c r="AVP228" s="18"/>
      <c r="AVQ228" s="18"/>
      <c r="AVR228" s="18"/>
      <c r="AVS228" s="18"/>
      <c r="AVT228" s="18"/>
      <c r="AVU228" s="18"/>
      <c r="AVV228" s="18"/>
      <c r="AVW228" s="18"/>
      <c r="AVX228" s="18"/>
      <c r="AVY228" s="18"/>
      <c r="AVZ228" s="18"/>
      <c r="AWA228" s="18"/>
      <c r="AWB228" s="18"/>
      <c r="AWC228" s="18"/>
      <c r="AWD228" s="18"/>
      <c r="AWE228" s="18"/>
      <c r="AWF228" s="18"/>
      <c r="AWG228" s="18"/>
      <c r="AWH228" s="18"/>
      <c r="AWI228" s="18"/>
      <c r="AWJ228" s="18"/>
      <c r="AWK228" s="18"/>
      <c r="AWL228" s="18"/>
      <c r="AWM228" s="18"/>
      <c r="AWN228" s="18"/>
      <c r="AWO228" s="18"/>
      <c r="AWP228" s="18"/>
      <c r="AWQ228" s="18"/>
      <c r="AWR228" s="18"/>
      <c r="AWS228" s="18"/>
      <c r="AWT228" s="18"/>
      <c r="AWU228" s="18"/>
      <c r="AWV228" s="18"/>
      <c r="AWW228" s="18"/>
      <c r="AWX228" s="18"/>
      <c r="AWY228" s="18"/>
      <c r="AWZ228" s="18"/>
      <c r="AXA228" s="18"/>
      <c r="AXB228" s="18"/>
      <c r="AXC228" s="18"/>
      <c r="AXD228" s="18"/>
      <c r="AXE228" s="18"/>
      <c r="AXF228" s="18"/>
      <c r="AXG228" s="18"/>
      <c r="AXH228" s="18"/>
      <c r="AXI228" s="18"/>
      <c r="AXJ228" s="18"/>
      <c r="AXK228" s="18"/>
      <c r="AXL228" s="18"/>
      <c r="AXM228" s="18"/>
      <c r="AXN228" s="18"/>
      <c r="AXO228" s="18"/>
      <c r="AXP228" s="18"/>
      <c r="AXQ228" s="18"/>
      <c r="AXR228" s="18"/>
      <c r="AXS228" s="18"/>
      <c r="AXT228" s="18"/>
      <c r="AXU228" s="18"/>
      <c r="AXV228" s="18"/>
      <c r="AXW228" s="18"/>
      <c r="AXX228" s="18"/>
      <c r="AXY228" s="18"/>
      <c r="AXZ228" s="18"/>
      <c r="AYA228" s="18"/>
      <c r="AYB228" s="18"/>
      <c r="AYC228" s="18"/>
      <c r="AYD228" s="18"/>
      <c r="AYE228" s="18"/>
      <c r="AYF228" s="18"/>
      <c r="AYG228" s="18"/>
      <c r="AYH228" s="18"/>
      <c r="AYI228" s="18"/>
      <c r="AYJ228" s="18"/>
      <c r="AYK228" s="18"/>
      <c r="AYL228" s="18"/>
      <c r="AYM228" s="18"/>
      <c r="AYN228" s="18"/>
      <c r="AYO228" s="18"/>
      <c r="AYP228" s="18"/>
      <c r="AYQ228" s="18"/>
      <c r="AYR228" s="18"/>
      <c r="AYS228" s="18"/>
      <c r="AYT228" s="18"/>
      <c r="AYU228" s="18"/>
      <c r="AYV228" s="18"/>
      <c r="AYW228" s="18"/>
      <c r="AYX228" s="18"/>
      <c r="AYY228" s="18"/>
      <c r="AYZ228" s="18"/>
      <c r="AZA228" s="18"/>
      <c r="AZB228" s="18"/>
      <c r="AZC228" s="18"/>
      <c r="AZD228" s="18"/>
      <c r="AZE228" s="18"/>
      <c r="AZF228" s="18"/>
      <c r="AZG228" s="18"/>
      <c r="AZH228" s="18"/>
      <c r="AZI228" s="18"/>
      <c r="AZJ228" s="18"/>
      <c r="AZK228" s="18"/>
      <c r="AZL228" s="18"/>
      <c r="AZM228" s="18"/>
      <c r="AZN228" s="18"/>
      <c r="AZO228" s="18"/>
      <c r="AZP228" s="18"/>
      <c r="AZQ228" s="18"/>
      <c r="AZR228" s="18"/>
      <c r="AZS228" s="18"/>
      <c r="AZT228" s="18"/>
      <c r="AZU228" s="18"/>
      <c r="AZV228" s="18"/>
      <c r="AZW228" s="18"/>
      <c r="AZX228" s="18"/>
      <c r="AZY228" s="18"/>
      <c r="AZZ228" s="18"/>
      <c r="BAA228" s="18"/>
      <c r="BAB228" s="18"/>
      <c r="BAC228" s="18"/>
      <c r="BAD228" s="18"/>
      <c r="BAE228" s="18"/>
      <c r="BAF228" s="18"/>
      <c r="BAG228" s="18"/>
      <c r="BAH228" s="18"/>
      <c r="BAI228" s="18"/>
      <c r="BAJ228" s="18"/>
      <c r="BAK228" s="18"/>
      <c r="BAL228" s="18"/>
      <c r="BAM228" s="18"/>
      <c r="BAN228" s="18"/>
      <c r="BAO228" s="18"/>
      <c r="BAP228" s="18"/>
      <c r="BAQ228" s="18"/>
      <c r="BAR228" s="18"/>
      <c r="BAS228" s="18"/>
      <c r="BAT228" s="18"/>
      <c r="BAU228" s="18"/>
      <c r="BAV228" s="18"/>
      <c r="BAW228" s="18"/>
      <c r="BAX228" s="18"/>
      <c r="BAY228" s="18"/>
      <c r="BAZ228" s="18"/>
      <c r="BBA228" s="18"/>
      <c r="BBB228" s="18"/>
      <c r="BBC228" s="18"/>
      <c r="BBD228" s="18"/>
      <c r="BBE228" s="18"/>
      <c r="BBF228" s="18"/>
      <c r="BBG228" s="18"/>
      <c r="BBH228" s="18"/>
      <c r="BBI228" s="18"/>
      <c r="BBJ228" s="18"/>
      <c r="BBK228" s="18"/>
      <c r="BBL228" s="18"/>
      <c r="BBM228" s="18"/>
      <c r="BBN228" s="18"/>
      <c r="BBO228" s="18"/>
      <c r="BBP228" s="18"/>
      <c r="BBQ228" s="18"/>
      <c r="BBR228" s="18"/>
      <c r="BBS228" s="18"/>
      <c r="BBT228" s="18"/>
      <c r="BBU228" s="18"/>
      <c r="BBV228" s="18"/>
      <c r="BBW228" s="18"/>
      <c r="BBX228" s="18"/>
      <c r="BBY228" s="18"/>
      <c r="BBZ228" s="18"/>
      <c r="BCA228" s="18"/>
      <c r="BCB228" s="18"/>
      <c r="BCC228" s="18"/>
      <c r="BCD228" s="18"/>
      <c r="BCE228" s="18"/>
      <c r="BCF228" s="18"/>
      <c r="BCG228" s="18"/>
      <c r="BCH228" s="18"/>
      <c r="BCI228" s="18"/>
      <c r="BCJ228" s="18"/>
      <c r="BCK228" s="18"/>
      <c r="BCL228" s="18"/>
      <c r="BCM228" s="18"/>
      <c r="BCN228" s="18"/>
      <c r="BCO228" s="18"/>
      <c r="BCP228" s="18"/>
      <c r="BCQ228" s="18"/>
      <c r="BCR228" s="18"/>
      <c r="BCS228" s="18"/>
      <c r="BCT228" s="18"/>
      <c r="BCU228" s="18"/>
      <c r="BCV228" s="18"/>
      <c r="BCW228" s="18"/>
      <c r="BCX228" s="18"/>
      <c r="BCY228" s="18"/>
      <c r="BCZ228" s="18"/>
      <c r="BDA228" s="18"/>
      <c r="BDB228" s="18"/>
      <c r="BDC228" s="18"/>
      <c r="BDD228" s="18"/>
      <c r="BDE228" s="18"/>
      <c r="BDF228" s="18"/>
      <c r="BDG228" s="18"/>
      <c r="BDH228" s="18"/>
      <c r="BDI228" s="18"/>
      <c r="BDJ228" s="18"/>
      <c r="BDK228" s="18"/>
      <c r="BDL228" s="18"/>
      <c r="BDM228" s="18"/>
      <c r="BDN228" s="18"/>
      <c r="BDO228" s="18"/>
      <c r="BDP228" s="18"/>
      <c r="BDQ228" s="18"/>
      <c r="BDR228" s="18"/>
      <c r="BDS228" s="18"/>
      <c r="BDT228" s="18"/>
      <c r="BDU228" s="18"/>
      <c r="BDV228" s="18"/>
      <c r="BDW228" s="18"/>
      <c r="BDX228" s="18"/>
      <c r="BDY228" s="18"/>
      <c r="BDZ228" s="18"/>
      <c r="BEA228" s="18"/>
      <c r="BEB228" s="18"/>
      <c r="BEC228" s="18"/>
      <c r="BED228" s="18"/>
      <c r="BEE228" s="18"/>
      <c r="BEF228" s="18"/>
      <c r="BEG228" s="18"/>
      <c r="BEH228" s="18"/>
      <c r="BEI228" s="18"/>
      <c r="BEJ228" s="18"/>
      <c r="BEK228" s="18"/>
      <c r="BEL228" s="18"/>
      <c r="BEM228" s="18"/>
      <c r="BEN228" s="18"/>
      <c r="BEO228" s="18"/>
      <c r="BEP228" s="18"/>
      <c r="BEQ228" s="18"/>
      <c r="BER228" s="18"/>
      <c r="BES228" s="18"/>
      <c r="BET228" s="18"/>
      <c r="BEU228" s="18"/>
      <c r="BEV228" s="18"/>
      <c r="BEW228" s="18"/>
      <c r="BEX228" s="18"/>
      <c r="BEY228" s="18"/>
      <c r="BEZ228" s="18"/>
      <c r="BFA228" s="18"/>
      <c r="BFB228" s="18"/>
      <c r="BFC228" s="18"/>
      <c r="BFD228" s="18"/>
      <c r="BFE228" s="18"/>
      <c r="BFF228" s="18"/>
      <c r="BFG228" s="18"/>
      <c r="BFH228" s="18"/>
      <c r="BFI228" s="18"/>
      <c r="BFJ228" s="18"/>
      <c r="BFK228" s="18"/>
      <c r="BFL228" s="18"/>
      <c r="BFM228" s="18"/>
      <c r="BFN228" s="18"/>
      <c r="BFO228" s="18"/>
      <c r="BFP228" s="18"/>
      <c r="BFQ228" s="18"/>
      <c r="BFR228" s="18"/>
      <c r="BFS228" s="18"/>
      <c r="BFT228" s="18"/>
      <c r="BFU228" s="18"/>
      <c r="BFV228" s="18"/>
      <c r="BFW228" s="18"/>
      <c r="BFX228" s="18"/>
      <c r="BFY228" s="18"/>
      <c r="BFZ228" s="18"/>
      <c r="BGA228" s="18"/>
      <c r="BGB228" s="18"/>
      <c r="BGC228" s="18"/>
      <c r="BGD228" s="18"/>
      <c r="BGE228" s="18"/>
      <c r="BGF228" s="18"/>
      <c r="BGG228" s="18"/>
      <c r="BGH228" s="18"/>
      <c r="BGI228" s="18"/>
      <c r="BGJ228" s="18"/>
      <c r="BGK228" s="18"/>
      <c r="BGL228" s="18"/>
      <c r="BGM228" s="18"/>
      <c r="BGN228" s="18"/>
      <c r="BGO228" s="18"/>
      <c r="BGP228" s="18"/>
      <c r="BGQ228" s="18"/>
      <c r="BGR228" s="18"/>
      <c r="BGS228" s="18"/>
      <c r="BGT228" s="18"/>
      <c r="BGU228" s="18"/>
      <c r="BGV228" s="18"/>
      <c r="BGW228" s="18"/>
      <c r="BGX228" s="18"/>
      <c r="BGY228" s="18"/>
      <c r="BGZ228" s="18"/>
      <c r="BHA228" s="18"/>
      <c r="BHB228" s="18"/>
      <c r="BHC228" s="18"/>
      <c r="BHD228" s="18"/>
      <c r="BHE228" s="18"/>
      <c r="BHF228" s="18"/>
      <c r="BHG228" s="18"/>
      <c r="BHH228" s="18"/>
      <c r="BHI228" s="18"/>
      <c r="BHJ228" s="18"/>
      <c r="BHK228" s="18"/>
      <c r="BHL228" s="18"/>
      <c r="BHM228" s="18"/>
      <c r="BHN228" s="18"/>
      <c r="BHO228" s="18"/>
      <c r="BHP228" s="18"/>
      <c r="BHQ228" s="18"/>
      <c r="BHR228" s="18"/>
      <c r="BHS228" s="18"/>
      <c r="BHT228" s="18"/>
      <c r="BHU228" s="18"/>
      <c r="BHV228" s="18"/>
      <c r="BHW228" s="18"/>
      <c r="BHX228" s="18"/>
      <c r="BHY228" s="18"/>
      <c r="BHZ228" s="18"/>
      <c r="BIA228" s="18"/>
      <c r="BIB228" s="18"/>
      <c r="BIC228" s="18"/>
      <c r="BID228" s="18"/>
      <c r="BIE228" s="18"/>
      <c r="BIF228" s="18"/>
      <c r="BIG228" s="18"/>
      <c r="BIH228" s="18"/>
      <c r="BII228" s="18"/>
      <c r="BIJ228" s="18"/>
      <c r="BIK228" s="18"/>
      <c r="BIL228" s="18"/>
      <c r="BIM228" s="18"/>
      <c r="BIN228" s="18"/>
      <c r="BIO228" s="18"/>
      <c r="BIP228" s="18"/>
      <c r="BIQ228" s="18"/>
      <c r="BIR228" s="18"/>
      <c r="BIS228" s="18"/>
      <c r="BIT228" s="18"/>
      <c r="BIU228" s="18"/>
      <c r="BIV228" s="18"/>
      <c r="BIW228" s="18"/>
      <c r="BIX228" s="18"/>
      <c r="BIY228" s="18"/>
      <c r="BIZ228" s="18"/>
      <c r="BJA228" s="18"/>
      <c r="BJB228" s="18"/>
      <c r="BJC228" s="18"/>
      <c r="BJD228" s="18"/>
      <c r="BJE228" s="18"/>
      <c r="BJF228" s="18"/>
      <c r="BJG228" s="18"/>
      <c r="BJH228" s="18"/>
      <c r="BJI228" s="18"/>
      <c r="BJJ228" s="18"/>
      <c r="BJK228" s="18"/>
      <c r="BJL228" s="18"/>
      <c r="BJM228" s="18"/>
      <c r="BJN228" s="18"/>
      <c r="BJO228" s="18"/>
      <c r="BJP228" s="18"/>
      <c r="BJQ228" s="18"/>
      <c r="BJR228" s="18"/>
      <c r="BJS228" s="18"/>
      <c r="BJT228" s="18"/>
      <c r="BJU228" s="18"/>
      <c r="BJV228" s="18"/>
      <c r="BJW228" s="18"/>
      <c r="BJX228" s="18"/>
      <c r="BJY228" s="18"/>
      <c r="BJZ228" s="18"/>
      <c r="BKA228" s="18"/>
      <c r="BKB228" s="18"/>
      <c r="BKC228" s="18"/>
      <c r="BKD228" s="18"/>
      <c r="BKE228" s="18"/>
      <c r="BKF228" s="18"/>
      <c r="BKG228" s="18"/>
      <c r="BKH228" s="18"/>
      <c r="BKI228" s="18"/>
      <c r="BKJ228" s="18"/>
      <c r="BKK228" s="18"/>
      <c r="BKL228" s="18"/>
      <c r="BKM228" s="18"/>
      <c r="BKN228" s="18"/>
      <c r="BKO228" s="18"/>
      <c r="BKP228" s="18"/>
      <c r="BKQ228" s="18"/>
      <c r="BKR228" s="18"/>
      <c r="BKS228" s="18"/>
      <c r="BKT228" s="18"/>
      <c r="BKU228" s="18"/>
      <c r="BKV228" s="18"/>
      <c r="BKW228" s="18"/>
      <c r="BKX228" s="18"/>
      <c r="BKY228" s="18"/>
      <c r="BKZ228" s="18"/>
      <c r="BLA228" s="18"/>
      <c r="BLB228" s="18"/>
      <c r="BLC228" s="18"/>
      <c r="BLD228" s="18"/>
      <c r="BLE228" s="18"/>
      <c r="BLF228" s="18"/>
      <c r="BLG228" s="18"/>
      <c r="BLH228" s="18"/>
      <c r="BLI228" s="18"/>
      <c r="BLJ228" s="18"/>
      <c r="BLK228" s="18"/>
      <c r="BLL228" s="18"/>
      <c r="BLM228" s="18"/>
      <c r="BLN228" s="18"/>
      <c r="BLO228" s="18"/>
      <c r="BLP228" s="18"/>
      <c r="BLQ228" s="18"/>
      <c r="BLR228" s="18"/>
      <c r="BLS228" s="18"/>
      <c r="BLT228" s="18"/>
      <c r="BLU228" s="18"/>
      <c r="BLV228" s="18"/>
      <c r="BLW228" s="18"/>
      <c r="BLX228" s="18"/>
      <c r="BLY228" s="18"/>
      <c r="BLZ228" s="18"/>
      <c r="BMA228" s="18"/>
      <c r="BMB228" s="18"/>
      <c r="BMC228" s="18"/>
      <c r="BMD228" s="18"/>
      <c r="BME228" s="18"/>
      <c r="BMF228" s="18"/>
      <c r="BMG228" s="18"/>
      <c r="BMH228" s="18"/>
      <c r="BMI228" s="18"/>
      <c r="BMJ228" s="18"/>
      <c r="BMK228" s="18"/>
      <c r="BML228" s="18"/>
      <c r="BMM228" s="18"/>
      <c r="BMN228" s="18"/>
      <c r="BMO228" s="18"/>
      <c r="BMP228" s="18"/>
      <c r="BMQ228" s="18"/>
      <c r="BMR228" s="18"/>
      <c r="BMS228" s="18"/>
      <c r="BMT228" s="18"/>
      <c r="BMU228" s="18"/>
      <c r="BMV228" s="18"/>
      <c r="BMW228" s="18"/>
      <c r="BMX228" s="18"/>
      <c r="BMY228" s="18"/>
      <c r="BMZ228" s="18"/>
      <c r="BNA228" s="18"/>
      <c r="BNB228" s="18"/>
      <c r="BNC228" s="18"/>
      <c r="BND228" s="18"/>
      <c r="BNE228" s="18"/>
      <c r="BNF228" s="18"/>
      <c r="BNG228" s="18"/>
      <c r="BNH228" s="18"/>
      <c r="BNI228" s="18"/>
      <c r="BNJ228" s="18"/>
      <c r="BNK228" s="18"/>
      <c r="BNL228" s="18"/>
      <c r="BNM228" s="18"/>
      <c r="BNN228" s="18"/>
      <c r="BNO228" s="18"/>
      <c r="BNP228" s="18"/>
      <c r="BNQ228" s="18"/>
      <c r="BNR228" s="18"/>
      <c r="BNS228" s="18"/>
      <c r="BNT228" s="18"/>
      <c r="BNU228" s="18"/>
      <c r="BNV228" s="18"/>
      <c r="BNW228" s="18"/>
      <c r="BNX228" s="18"/>
      <c r="BNY228" s="18"/>
      <c r="BNZ228" s="18"/>
      <c r="BOA228" s="18"/>
      <c r="BOB228" s="18"/>
      <c r="BOC228" s="18"/>
      <c r="BOD228" s="18"/>
      <c r="BOE228" s="18"/>
      <c r="BOF228" s="18"/>
      <c r="BOG228" s="18"/>
      <c r="BOH228" s="18"/>
      <c r="BOI228" s="18"/>
      <c r="BOJ228" s="18"/>
      <c r="BOK228" s="18"/>
      <c r="BOL228" s="18"/>
      <c r="BOM228" s="18"/>
      <c r="BON228" s="18"/>
      <c r="BOO228" s="18"/>
      <c r="BOP228" s="18"/>
      <c r="BOQ228" s="18"/>
      <c r="BOR228" s="18"/>
      <c r="BOS228" s="18"/>
      <c r="BOT228" s="18"/>
      <c r="BOU228" s="18"/>
      <c r="BOV228" s="18"/>
      <c r="BOW228" s="18"/>
      <c r="BOX228" s="18"/>
      <c r="BOY228" s="18"/>
      <c r="BOZ228" s="18"/>
      <c r="BPA228" s="18"/>
      <c r="BPB228" s="18"/>
      <c r="BPC228" s="18"/>
      <c r="BPD228" s="18"/>
      <c r="BPE228" s="18"/>
      <c r="BPF228" s="18"/>
      <c r="BPG228" s="18"/>
      <c r="BPH228" s="18"/>
      <c r="BPI228" s="18"/>
      <c r="BPJ228" s="18"/>
      <c r="BPK228" s="18"/>
      <c r="BPL228" s="18"/>
      <c r="BPM228" s="18"/>
      <c r="BPN228" s="18"/>
      <c r="BPO228" s="18"/>
      <c r="BPP228" s="18"/>
      <c r="BPQ228" s="18"/>
      <c r="BPR228" s="18"/>
      <c r="BPS228" s="18"/>
      <c r="BPT228" s="18"/>
      <c r="BPU228" s="18"/>
      <c r="BPV228" s="18"/>
      <c r="BPW228" s="18"/>
      <c r="BPX228" s="18"/>
      <c r="BPY228" s="18"/>
      <c r="BPZ228" s="18"/>
      <c r="BQA228" s="18"/>
      <c r="BQB228" s="18"/>
      <c r="BQC228" s="18"/>
      <c r="BQD228" s="18"/>
      <c r="BQE228" s="18"/>
      <c r="BQF228" s="18"/>
      <c r="BQG228" s="18"/>
      <c r="BQH228" s="18"/>
      <c r="BQI228" s="18"/>
      <c r="BQJ228" s="18"/>
      <c r="BQK228" s="18"/>
      <c r="BQL228" s="18"/>
      <c r="BQM228" s="18"/>
      <c r="BQN228" s="18"/>
      <c r="BQO228" s="18"/>
      <c r="BQP228" s="18"/>
      <c r="BQQ228" s="18"/>
      <c r="BQR228" s="18"/>
      <c r="BQS228" s="18"/>
      <c r="BQT228" s="18"/>
      <c r="BQU228" s="18"/>
      <c r="BQV228" s="18"/>
      <c r="BQW228" s="18"/>
      <c r="BQX228" s="18"/>
      <c r="BQY228" s="18"/>
      <c r="BQZ228" s="18"/>
      <c r="BRA228" s="18"/>
      <c r="BRB228" s="18"/>
      <c r="BRC228" s="18"/>
      <c r="BRD228" s="18"/>
      <c r="BRE228" s="18"/>
      <c r="BRF228" s="18"/>
      <c r="BRG228" s="18"/>
      <c r="BRH228" s="18"/>
      <c r="BRI228" s="18"/>
      <c r="BRJ228" s="18"/>
      <c r="BRK228" s="18"/>
      <c r="BRL228" s="18"/>
      <c r="BRM228" s="18"/>
      <c r="BRN228" s="18"/>
      <c r="BRO228" s="18"/>
      <c r="BRP228" s="18"/>
      <c r="BRQ228" s="18"/>
      <c r="BRR228" s="18"/>
      <c r="BRS228" s="18"/>
      <c r="BRT228" s="18"/>
      <c r="BRU228" s="18"/>
      <c r="BRV228" s="18"/>
      <c r="BRW228" s="18"/>
      <c r="BRX228" s="18"/>
      <c r="BRY228" s="18"/>
      <c r="BRZ228" s="18"/>
      <c r="BSA228" s="18"/>
      <c r="BSB228" s="18"/>
      <c r="BSC228" s="18"/>
      <c r="BSD228" s="18"/>
      <c r="BSE228" s="18"/>
      <c r="BSF228" s="18"/>
      <c r="BSG228" s="18"/>
      <c r="BSH228" s="18"/>
      <c r="BSI228" s="18"/>
      <c r="BSJ228" s="18"/>
      <c r="BSK228" s="18"/>
      <c r="BSL228" s="18"/>
      <c r="BSM228" s="18"/>
      <c r="BSN228" s="18"/>
      <c r="BSO228" s="18"/>
      <c r="BSP228" s="18"/>
      <c r="BSQ228" s="18"/>
      <c r="BSR228" s="18"/>
      <c r="BSS228" s="18"/>
      <c r="BST228" s="18"/>
      <c r="BSU228" s="18"/>
      <c r="BSV228" s="18"/>
      <c r="BSW228" s="18"/>
      <c r="BSX228" s="18"/>
      <c r="BSY228" s="18"/>
      <c r="BSZ228" s="18"/>
      <c r="BTA228" s="18"/>
      <c r="BTB228" s="18"/>
      <c r="BTC228" s="18"/>
      <c r="BTD228" s="18"/>
      <c r="BTE228" s="18"/>
      <c r="BTF228" s="18"/>
      <c r="BTG228" s="18"/>
      <c r="BTH228" s="18"/>
      <c r="BTI228" s="18"/>
    </row>
    <row r="229" spans="1:1881" s="428" customFormat="1" ht="90" customHeight="1" x14ac:dyDescent="0.3">
      <c r="A229" s="100">
        <v>619</v>
      </c>
      <c r="B229" s="375" t="s">
        <v>58</v>
      </c>
      <c r="C229" s="375" t="s">
        <v>349</v>
      </c>
      <c r="D229" s="87" t="s">
        <v>352</v>
      </c>
      <c r="E229" s="812" t="e">
        <f>INDEX('PY1 Data(H)'!$A$1:$CZ$265,MATCH('Unit Data from Audit Worksheet'!$A229,'PY1 Data(H)'!$A$1:$A$258,0),MATCH('Unit Data from Audit Worksheet'!$D$2,'PY1 Data(H)'!$A$1:$CZ$1,0))</f>
        <v>#N/A</v>
      </c>
      <c r="F229" s="813">
        <v>0</v>
      </c>
      <c r="G229" s="432" t="str">
        <f>IF(ISBLANK(F229),"Please do not leave blank ",IF(F229=H229,"","Please review percentage"))</f>
        <v/>
      </c>
      <c r="H229" s="1033">
        <f>ROUND(IFERROR((F228/F227)*100,0),1)</f>
        <v>0</v>
      </c>
      <c r="I229" s="187"/>
      <c r="J229" s="187"/>
      <c r="K229"/>
      <c r="L229" s="550"/>
      <c r="M229"/>
      <c r="N229" s="18"/>
      <c r="O229" s="187"/>
      <c r="P229" s="18"/>
      <c r="Q229" s="18"/>
      <c r="R229" s="18"/>
      <c r="S229" s="18"/>
      <c r="T229" s="18"/>
      <c r="U229" s="18"/>
      <c r="V229" s="18"/>
      <c r="W229" s="18"/>
      <c r="X229" s="18"/>
      <c r="Y229" s="18"/>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18"/>
      <c r="JH229" s="18"/>
      <c r="JI229" s="18"/>
      <c r="JJ229" s="18"/>
      <c r="JK229" s="18"/>
      <c r="JL229" s="18"/>
      <c r="JM229" s="18"/>
      <c r="JN229" s="18"/>
      <c r="JO229" s="18"/>
      <c r="JP229" s="18"/>
      <c r="JQ229" s="18"/>
      <c r="JR229" s="18"/>
      <c r="JS229" s="18"/>
      <c r="JT229" s="18"/>
      <c r="JU229" s="18"/>
      <c r="JV229" s="18"/>
      <c r="JW229" s="18"/>
      <c r="JX229" s="18"/>
      <c r="JY229" s="18"/>
      <c r="JZ229" s="18"/>
      <c r="KA229" s="18"/>
      <c r="KB229" s="18"/>
      <c r="KC229" s="18"/>
      <c r="KD229" s="18"/>
      <c r="KE229" s="18"/>
      <c r="KF229" s="18"/>
      <c r="KG229" s="18"/>
      <c r="KH229" s="18"/>
      <c r="KI229" s="18"/>
      <c r="KJ229" s="18"/>
      <c r="KK229" s="18"/>
      <c r="KL229" s="18"/>
      <c r="KM229" s="18"/>
      <c r="KN229" s="18"/>
      <c r="KO229" s="18"/>
      <c r="KP229" s="18"/>
      <c r="KQ229" s="18"/>
      <c r="KR229" s="18"/>
      <c r="KS229" s="18"/>
      <c r="KT229" s="18"/>
      <c r="KU229" s="18"/>
      <c r="KV229" s="18"/>
      <c r="KW229" s="18"/>
      <c r="KX229" s="18"/>
      <c r="KY229" s="18"/>
      <c r="KZ229" s="18"/>
      <c r="LA229" s="18"/>
      <c r="LB229" s="18"/>
      <c r="LC229" s="18"/>
      <c r="LD229" s="18"/>
      <c r="LE229" s="18"/>
      <c r="LF229" s="18"/>
      <c r="LG229" s="18"/>
      <c r="LH229" s="18"/>
      <c r="LI229" s="18"/>
      <c r="LJ229" s="18"/>
      <c r="LK229" s="18"/>
      <c r="LL229" s="18"/>
      <c r="LM229" s="18"/>
      <c r="LN229" s="18"/>
      <c r="LO229" s="18"/>
      <c r="LP229" s="18"/>
      <c r="LQ229" s="18"/>
      <c r="LR229" s="18"/>
      <c r="LS229" s="18"/>
      <c r="LT229" s="18"/>
      <c r="LU229" s="18"/>
      <c r="LV229" s="18"/>
      <c r="LW229" s="18"/>
      <c r="LX229" s="18"/>
      <c r="LY229" s="18"/>
      <c r="LZ229" s="18"/>
      <c r="MA229" s="18"/>
      <c r="MB229" s="18"/>
      <c r="MC229" s="18"/>
      <c r="MD229" s="18"/>
      <c r="ME229" s="18"/>
      <c r="MF229" s="18"/>
      <c r="MG229" s="18"/>
      <c r="MH229" s="18"/>
      <c r="MI229" s="18"/>
      <c r="MJ229" s="18"/>
      <c r="MK229" s="18"/>
      <c r="ML229" s="18"/>
      <c r="MM229" s="18"/>
      <c r="MN229" s="18"/>
      <c r="MO229" s="18"/>
      <c r="MP229" s="18"/>
      <c r="MQ229" s="18"/>
      <c r="MR229" s="18"/>
      <c r="MS229" s="18"/>
      <c r="MT229" s="18"/>
      <c r="MU229" s="18"/>
      <c r="MV229" s="18"/>
      <c r="MW229" s="18"/>
      <c r="MX229" s="18"/>
      <c r="MY229" s="18"/>
      <c r="MZ229" s="18"/>
      <c r="NA229" s="18"/>
      <c r="NB229" s="18"/>
      <c r="NC229" s="18"/>
      <c r="ND229" s="18"/>
      <c r="NE229" s="18"/>
      <c r="NF229" s="18"/>
      <c r="NG229" s="18"/>
      <c r="NH229" s="18"/>
      <c r="NI229" s="18"/>
      <c r="NJ229" s="18"/>
      <c r="NK229" s="18"/>
      <c r="NL229" s="18"/>
      <c r="NM229" s="18"/>
      <c r="NN229" s="18"/>
      <c r="NO229" s="18"/>
      <c r="NP229" s="18"/>
      <c r="NQ229" s="18"/>
      <c r="NR229" s="18"/>
      <c r="NS229" s="18"/>
      <c r="NT229" s="18"/>
      <c r="NU229" s="18"/>
      <c r="NV229" s="18"/>
      <c r="NW229" s="18"/>
      <c r="NX229" s="18"/>
      <c r="NY229" s="18"/>
      <c r="NZ229" s="18"/>
      <c r="OA229" s="18"/>
      <c r="OB229" s="18"/>
      <c r="OC229" s="18"/>
      <c r="OD229" s="18"/>
      <c r="OE229" s="18"/>
      <c r="OF229" s="18"/>
      <c r="OG229" s="18"/>
      <c r="OH229" s="18"/>
      <c r="OI229" s="18"/>
      <c r="OJ229" s="18"/>
      <c r="OK229" s="18"/>
      <c r="OL229" s="18"/>
      <c r="OM229" s="18"/>
      <c r="ON229" s="18"/>
      <c r="OO229" s="18"/>
      <c r="OP229" s="18"/>
      <c r="OQ229" s="18"/>
      <c r="OR229" s="18"/>
      <c r="OS229" s="18"/>
      <c r="OT229" s="18"/>
      <c r="OU229" s="18"/>
      <c r="OV229" s="18"/>
      <c r="OW229" s="18"/>
      <c r="OX229" s="18"/>
      <c r="OY229" s="18"/>
      <c r="OZ229" s="18"/>
      <c r="PA229" s="18"/>
      <c r="PB229" s="18"/>
      <c r="PC229" s="18"/>
      <c r="PD229" s="18"/>
      <c r="PE229" s="18"/>
      <c r="PF229" s="18"/>
      <c r="PG229" s="18"/>
      <c r="PH229" s="18"/>
      <c r="PI229" s="18"/>
      <c r="PJ229" s="18"/>
      <c r="PK229" s="18"/>
      <c r="PL229" s="18"/>
      <c r="PM229" s="18"/>
      <c r="PN229" s="18"/>
      <c r="PO229" s="18"/>
      <c r="PP229" s="18"/>
      <c r="PQ229" s="18"/>
      <c r="PR229" s="18"/>
      <c r="PS229" s="18"/>
      <c r="PT229" s="18"/>
      <c r="PU229" s="18"/>
      <c r="PV229" s="18"/>
      <c r="PW229" s="18"/>
      <c r="PX229" s="18"/>
      <c r="PY229" s="18"/>
      <c r="PZ229" s="18"/>
      <c r="QA229" s="18"/>
      <c r="QB229" s="18"/>
      <c r="QC229" s="18"/>
      <c r="QD229" s="18"/>
      <c r="QE229" s="18"/>
      <c r="QF229" s="18"/>
      <c r="QG229" s="18"/>
      <c r="QH229" s="18"/>
      <c r="QI229" s="18"/>
      <c r="QJ229" s="18"/>
      <c r="QK229" s="18"/>
      <c r="QL229" s="18"/>
      <c r="QM229" s="18"/>
      <c r="QN229" s="18"/>
      <c r="QO229" s="18"/>
      <c r="QP229" s="18"/>
      <c r="QQ229" s="18"/>
      <c r="QR229" s="18"/>
      <c r="QS229" s="18"/>
      <c r="QT229" s="18"/>
      <c r="QU229" s="18"/>
      <c r="QV229" s="18"/>
      <c r="QW229" s="18"/>
      <c r="QX229" s="18"/>
      <c r="QY229" s="18"/>
      <c r="QZ229" s="18"/>
      <c r="RA229" s="18"/>
      <c r="RB229" s="18"/>
      <c r="RC229" s="18"/>
      <c r="RD229" s="18"/>
      <c r="RE229" s="18"/>
      <c r="RF229" s="18"/>
      <c r="RG229" s="18"/>
      <c r="RH229" s="18"/>
      <c r="RI229" s="18"/>
      <c r="RJ229" s="18"/>
      <c r="RK229" s="18"/>
      <c r="RL229" s="18"/>
      <c r="RM229" s="18"/>
      <c r="RN229" s="18"/>
      <c r="RO229" s="18"/>
      <c r="RP229" s="18"/>
      <c r="RQ229" s="18"/>
      <c r="RR229" s="18"/>
      <c r="RS229" s="18"/>
      <c r="RT229" s="18"/>
      <c r="RU229" s="18"/>
      <c r="RV229" s="18"/>
      <c r="RW229" s="18"/>
      <c r="RX229" s="18"/>
      <c r="RY229" s="18"/>
      <c r="RZ229" s="18"/>
      <c r="SA229" s="18"/>
      <c r="SB229" s="18"/>
      <c r="SC229" s="18"/>
      <c r="SD229" s="18"/>
      <c r="SE229" s="18"/>
      <c r="SF229" s="18"/>
      <c r="SG229" s="18"/>
      <c r="SH229" s="18"/>
      <c r="SI229" s="18"/>
      <c r="SJ229" s="18"/>
      <c r="SK229" s="18"/>
      <c r="SL229" s="18"/>
      <c r="SM229" s="18"/>
      <c r="SN229" s="18"/>
      <c r="SO229" s="18"/>
      <c r="SP229" s="18"/>
      <c r="SQ229" s="18"/>
      <c r="SR229" s="18"/>
      <c r="SS229" s="18"/>
      <c r="ST229" s="18"/>
      <c r="SU229" s="18"/>
      <c r="SV229" s="18"/>
      <c r="SW229" s="18"/>
      <c r="SX229" s="18"/>
      <c r="SY229" s="18"/>
      <c r="SZ229" s="18"/>
      <c r="TA229" s="18"/>
      <c r="TB229" s="18"/>
      <c r="TC229" s="18"/>
      <c r="TD229" s="18"/>
      <c r="TE229" s="18"/>
      <c r="TF229" s="18"/>
      <c r="TG229" s="18"/>
      <c r="TH229" s="18"/>
      <c r="TI229" s="18"/>
      <c r="TJ229" s="18"/>
      <c r="TK229" s="18"/>
      <c r="TL229" s="18"/>
      <c r="TM229" s="18"/>
      <c r="TN229" s="18"/>
      <c r="TO229" s="18"/>
      <c r="TP229" s="18"/>
      <c r="TQ229" s="18"/>
      <c r="TR229" s="18"/>
      <c r="TS229" s="18"/>
      <c r="TT229" s="18"/>
      <c r="TU229" s="18"/>
      <c r="TV229" s="18"/>
      <c r="TW229" s="18"/>
      <c r="TX229" s="18"/>
      <c r="TY229" s="18"/>
      <c r="TZ229" s="18"/>
      <c r="UA229" s="18"/>
      <c r="UB229" s="18"/>
      <c r="UC229" s="18"/>
      <c r="UD229" s="18"/>
      <c r="UE229" s="18"/>
      <c r="UF229" s="18"/>
      <c r="UG229" s="18"/>
      <c r="UH229" s="18"/>
      <c r="UI229" s="18"/>
      <c r="UJ229" s="18"/>
      <c r="UK229" s="18"/>
      <c r="UL229" s="18"/>
      <c r="UM229" s="18"/>
      <c r="UN229" s="18"/>
      <c r="UO229" s="18"/>
      <c r="UP229" s="18"/>
      <c r="UQ229" s="18"/>
      <c r="UR229" s="18"/>
      <c r="US229" s="18"/>
      <c r="UT229" s="18"/>
      <c r="UU229" s="18"/>
      <c r="UV229" s="18"/>
      <c r="UW229" s="18"/>
      <c r="UX229" s="18"/>
      <c r="UY229" s="18"/>
      <c r="UZ229" s="18"/>
      <c r="VA229" s="18"/>
      <c r="VB229" s="18"/>
      <c r="VC229" s="18"/>
      <c r="VD229" s="18"/>
      <c r="VE229" s="18"/>
      <c r="VF229" s="18"/>
      <c r="VG229" s="18"/>
      <c r="VH229" s="18"/>
      <c r="VI229" s="18"/>
      <c r="VJ229" s="18"/>
      <c r="VK229" s="18"/>
      <c r="VL229" s="18"/>
      <c r="VM229" s="18"/>
      <c r="VN229" s="18"/>
      <c r="VO229" s="18"/>
      <c r="VP229" s="18"/>
      <c r="VQ229" s="18"/>
      <c r="VR229" s="18"/>
      <c r="VS229" s="18"/>
      <c r="VT229" s="18"/>
      <c r="VU229" s="18"/>
      <c r="VV229" s="18"/>
      <c r="VW229" s="18"/>
      <c r="VX229" s="18"/>
      <c r="VY229" s="18"/>
      <c r="VZ229" s="18"/>
      <c r="WA229" s="18"/>
      <c r="WB229" s="18"/>
      <c r="WC229" s="18"/>
      <c r="WD229" s="18"/>
      <c r="WE229" s="18"/>
      <c r="WF229" s="18"/>
      <c r="WG229" s="18"/>
      <c r="WH229" s="18"/>
      <c r="WI229" s="18"/>
      <c r="WJ229" s="18"/>
      <c r="WK229" s="18"/>
      <c r="WL229" s="18"/>
      <c r="WM229" s="18"/>
      <c r="WN229" s="18"/>
      <c r="WO229" s="18"/>
      <c r="WP229" s="18"/>
      <c r="WQ229" s="18"/>
      <c r="WR229" s="18"/>
      <c r="WS229" s="18"/>
      <c r="WT229" s="18"/>
      <c r="WU229" s="18"/>
      <c r="WV229" s="18"/>
      <c r="WW229" s="18"/>
      <c r="WX229" s="18"/>
      <c r="WY229" s="18"/>
      <c r="WZ229" s="18"/>
      <c r="XA229" s="18"/>
      <c r="XB229" s="18"/>
      <c r="XC229" s="18"/>
      <c r="XD229" s="18"/>
      <c r="XE229" s="18"/>
      <c r="XF229" s="18"/>
      <c r="XG229" s="18"/>
      <c r="XH229" s="18"/>
      <c r="XI229" s="18"/>
      <c r="XJ229" s="18"/>
      <c r="XK229" s="18"/>
      <c r="XL229" s="18"/>
      <c r="XM229" s="18"/>
      <c r="XN229" s="18"/>
      <c r="XO229" s="18"/>
      <c r="XP229" s="18"/>
      <c r="XQ229" s="18"/>
      <c r="XR229" s="18"/>
      <c r="XS229" s="18"/>
      <c r="XT229" s="18"/>
      <c r="XU229" s="18"/>
      <c r="XV229" s="18"/>
      <c r="XW229" s="18"/>
      <c r="XX229" s="18"/>
      <c r="XY229" s="18"/>
      <c r="XZ229" s="18"/>
      <c r="YA229" s="18"/>
      <c r="YB229" s="18"/>
      <c r="YC229" s="18"/>
      <c r="YD229" s="18"/>
      <c r="YE229" s="18"/>
      <c r="YF229" s="18"/>
      <c r="YG229" s="18"/>
      <c r="YH229" s="18"/>
      <c r="YI229" s="18"/>
      <c r="YJ229" s="18"/>
      <c r="YK229" s="18"/>
      <c r="YL229" s="18"/>
      <c r="YM229" s="18"/>
      <c r="YN229" s="18"/>
      <c r="YO229" s="18"/>
      <c r="YP229" s="18"/>
      <c r="YQ229" s="18"/>
      <c r="YR229" s="18"/>
      <c r="YS229" s="18"/>
      <c r="YT229" s="18"/>
      <c r="YU229" s="18"/>
      <c r="YV229" s="18"/>
      <c r="YW229" s="18"/>
      <c r="YX229" s="18"/>
      <c r="YY229" s="18"/>
      <c r="YZ229" s="18"/>
      <c r="ZA229" s="18"/>
      <c r="ZB229" s="18"/>
      <c r="ZC229" s="18"/>
      <c r="ZD229" s="18"/>
      <c r="ZE229" s="18"/>
      <c r="ZF229" s="18"/>
      <c r="ZG229" s="18"/>
      <c r="ZH229" s="18"/>
      <c r="ZI229" s="18"/>
      <c r="ZJ229" s="18"/>
      <c r="ZK229" s="18"/>
      <c r="ZL229" s="18"/>
      <c r="ZM229" s="18"/>
      <c r="ZN229" s="18"/>
      <c r="ZO229" s="18"/>
      <c r="ZP229" s="18"/>
      <c r="ZQ229" s="18"/>
      <c r="ZR229" s="18"/>
      <c r="ZS229" s="18"/>
      <c r="ZT229" s="18"/>
      <c r="ZU229" s="18"/>
      <c r="ZV229" s="18"/>
      <c r="ZW229" s="18"/>
      <c r="ZX229" s="18"/>
      <c r="ZY229" s="18"/>
      <c r="ZZ229" s="18"/>
      <c r="AAA229" s="18"/>
      <c r="AAB229" s="18"/>
      <c r="AAC229" s="18"/>
      <c r="AAD229" s="18"/>
      <c r="AAE229" s="18"/>
      <c r="AAF229" s="18"/>
      <c r="AAG229" s="18"/>
      <c r="AAH229" s="18"/>
      <c r="AAI229" s="18"/>
      <c r="AAJ229" s="18"/>
      <c r="AAK229" s="18"/>
      <c r="AAL229" s="18"/>
      <c r="AAM229" s="18"/>
      <c r="AAN229" s="18"/>
      <c r="AAO229" s="18"/>
      <c r="AAP229" s="18"/>
      <c r="AAQ229" s="18"/>
      <c r="AAR229" s="18"/>
      <c r="AAS229" s="18"/>
      <c r="AAT229" s="18"/>
      <c r="AAU229" s="18"/>
      <c r="AAV229" s="18"/>
      <c r="AAW229" s="18"/>
      <c r="AAX229" s="18"/>
      <c r="AAY229" s="18"/>
      <c r="AAZ229" s="18"/>
      <c r="ABA229" s="18"/>
      <c r="ABB229" s="18"/>
      <c r="ABC229" s="18"/>
      <c r="ABD229" s="18"/>
      <c r="ABE229" s="18"/>
      <c r="ABF229" s="18"/>
      <c r="ABG229" s="18"/>
      <c r="ABH229" s="18"/>
      <c r="ABI229" s="18"/>
      <c r="ABJ229" s="18"/>
      <c r="ABK229" s="18"/>
      <c r="ABL229" s="18"/>
      <c r="ABM229" s="18"/>
      <c r="ABN229" s="18"/>
      <c r="ABO229" s="18"/>
      <c r="ABP229" s="18"/>
      <c r="ABQ229" s="18"/>
      <c r="ABR229" s="18"/>
      <c r="ABS229" s="18"/>
      <c r="ABT229" s="18"/>
      <c r="ABU229" s="18"/>
      <c r="ABV229" s="18"/>
      <c r="ABW229" s="18"/>
      <c r="ABX229" s="18"/>
      <c r="ABY229" s="18"/>
      <c r="ABZ229" s="18"/>
      <c r="ACA229" s="18"/>
      <c r="ACB229" s="18"/>
      <c r="ACC229" s="18"/>
      <c r="ACD229" s="18"/>
      <c r="ACE229" s="18"/>
      <c r="ACF229" s="18"/>
      <c r="ACG229" s="18"/>
      <c r="ACH229" s="18"/>
      <c r="ACI229" s="18"/>
      <c r="ACJ229" s="18"/>
      <c r="ACK229" s="18"/>
      <c r="ACL229" s="18"/>
      <c r="ACM229" s="18"/>
      <c r="ACN229" s="18"/>
      <c r="ACO229" s="18"/>
      <c r="ACP229" s="18"/>
      <c r="ACQ229" s="18"/>
      <c r="ACR229" s="18"/>
      <c r="ACS229" s="18"/>
      <c r="ACT229" s="18"/>
      <c r="ACU229" s="18"/>
      <c r="ACV229" s="18"/>
      <c r="ACW229" s="18"/>
      <c r="ACX229" s="18"/>
      <c r="ACY229" s="18"/>
      <c r="ACZ229" s="18"/>
      <c r="ADA229" s="18"/>
      <c r="ADB229" s="18"/>
      <c r="ADC229" s="18"/>
      <c r="ADD229" s="18"/>
      <c r="ADE229" s="18"/>
      <c r="ADF229" s="18"/>
      <c r="ADG229" s="18"/>
      <c r="ADH229" s="18"/>
      <c r="ADI229" s="18"/>
      <c r="ADJ229" s="18"/>
      <c r="ADK229" s="18"/>
      <c r="ADL229" s="18"/>
      <c r="ADM229" s="18"/>
      <c r="ADN229" s="18"/>
      <c r="ADO229" s="18"/>
      <c r="ADP229" s="18"/>
      <c r="ADQ229" s="18"/>
      <c r="ADR229" s="18"/>
      <c r="ADS229" s="18"/>
      <c r="ADT229" s="18"/>
      <c r="ADU229" s="18"/>
      <c r="ADV229" s="18"/>
      <c r="ADW229" s="18"/>
      <c r="ADX229" s="18"/>
      <c r="ADY229" s="18"/>
      <c r="ADZ229" s="18"/>
      <c r="AEA229" s="18"/>
      <c r="AEB229" s="18"/>
      <c r="AEC229" s="18"/>
      <c r="AED229" s="18"/>
      <c r="AEE229" s="18"/>
      <c r="AEF229" s="18"/>
      <c r="AEG229" s="18"/>
      <c r="AEH229" s="18"/>
      <c r="AEI229" s="18"/>
      <c r="AEJ229" s="18"/>
      <c r="AEK229" s="18"/>
      <c r="AEL229" s="18"/>
      <c r="AEM229" s="18"/>
      <c r="AEN229" s="18"/>
      <c r="AEO229" s="18"/>
      <c r="AEP229" s="18"/>
      <c r="AEQ229" s="18"/>
      <c r="AER229" s="18"/>
      <c r="AES229" s="18"/>
      <c r="AET229" s="18"/>
      <c r="AEU229" s="18"/>
      <c r="AEV229" s="18"/>
      <c r="AEW229" s="18"/>
      <c r="AEX229" s="18"/>
      <c r="AEY229" s="18"/>
      <c r="AEZ229" s="18"/>
      <c r="AFA229" s="18"/>
      <c r="AFB229" s="18"/>
      <c r="AFC229" s="18"/>
      <c r="AFD229" s="18"/>
      <c r="AFE229" s="18"/>
      <c r="AFF229" s="18"/>
      <c r="AFG229" s="18"/>
      <c r="AFH229" s="18"/>
      <c r="AFI229" s="18"/>
      <c r="AFJ229" s="18"/>
      <c r="AFK229" s="18"/>
      <c r="AFL229" s="18"/>
      <c r="AFM229" s="18"/>
      <c r="AFN229" s="18"/>
      <c r="AFO229" s="18"/>
      <c r="AFP229" s="18"/>
      <c r="AFQ229" s="18"/>
      <c r="AFR229" s="18"/>
      <c r="AFS229" s="18"/>
      <c r="AFT229" s="18"/>
      <c r="AFU229" s="18"/>
      <c r="AFV229" s="18"/>
      <c r="AFW229" s="18"/>
      <c r="AFX229" s="18"/>
      <c r="AFY229" s="18"/>
      <c r="AFZ229" s="18"/>
      <c r="AGA229" s="18"/>
      <c r="AGB229" s="18"/>
      <c r="AGC229" s="18"/>
      <c r="AGD229" s="18"/>
      <c r="AGE229" s="18"/>
      <c r="AGF229" s="18"/>
      <c r="AGG229" s="18"/>
      <c r="AGH229" s="18"/>
      <c r="AGI229" s="18"/>
      <c r="AGJ229" s="18"/>
      <c r="AGK229" s="18"/>
      <c r="AGL229" s="18"/>
      <c r="AGM229" s="18"/>
      <c r="AGN229" s="18"/>
      <c r="AGO229" s="18"/>
      <c r="AGP229" s="18"/>
      <c r="AGQ229" s="18"/>
      <c r="AGR229" s="18"/>
      <c r="AGS229" s="18"/>
      <c r="AGT229" s="18"/>
      <c r="AGU229" s="18"/>
      <c r="AGV229" s="18"/>
      <c r="AGW229" s="18"/>
      <c r="AGX229" s="18"/>
      <c r="AGY229" s="18"/>
      <c r="AGZ229" s="18"/>
      <c r="AHA229" s="18"/>
      <c r="AHB229" s="18"/>
      <c r="AHC229" s="18"/>
      <c r="AHD229" s="18"/>
      <c r="AHE229" s="18"/>
      <c r="AHF229" s="18"/>
      <c r="AHG229" s="18"/>
      <c r="AHH229" s="18"/>
      <c r="AHI229" s="18"/>
      <c r="AHJ229" s="18"/>
      <c r="AHK229" s="18"/>
      <c r="AHL229" s="18"/>
      <c r="AHM229" s="18"/>
      <c r="AHN229" s="18"/>
      <c r="AHO229" s="18"/>
      <c r="AHP229" s="18"/>
      <c r="AHQ229" s="18"/>
      <c r="AHR229" s="18"/>
      <c r="AHS229" s="18"/>
      <c r="AHT229" s="18"/>
      <c r="AHU229" s="18"/>
      <c r="AHV229" s="18"/>
      <c r="AHW229" s="18"/>
      <c r="AHX229" s="18"/>
      <c r="AHY229" s="18"/>
      <c r="AHZ229" s="18"/>
      <c r="AIA229" s="18"/>
      <c r="AIB229" s="18"/>
      <c r="AIC229" s="18"/>
      <c r="AID229" s="18"/>
      <c r="AIE229" s="18"/>
      <c r="AIF229" s="18"/>
      <c r="AIG229" s="18"/>
      <c r="AIH229" s="18"/>
      <c r="AII229" s="18"/>
      <c r="AIJ229" s="18"/>
      <c r="AIK229" s="18"/>
      <c r="AIL229" s="18"/>
      <c r="AIM229" s="18"/>
      <c r="AIN229" s="18"/>
      <c r="AIO229" s="18"/>
      <c r="AIP229" s="18"/>
      <c r="AIQ229" s="18"/>
      <c r="AIR229" s="18"/>
      <c r="AIS229" s="18"/>
      <c r="AIT229" s="18"/>
      <c r="AIU229" s="18"/>
      <c r="AIV229" s="18"/>
      <c r="AIW229" s="18"/>
      <c r="AIX229" s="18"/>
      <c r="AIY229" s="18"/>
      <c r="AIZ229" s="18"/>
      <c r="AJA229" s="18"/>
      <c r="AJB229" s="18"/>
      <c r="AJC229" s="18"/>
      <c r="AJD229" s="18"/>
      <c r="AJE229" s="18"/>
      <c r="AJF229" s="18"/>
      <c r="AJG229" s="18"/>
      <c r="AJH229" s="18"/>
      <c r="AJI229" s="18"/>
      <c r="AJJ229" s="18"/>
      <c r="AJK229" s="18"/>
      <c r="AJL229" s="18"/>
      <c r="AJM229" s="18"/>
      <c r="AJN229" s="18"/>
      <c r="AJO229" s="18"/>
      <c r="AJP229" s="18"/>
      <c r="AJQ229" s="18"/>
      <c r="AJR229" s="18"/>
      <c r="AJS229" s="18"/>
      <c r="AJT229" s="18"/>
      <c r="AJU229" s="18"/>
      <c r="AJV229" s="18"/>
      <c r="AJW229" s="18"/>
      <c r="AJX229" s="18"/>
      <c r="AJY229" s="18"/>
      <c r="AJZ229" s="18"/>
      <c r="AKA229" s="18"/>
      <c r="AKB229" s="18"/>
      <c r="AKC229" s="18"/>
      <c r="AKD229" s="18"/>
      <c r="AKE229" s="18"/>
      <c r="AKF229" s="18"/>
      <c r="AKG229" s="18"/>
      <c r="AKH229" s="18"/>
      <c r="AKI229" s="18"/>
      <c r="AKJ229" s="18"/>
      <c r="AKK229" s="18"/>
      <c r="AKL229" s="18"/>
      <c r="AKM229" s="18"/>
      <c r="AKN229" s="18"/>
      <c r="AKO229" s="18"/>
      <c r="AKP229" s="18"/>
      <c r="AKQ229" s="18"/>
      <c r="AKR229" s="18"/>
      <c r="AKS229" s="18"/>
      <c r="AKT229" s="18"/>
      <c r="AKU229" s="18"/>
      <c r="AKV229" s="18"/>
      <c r="AKW229" s="18"/>
      <c r="AKX229" s="18"/>
      <c r="AKY229" s="18"/>
      <c r="AKZ229" s="18"/>
      <c r="ALA229" s="18"/>
      <c r="ALB229" s="18"/>
      <c r="ALC229" s="18"/>
      <c r="ALD229" s="18"/>
      <c r="ALE229" s="18"/>
      <c r="ALF229" s="18"/>
      <c r="ALG229" s="18"/>
      <c r="ALH229" s="18"/>
      <c r="ALI229" s="18"/>
      <c r="ALJ229" s="18"/>
      <c r="ALK229" s="18"/>
      <c r="ALL229" s="18"/>
      <c r="ALM229" s="18"/>
      <c r="ALN229" s="18"/>
      <c r="ALO229" s="18"/>
      <c r="ALP229" s="18"/>
      <c r="ALQ229" s="18"/>
      <c r="ALR229" s="18"/>
      <c r="ALS229" s="18"/>
      <c r="ALT229" s="18"/>
      <c r="ALU229" s="18"/>
      <c r="ALV229" s="18"/>
      <c r="ALW229" s="18"/>
      <c r="ALX229" s="18"/>
      <c r="ALY229" s="18"/>
      <c r="ALZ229" s="18"/>
      <c r="AMA229" s="18"/>
      <c r="AMB229" s="18"/>
      <c r="AMC229" s="18"/>
      <c r="AMD229" s="18"/>
      <c r="AME229" s="18"/>
      <c r="AMF229" s="18"/>
      <c r="AMG229" s="18"/>
      <c r="AMH229" s="18"/>
      <c r="AMI229" s="18"/>
      <c r="AMJ229" s="18"/>
      <c r="AMK229" s="18"/>
      <c r="AML229" s="18"/>
      <c r="AMM229" s="18"/>
      <c r="AMN229" s="18"/>
      <c r="AMO229" s="18"/>
      <c r="AMP229" s="18"/>
      <c r="AMQ229" s="18"/>
      <c r="AMR229" s="18"/>
      <c r="AMS229" s="18"/>
      <c r="AMT229" s="18"/>
      <c r="AMU229" s="18"/>
      <c r="AMV229" s="18"/>
      <c r="AMW229" s="18"/>
      <c r="AMX229" s="18"/>
      <c r="AMY229" s="18"/>
      <c r="AMZ229" s="18"/>
      <c r="ANA229" s="18"/>
      <c r="ANB229" s="18"/>
      <c r="ANC229" s="18"/>
      <c r="AND229" s="18"/>
      <c r="ANE229" s="18"/>
      <c r="ANF229" s="18"/>
      <c r="ANG229" s="18"/>
      <c r="ANH229" s="18"/>
      <c r="ANI229" s="18"/>
      <c r="ANJ229" s="18"/>
      <c r="ANK229" s="18"/>
      <c r="ANL229" s="18"/>
      <c r="ANM229" s="18"/>
      <c r="ANN229" s="18"/>
      <c r="ANO229" s="18"/>
      <c r="ANP229" s="18"/>
      <c r="ANQ229" s="18"/>
      <c r="ANR229" s="18"/>
      <c r="ANS229" s="18"/>
      <c r="ANT229" s="18"/>
      <c r="ANU229" s="18"/>
      <c r="ANV229" s="18"/>
      <c r="ANW229" s="18"/>
      <c r="ANX229" s="18"/>
      <c r="ANY229" s="18"/>
      <c r="ANZ229" s="18"/>
      <c r="AOA229" s="18"/>
      <c r="AOB229" s="18"/>
      <c r="AOC229" s="18"/>
      <c r="AOD229" s="18"/>
      <c r="AOE229" s="18"/>
      <c r="AOF229" s="18"/>
      <c r="AOG229" s="18"/>
      <c r="AOH229" s="18"/>
      <c r="AOI229" s="18"/>
      <c r="AOJ229" s="18"/>
      <c r="AOK229" s="18"/>
      <c r="AOL229" s="18"/>
      <c r="AOM229" s="18"/>
      <c r="AON229" s="18"/>
      <c r="AOO229" s="18"/>
      <c r="AOP229" s="18"/>
      <c r="AOQ229" s="18"/>
      <c r="AOR229" s="18"/>
      <c r="AOS229" s="18"/>
      <c r="AOT229" s="18"/>
      <c r="AOU229" s="18"/>
      <c r="AOV229" s="18"/>
      <c r="AOW229" s="18"/>
      <c r="AOX229" s="18"/>
      <c r="AOY229" s="18"/>
      <c r="AOZ229" s="18"/>
      <c r="APA229" s="18"/>
      <c r="APB229" s="18"/>
      <c r="APC229" s="18"/>
      <c r="APD229" s="18"/>
      <c r="APE229" s="18"/>
      <c r="APF229" s="18"/>
      <c r="APG229" s="18"/>
      <c r="APH229" s="18"/>
      <c r="API229" s="18"/>
      <c r="APJ229" s="18"/>
      <c r="APK229" s="18"/>
      <c r="APL229" s="18"/>
      <c r="APM229" s="18"/>
      <c r="APN229" s="18"/>
      <c r="APO229" s="18"/>
      <c r="APP229" s="18"/>
      <c r="APQ229" s="18"/>
      <c r="APR229" s="18"/>
      <c r="APS229" s="18"/>
      <c r="APT229" s="18"/>
      <c r="APU229" s="18"/>
      <c r="APV229" s="18"/>
      <c r="APW229" s="18"/>
      <c r="APX229" s="18"/>
      <c r="APY229" s="18"/>
      <c r="APZ229" s="18"/>
      <c r="AQA229" s="18"/>
      <c r="AQB229" s="18"/>
      <c r="AQC229" s="18"/>
      <c r="AQD229" s="18"/>
      <c r="AQE229" s="18"/>
      <c r="AQF229" s="18"/>
      <c r="AQG229" s="18"/>
      <c r="AQH229" s="18"/>
      <c r="AQI229" s="18"/>
      <c r="AQJ229" s="18"/>
      <c r="AQK229" s="18"/>
      <c r="AQL229" s="18"/>
      <c r="AQM229" s="18"/>
      <c r="AQN229" s="18"/>
      <c r="AQO229" s="18"/>
      <c r="AQP229" s="18"/>
      <c r="AQQ229" s="18"/>
      <c r="AQR229" s="18"/>
      <c r="AQS229" s="18"/>
      <c r="AQT229" s="18"/>
      <c r="AQU229" s="18"/>
      <c r="AQV229" s="18"/>
      <c r="AQW229" s="18"/>
      <c r="AQX229" s="18"/>
      <c r="AQY229" s="18"/>
      <c r="AQZ229" s="18"/>
      <c r="ARA229" s="18"/>
      <c r="ARB229" s="18"/>
      <c r="ARC229" s="18"/>
      <c r="ARD229" s="18"/>
      <c r="ARE229" s="18"/>
      <c r="ARF229" s="18"/>
      <c r="ARG229" s="18"/>
      <c r="ARH229" s="18"/>
      <c r="ARI229" s="18"/>
      <c r="ARJ229" s="18"/>
      <c r="ARK229" s="18"/>
      <c r="ARL229" s="18"/>
      <c r="ARM229" s="18"/>
      <c r="ARN229" s="18"/>
      <c r="ARO229" s="18"/>
      <c r="ARP229" s="18"/>
      <c r="ARQ229" s="18"/>
      <c r="ARR229" s="18"/>
      <c r="ARS229" s="18"/>
      <c r="ART229" s="18"/>
      <c r="ARU229" s="18"/>
      <c r="ARV229" s="18"/>
      <c r="ARW229" s="18"/>
      <c r="ARX229" s="18"/>
      <c r="ARY229" s="18"/>
      <c r="ARZ229" s="18"/>
      <c r="ASA229" s="18"/>
      <c r="ASB229" s="18"/>
      <c r="ASC229" s="18"/>
      <c r="ASD229" s="18"/>
      <c r="ASE229" s="18"/>
      <c r="ASF229" s="18"/>
      <c r="ASG229" s="18"/>
      <c r="ASH229" s="18"/>
      <c r="ASI229" s="18"/>
      <c r="ASJ229" s="18"/>
      <c r="ASK229" s="18"/>
      <c r="ASL229" s="18"/>
      <c r="ASM229" s="18"/>
      <c r="ASN229" s="18"/>
      <c r="ASO229" s="18"/>
      <c r="ASP229" s="18"/>
      <c r="ASQ229" s="18"/>
      <c r="ASR229" s="18"/>
      <c r="ASS229" s="18"/>
      <c r="AST229" s="18"/>
      <c r="ASU229" s="18"/>
      <c r="ASV229" s="18"/>
      <c r="ASW229" s="18"/>
      <c r="ASX229" s="18"/>
      <c r="ASY229" s="18"/>
      <c r="ASZ229" s="18"/>
      <c r="ATA229" s="18"/>
      <c r="ATB229" s="18"/>
      <c r="ATC229" s="18"/>
      <c r="ATD229" s="18"/>
      <c r="ATE229" s="18"/>
      <c r="ATF229" s="18"/>
      <c r="ATG229" s="18"/>
      <c r="ATH229" s="18"/>
      <c r="ATI229" s="18"/>
      <c r="ATJ229" s="18"/>
      <c r="ATK229" s="18"/>
      <c r="ATL229" s="18"/>
      <c r="ATM229" s="18"/>
      <c r="ATN229" s="18"/>
      <c r="ATO229" s="18"/>
      <c r="ATP229" s="18"/>
      <c r="ATQ229" s="18"/>
      <c r="ATR229" s="18"/>
      <c r="ATS229" s="18"/>
      <c r="ATT229" s="18"/>
      <c r="ATU229" s="18"/>
      <c r="ATV229" s="18"/>
      <c r="ATW229" s="18"/>
      <c r="ATX229" s="18"/>
      <c r="ATY229" s="18"/>
      <c r="ATZ229" s="18"/>
      <c r="AUA229" s="18"/>
      <c r="AUB229" s="18"/>
      <c r="AUC229" s="18"/>
      <c r="AUD229" s="18"/>
      <c r="AUE229" s="18"/>
      <c r="AUF229" s="18"/>
      <c r="AUG229" s="18"/>
      <c r="AUH229" s="18"/>
      <c r="AUI229" s="18"/>
      <c r="AUJ229" s="18"/>
      <c r="AUK229" s="18"/>
      <c r="AUL229" s="18"/>
      <c r="AUM229" s="18"/>
      <c r="AUN229" s="18"/>
      <c r="AUO229" s="18"/>
      <c r="AUP229" s="18"/>
      <c r="AUQ229" s="18"/>
      <c r="AUR229" s="18"/>
      <c r="AUS229" s="18"/>
      <c r="AUT229" s="18"/>
      <c r="AUU229" s="18"/>
      <c r="AUV229" s="18"/>
      <c r="AUW229" s="18"/>
      <c r="AUX229" s="18"/>
      <c r="AUY229" s="18"/>
      <c r="AUZ229" s="18"/>
      <c r="AVA229" s="18"/>
      <c r="AVB229" s="18"/>
      <c r="AVC229" s="18"/>
      <c r="AVD229" s="18"/>
      <c r="AVE229" s="18"/>
      <c r="AVF229" s="18"/>
      <c r="AVG229" s="18"/>
      <c r="AVH229" s="18"/>
      <c r="AVI229" s="18"/>
      <c r="AVJ229" s="18"/>
      <c r="AVK229" s="18"/>
      <c r="AVL229" s="18"/>
      <c r="AVM229" s="18"/>
      <c r="AVN229" s="18"/>
      <c r="AVO229" s="18"/>
      <c r="AVP229" s="18"/>
      <c r="AVQ229" s="18"/>
      <c r="AVR229" s="18"/>
      <c r="AVS229" s="18"/>
      <c r="AVT229" s="18"/>
      <c r="AVU229" s="18"/>
      <c r="AVV229" s="18"/>
      <c r="AVW229" s="18"/>
      <c r="AVX229" s="18"/>
      <c r="AVY229" s="18"/>
      <c r="AVZ229" s="18"/>
      <c r="AWA229" s="18"/>
      <c r="AWB229" s="18"/>
      <c r="AWC229" s="18"/>
      <c r="AWD229" s="18"/>
      <c r="AWE229" s="18"/>
      <c r="AWF229" s="18"/>
      <c r="AWG229" s="18"/>
      <c r="AWH229" s="18"/>
      <c r="AWI229" s="18"/>
      <c r="AWJ229" s="18"/>
      <c r="AWK229" s="18"/>
      <c r="AWL229" s="18"/>
      <c r="AWM229" s="18"/>
      <c r="AWN229" s="18"/>
      <c r="AWO229" s="18"/>
      <c r="AWP229" s="18"/>
      <c r="AWQ229" s="18"/>
      <c r="AWR229" s="18"/>
      <c r="AWS229" s="18"/>
      <c r="AWT229" s="18"/>
      <c r="AWU229" s="18"/>
      <c r="AWV229" s="18"/>
      <c r="AWW229" s="18"/>
      <c r="AWX229" s="18"/>
      <c r="AWY229" s="18"/>
      <c r="AWZ229" s="18"/>
      <c r="AXA229" s="18"/>
      <c r="AXB229" s="18"/>
      <c r="AXC229" s="18"/>
      <c r="AXD229" s="18"/>
      <c r="AXE229" s="18"/>
      <c r="AXF229" s="18"/>
      <c r="AXG229" s="18"/>
      <c r="AXH229" s="18"/>
      <c r="AXI229" s="18"/>
      <c r="AXJ229" s="18"/>
      <c r="AXK229" s="18"/>
      <c r="AXL229" s="18"/>
      <c r="AXM229" s="18"/>
      <c r="AXN229" s="18"/>
      <c r="AXO229" s="18"/>
      <c r="AXP229" s="18"/>
      <c r="AXQ229" s="18"/>
      <c r="AXR229" s="18"/>
      <c r="AXS229" s="18"/>
      <c r="AXT229" s="18"/>
      <c r="AXU229" s="18"/>
      <c r="AXV229" s="18"/>
      <c r="AXW229" s="18"/>
      <c r="AXX229" s="18"/>
      <c r="AXY229" s="18"/>
      <c r="AXZ229" s="18"/>
      <c r="AYA229" s="18"/>
      <c r="AYB229" s="18"/>
      <c r="AYC229" s="18"/>
      <c r="AYD229" s="18"/>
      <c r="AYE229" s="18"/>
      <c r="AYF229" s="18"/>
      <c r="AYG229" s="18"/>
      <c r="AYH229" s="18"/>
      <c r="AYI229" s="18"/>
      <c r="AYJ229" s="18"/>
      <c r="AYK229" s="18"/>
      <c r="AYL229" s="18"/>
      <c r="AYM229" s="18"/>
      <c r="AYN229" s="18"/>
      <c r="AYO229" s="18"/>
      <c r="AYP229" s="18"/>
      <c r="AYQ229" s="18"/>
      <c r="AYR229" s="18"/>
      <c r="AYS229" s="18"/>
      <c r="AYT229" s="18"/>
      <c r="AYU229" s="18"/>
      <c r="AYV229" s="18"/>
      <c r="AYW229" s="18"/>
      <c r="AYX229" s="18"/>
      <c r="AYY229" s="18"/>
      <c r="AYZ229" s="18"/>
      <c r="AZA229" s="18"/>
      <c r="AZB229" s="18"/>
      <c r="AZC229" s="18"/>
      <c r="AZD229" s="18"/>
      <c r="AZE229" s="18"/>
      <c r="AZF229" s="18"/>
      <c r="AZG229" s="18"/>
      <c r="AZH229" s="18"/>
      <c r="AZI229" s="18"/>
      <c r="AZJ229" s="18"/>
      <c r="AZK229" s="18"/>
      <c r="AZL229" s="18"/>
      <c r="AZM229" s="18"/>
      <c r="AZN229" s="18"/>
      <c r="AZO229" s="18"/>
      <c r="AZP229" s="18"/>
      <c r="AZQ229" s="18"/>
      <c r="AZR229" s="18"/>
      <c r="AZS229" s="18"/>
      <c r="AZT229" s="18"/>
      <c r="AZU229" s="18"/>
      <c r="AZV229" s="18"/>
      <c r="AZW229" s="18"/>
      <c r="AZX229" s="18"/>
      <c r="AZY229" s="18"/>
      <c r="AZZ229" s="18"/>
      <c r="BAA229" s="18"/>
      <c r="BAB229" s="18"/>
      <c r="BAC229" s="18"/>
      <c r="BAD229" s="18"/>
      <c r="BAE229" s="18"/>
      <c r="BAF229" s="18"/>
      <c r="BAG229" s="18"/>
      <c r="BAH229" s="18"/>
      <c r="BAI229" s="18"/>
      <c r="BAJ229" s="18"/>
      <c r="BAK229" s="18"/>
      <c r="BAL229" s="18"/>
      <c r="BAM229" s="18"/>
      <c r="BAN229" s="18"/>
      <c r="BAO229" s="18"/>
      <c r="BAP229" s="18"/>
      <c r="BAQ229" s="18"/>
      <c r="BAR229" s="18"/>
      <c r="BAS229" s="18"/>
      <c r="BAT229" s="18"/>
      <c r="BAU229" s="18"/>
      <c r="BAV229" s="18"/>
      <c r="BAW229" s="18"/>
      <c r="BAX229" s="18"/>
      <c r="BAY229" s="18"/>
      <c r="BAZ229" s="18"/>
      <c r="BBA229" s="18"/>
      <c r="BBB229" s="18"/>
      <c r="BBC229" s="18"/>
      <c r="BBD229" s="18"/>
      <c r="BBE229" s="18"/>
      <c r="BBF229" s="18"/>
      <c r="BBG229" s="18"/>
      <c r="BBH229" s="18"/>
      <c r="BBI229" s="18"/>
      <c r="BBJ229" s="18"/>
      <c r="BBK229" s="18"/>
      <c r="BBL229" s="18"/>
      <c r="BBM229" s="18"/>
      <c r="BBN229" s="18"/>
      <c r="BBO229" s="18"/>
      <c r="BBP229" s="18"/>
      <c r="BBQ229" s="18"/>
      <c r="BBR229" s="18"/>
      <c r="BBS229" s="18"/>
      <c r="BBT229" s="18"/>
      <c r="BBU229" s="18"/>
      <c r="BBV229" s="18"/>
      <c r="BBW229" s="18"/>
      <c r="BBX229" s="18"/>
      <c r="BBY229" s="18"/>
      <c r="BBZ229" s="18"/>
      <c r="BCA229" s="18"/>
      <c r="BCB229" s="18"/>
      <c r="BCC229" s="18"/>
      <c r="BCD229" s="18"/>
      <c r="BCE229" s="18"/>
      <c r="BCF229" s="18"/>
      <c r="BCG229" s="18"/>
      <c r="BCH229" s="18"/>
      <c r="BCI229" s="18"/>
      <c r="BCJ229" s="18"/>
      <c r="BCK229" s="18"/>
      <c r="BCL229" s="18"/>
      <c r="BCM229" s="18"/>
      <c r="BCN229" s="18"/>
      <c r="BCO229" s="18"/>
      <c r="BCP229" s="18"/>
      <c r="BCQ229" s="18"/>
      <c r="BCR229" s="18"/>
      <c r="BCS229" s="18"/>
      <c r="BCT229" s="18"/>
      <c r="BCU229" s="18"/>
      <c r="BCV229" s="18"/>
      <c r="BCW229" s="18"/>
      <c r="BCX229" s="18"/>
      <c r="BCY229" s="18"/>
      <c r="BCZ229" s="18"/>
      <c r="BDA229" s="18"/>
      <c r="BDB229" s="18"/>
      <c r="BDC229" s="18"/>
      <c r="BDD229" s="18"/>
      <c r="BDE229" s="18"/>
      <c r="BDF229" s="18"/>
      <c r="BDG229" s="18"/>
      <c r="BDH229" s="18"/>
      <c r="BDI229" s="18"/>
      <c r="BDJ229" s="18"/>
      <c r="BDK229" s="18"/>
      <c r="BDL229" s="18"/>
      <c r="BDM229" s="18"/>
      <c r="BDN229" s="18"/>
      <c r="BDO229" s="18"/>
      <c r="BDP229" s="18"/>
      <c r="BDQ229" s="18"/>
      <c r="BDR229" s="18"/>
      <c r="BDS229" s="18"/>
      <c r="BDT229" s="18"/>
      <c r="BDU229" s="18"/>
      <c r="BDV229" s="18"/>
      <c r="BDW229" s="18"/>
      <c r="BDX229" s="18"/>
      <c r="BDY229" s="18"/>
      <c r="BDZ229" s="18"/>
      <c r="BEA229" s="18"/>
      <c r="BEB229" s="18"/>
      <c r="BEC229" s="18"/>
      <c r="BED229" s="18"/>
      <c r="BEE229" s="18"/>
      <c r="BEF229" s="18"/>
      <c r="BEG229" s="18"/>
      <c r="BEH229" s="18"/>
      <c r="BEI229" s="18"/>
      <c r="BEJ229" s="18"/>
      <c r="BEK229" s="18"/>
      <c r="BEL229" s="18"/>
      <c r="BEM229" s="18"/>
      <c r="BEN229" s="18"/>
      <c r="BEO229" s="18"/>
      <c r="BEP229" s="18"/>
      <c r="BEQ229" s="18"/>
      <c r="BER229" s="18"/>
      <c r="BES229" s="18"/>
      <c r="BET229" s="18"/>
      <c r="BEU229" s="18"/>
      <c r="BEV229" s="18"/>
      <c r="BEW229" s="18"/>
      <c r="BEX229" s="18"/>
      <c r="BEY229" s="18"/>
      <c r="BEZ229" s="18"/>
      <c r="BFA229" s="18"/>
      <c r="BFB229" s="18"/>
      <c r="BFC229" s="18"/>
      <c r="BFD229" s="18"/>
      <c r="BFE229" s="18"/>
      <c r="BFF229" s="18"/>
      <c r="BFG229" s="18"/>
      <c r="BFH229" s="18"/>
      <c r="BFI229" s="18"/>
      <c r="BFJ229" s="18"/>
      <c r="BFK229" s="18"/>
      <c r="BFL229" s="18"/>
      <c r="BFM229" s="18"/>
      <c r="BFN229" s="18"/>
      <c r="BFO229" s="18"/>
      <c r="BFP229" s="18"/>
      <c r="BFQ229" s="18"/>
      <c r="BFR229" s="18"/>
      <c r="BFS229" s="18"/>
      <c r="BFT229" s="18"/>
      <c r="BFU229" s="18"/>
      <c r="BFV229" s="18"/>
      <c r="BFW229" s="18"/>
      <c r="BFX229" s="18"/>
      <c r="BFY229" s="18"/>
      <c r="BFZ229" s="18"/>
      <c r="BGA229" s="18"/>
      <c r="BGB229" s="18"/>
      <c r="BGC229" s="18"/>
      <c r="BGD229" s="18"/>
      <c r="BGE229" s="18"/>
      <c r="BGF229" s="18"/>
      <c r="BGG229" s="18"/>
      <c r="BGH229" s="18"/>
      <c r="BGI229" s="18"/>
      <c r="BGJ229" s="18"/>
      <c r="BGK229" s="18"/>
      <c r="BGL229" s="18"/>
      <c r="BGM229" s="18"/>
      <c r="BGN229" s="18"/>
      <c r="BGO229" s="18"/>
      <c r="BGP229" s="18"/>
      <c r="BGQ229" s="18"/>
      <c r="BGR229" s="18"/>
      <c r="BGS229" s="18"/>
      <c r="BGT229" s="18"/>
      <c r="BGU229" s="18"/>
      <c r="BGV229" s="18"/>
      <c r="BGW229" s="18"/>
      <c r="BGX229" s="18"/>
      <c r="BGY229" s="18"/>
      <c r="BGZ229" s="18"/>
      <c r="BHA229" s="18"/>
      <c r="BHB229" s="18"/>
      <c r="BHC229" s="18"/>
      <c r="BHD229" s="18"/>
      <c r="BHE229" s="18"/>
      <c r="BHF229" s="18"/>
      <c r="BHG229" s="18"/>
      <c r="BHH229" s="18"/>
      <c r="BHI229" s="18"/>
      <c r="BHJ229" s="18"/>
      <c r="BHK229" s="18"/>
      <c r="BHL229" s="18"/>
      <c r="BHM229" s="18"/>
      <c r="BHN229" s="18"/>
      <c r="BHO229" s="18"/>
      <c r="BHP229" s="18"/>
      <c r="BHQ229" s="18"/>
      <c r="BHR229" s="18"/>
      <c r="BHS229" s="18"/>
      <c r="BHT229" s="18"/>
      <c r="BHU229" s="18"/>
      <c r="BHV229" s="18"/>
      <c r="BHW229" s="18"/>
      <c r="BHX229" s="18"/>
      <c r="BHY229" s="18"/>
      <c r="BHZ229" s="18"/>
      <c r="BIA229" s="18"/>
      <c r="BIB229" s="18"/>
      <c r="BIC229" s="18"/>
      <c r="BID229" s="18"/>
      <c r="BIE229" s="18"/>
      <c r="BIF229" s="18"/>
      <c r="BIG229" s="18"/>
      <c r="BIH229" s="18"/>
      <c r="BII229" s="18"/>
      <c r="BIJ229" s="18"/>
      <c r="BIK229" s="18"/>
      <c r="BIL229" s="18"/>
      <c r="BIM229" s="18"/>
      <c r="BIN229" s="18"/>
      <c r="BIO229" s="18"/>
      <c r="BIP229" s="18"/>
      <c r="BIQ229" s="18"/>
      <c r="BIR229" s="18"/>
      <c r="BIS229" s="18"/>
      <c r="BIT229" s="18"/>
      <c r="BIU229" s="18"/>
      <c r="BIV229" s="18"/>
      <c r="BIW229" s="18"/>
      <c r="BIX229" s="18"/>
      <c r="BIY229" s="18"/>
      <c r="BIZ229" s="18"/>
      <c r="BJA229" s="18"/>
      <c r="BJB229" s="18"/>
      <c r="BJC229" s="18"/>
      <c r="BJD229" s="18"/>
      <c r="BJE229" s="18"/>
      <c r="BJF229" s="18"/>
      <c r="BJG229" s="18"/>
      <c r="BJH229" s="18"/>
      <c r="BJI229" s="18"/>
      <c r="BJJ229" s="18"/>
      <c r="BJK229" s="18"/>
      <c r="BJL229" s="18"/>
      <c r="BJM229" s="18"/>
      <c r="BJN229" s="18"/>
      <c r="BJO229" s="18"/>
      <c r="BJP229" s="18"/>
      <c r="BJQ229" s="18"/>
      <c r="BJR229" s="18"/>
      <c r="BJS229" s="18"/>
      <c r="BJT229" s="18"/>
      <c r="BJU229" s="18"/>
      <c r="BJV229" s="18"/>
      <c r="BJW229" s="18"/>
      <c r="BJX229" s="18"/>
      <c r="BJY229" s="18"/>
      <c r="BJZ229" s="18"/>
      <c r="BKA229" s="18"/>
      <c r="BKB229" s="18"/>
      <c r="BKC229" s="18"/>
      <c r="BKD229" s="18"/>
      <c r="BKE229" s="18"/>
      <c r="BKF229" s="18"/>
      <c r="BKG229" s="18"/>
      <c r="BKH229" s="18"/>
      <c r="BKI229" s="18"/>
      <c r="BKJ229" s="18"/>
      <c r="BKK229" s="18"/>
      <c r="BKL229" s="18"/>
      <c r="BKM229" s="18"/>
      <c r="BKN229" s="18"/>
      <c r="BKO229" s="18"/>
      <c r="BKP229" s="18"/>
      <c r="BKQ229" s="18"/>
      <c r="BKR229" s="18"/>
      <c r="BKS229" s="18"/>
      <c r="BKT229" s="18"/>
      <c r="BKU229" s="18"/>
      <c r="BKV229" s="18"/>
      <c r="BKW229" s="18"/>
      <c r="BKX229" s="18"/>
      <c r="BKY229" s="18"/>
      <c r="BKZ229" s="18"/>
      <c r="BLA229" s="18"/>
      <c r="BLB229" s="18"/>
      <c r="BLC229" s="18"/>
      <c r="BLD229" s="18"/>
      <c r="BLE229" s="18"/>
      <c r="BLF229" s="18"/>
      <c r="BLG229" s="18"/>
      <c r="BLH229" s="18"/>
      <c r="BLI229" s="18"/>
      <c r="BLJ229" s="18"/>
      <c r="BLK229" s="18"/>
      <c r="BLL229" s="18"/>
      <c r="BLM229" s="18"/>
      <c r="BLN229" s="18"/>
      <c r="BLO229" s="18"/>
      <c r="BLP229" s="18"/>
      <c r="BLQ229" s="18"/>
      <c r="BLR229" s="18"/>
      <c r="BLS229" s="18"/>
      <c r="BLT229" s="18"/>
      <c r="BLU229" s="18"/>
      <c r="BLV229" s="18"/>
      <c r="BLW229" s="18"/>
      <c r="BLX229" s="18"/>
      <c r="BLY229" s="18"/>
      <c r="BLZ229" s="18"/>
      <c r="BMA229" s="18"/>
      <c r="BMB229" s="18"/>
      <c r="BMC229" s="18"/>
      <c r="BMD229" s="18"/>
      <c r="BME229" s="18"/>
      <c r="BMF229" s="18"/>
      <c r="BMG229" s="18"/>
      <c r="BMH229" s="18"/>
      <c r="BMI229" s="18"/>
      <c r="BMJ229" s="18"/>
      <c r="BMK229" s="18"/>
      <c r="BML229" s="18"/>
      <c r="BMM229" s="18"/>
      <c r="BMN229" s="18"/>
      <c r="BMO229" s="18"/>
      <c r="BMP229" s="18"/>
      <c r="BMQ229" s="18"/>
      <c r="BMR229" s="18"/>
      <c r="BMS229" s="18"/>
      <c r="BMT229" s="18"/>
      <c r="BMU229" s="18"/>
      <c r="BMV229" s="18"/>
      <c r="BMW229" s="18"/>
      <c r="BMX229" s="18"/>
      <c r="BMY229" s="18"/>
      <c r="BMZ229" s="18"/>
      <c r="BNA229" s="18"/>
      <c r="BNB229" s="18"/>
      <c r="BNC229" s="18"/>
      <c r="BND229" s="18"/>
      <c r="BNE229" s="18"/>
      <c r="BNF229" s="18"/>
      <c r="BNG229" s="18"/>
      <c r="BNH229" s="18"/>
      <c r="BNI229" s="18"/>
      <c r="BNJ229" s="18"/>
      <c r="BNK229" s="18"/>
      <c r="BNL229" s="18"/>
      <c r="BNM229" s="18"/>
      <c r="BNN229" s="18"/>
      <c r="BNO229" s="18"/>
      <c r="BNP229" s="18"/>
      <c r="BNQ229" s="18"/>
      <c r="BNR229" s="18"/>
      <c r="BNS229" s="18"/>
      <c r="BNT229" s="18"/>
      <c r="BNU229" s="18"/>
      <c r="BNV229" s="18"/>
      <c r="BNW229" s="18"/>
      <c r="BNX229" s="18"/>
      <c r="BNY229" s="18"/>
      <c r="BNZ229" s="18"/>
      <c r="BOA229" s="18"/>
      <c r="BOB229" s="18"/>
      <c r="BOC229" s="18"/>
      <c r="BOD229" s="18"/>
      <c r="BOE229" s="18"/>
      <c r="BOF229" s="18"/>
      <c r="BOG229" s="18"/>
      <c r="BOH229" s="18"/>
      <c r="BOI229" s="18"/>
      <c r="BOJ229" s="18"/>
      <c r="BOK229" s="18"/>
      <c r="BOL229" s="18"/>
      <c r="BOM229" s="18"/>
      <c r="BON229" s="18"/>
      <c r="BOO229" s="18"/>
      <c r="BOP229" s="18"/>
      <c r="BOQ229" s="18"/>
      <c r="BOR229" s="18"/>
      <c r="BOS229" s="18"/>
      <c r="BOT229" s="18"/>
      <c r="BOU229" s="18"/>
      <c r="BOV229" s="18"/>
      <c r="BOW229" s="18"/>
      <c r="BOX229" s="18"/>
      <c r="BOY229" s="18"/>
      <c r="BOZ229" s="18"/>
      <c r="BPA229" s="18"/>
      <c r="BPB229" s="18"/>
      <c r="BPC229" s="18"/>
      <c r="BPD229" s="18"/>
      <c r="BPE229" s="18"/>
      <c r="BPF229" s="18"/>
      <c r="BPG229" s="18"/>
      <c r="BPH229" s="18"/>
      <c r="BPI229" s="18"/>
      <c r="BPJ229" s="18"/>
      <c r="BPK229" s="18"/>
      <c r="BPL229" s="18"/>
      <c r="BPM229" s="18"/>
      <c r="BPN229" s="18"/>
      <c r="BPO229" s="18"/>
      <c r="BPP229" s="18"/>
      <c r="BPQ229" s="18"/>
      <c r="BPR229" s="18"/>
      <c r="BPS229" s="18"/>
      <c r="BPT229" s="18"/>
      <c r="BPU229" s="18"/>
      <c r="BPV229" s="18"/>
      <c r="BPW229" s="18"/>
      <c r="BPX229" s="18"/>
      <c r="BPY229" s="18"/>
      <c r="BPZ229" s="18"/>
      <c r="BQA229" s="18"/>
      <c r="BQB229" s="18"/>
      <c r="BQC229" s="18"/>
      <c r="BQD229" s="18"/>
      <c r="BQE229" s="18"/>
      <c r="BQF229" s="18"/>
      <c r="BQG229" s="18"/>
      <c r="BQH229" s="18"/>
      <c r="BQI229" s="18"/>
      <c r="BQJ229" s="18"/>
      <c r="BQK229" s="18"/>
      <c r="BQL229" s="18"/>
      <c r="BQM229" s="18"/>
      <c r="BQN229" s="18"/>
      <c r="BQO229" s="18"/>
      <c r="BQP229" s="18"/>
      <c r="BQQ229" s="18"/>
      <c r="BQR229" s="18"/>
      <c r="BQS229" s="18"/>
      <c r="BQT229" s="18"/>
      <c r="BQU229" s="18"/>
      <c r="BQV229" s="18"/>
      <c r="BQW229" s="18"/>
      <c r="BQX229" s="18"/>
      <c r="BQY229" s="18"/>
      <c r="BQZ229" s="18"/>
      <c r="BRA229" s="18"/>
      <c r="BRB229" s="18"/>
      <c r="BRC229" s="18"/>
      <c r="BRD229" s="18"/>
      <c r="BRE229" s="18"/>
      <c r="BRF229" s="18"/>
      <c r="BRG229" s="18"/>
      <c r="BRH229" s="18"/>
      <c r="BRI229" s="18"/>
      <c r="BRJ229" s="18"/>
      <c r="BRK229" s="18"/>
      <c r="BRL229" s="18"/>
      <c r="BRM229" s="18"/>
      <c r="BRN229" s="18"/>
      <c r="BRO229" s="18"/>
      <c r="BRP229" s="18"/>
      <c r="BRQ229" s="18"/>
      <c r="BRR229" s="18"/>
      <c r="BRS229" s="18"/>
      <c r="BRT229" s="18"/>
      <c r="BRU229" s="18"/>
      <c r="BRV229" s="18"/>
      <c r="BRW229" s="18"/>
      <c r="BRX229" s="18"/>
      <c r="BRY229" s="18"/>
      <c r="BRZ229" s="18"/>
      <c r="BSA229" s="18"/>
      <c r="BSB229" s="18"/>
      <c r="BSC229" s="18"/>
      <c r="BSD229" s="18"/>
      <c r="BSE229" s="18"/>
      <c r="BSF229" s="18"/>
      <c r="BSG229" s="18"/>
      <c r="BSH229" s="18"/>
      <c r="BSI229" s="18"/>
      <c r="BSJ229" s="18"/>
      <c r="BSK229" s="18"/>
      <c r="BSL229" s="18"/>
      <c r="BSM229" s="18"/>
      <c r="BSN229" s="18"/>
      <c r="BSO229" s="18"/>
      <c r="BSP229" s="18"/>
      <c r="BSQ229" s="18"/>
      <c r="BSR229" s="18"/>
      <c r="BSS229" s="18"/>
      <c r="BST229" s="18"/>
      <c r="BSU229" s="18"/>
      <c r="BSV229" s="18"/>
      <c r="BSW229" s="18"/>
      <c r="BSX229" s="18"/>
      <c r="BSY229" s="18"/>
      <c r="BSZ229" s="18"/>
      <c r="BTA229" s="18"/>
      <c r="BTB229" s="18"/>
      <c r="BTC229" s="18"/>
      <c r="BTD229" s="18"/>
      <c r="BTE229" s="18"/>
      <c r="BTF229" s="18"/>
      <c r="BTG229" s="18"/>
      <c r="BTH229" s="18"/>
      <c r="BTI229" s="18"/>
    </row>
    <row r="230" spans="1:1881" ht="35.25" customHeight="1" x14ac:dyDescent="0.3">
      <c r="A230" s="100"/>
      <c r="B230" s="492" t="s">
        <v>25</v>
      </c>
      <c r="C230" s="502"/>
      <c r="D230" s="495"/>
      <c r="E230" s="495"/>
      <c r="F230" s="509"/>
      <c r="G230" s="477"/>
      <c r="H230" s="17"/>
      <c r="I230" s="72"/>
      <c r="J230" s="72"/>
      <c r="K230"/>
      <c r="L230" s="550"/>
    </row>
    <row r="231" spans="1:1881" ht="151.19999999999999" customHeight="1" x14ac:dyDescent="0.3">
      <c r="A231" s="117">
        <v>621</v>
      </c>
      <c r="B231" s="117" t="s">
        <v>326</v>
      </c>
      <c r="C231" s="117" t="s">
        <v>356</v>
      </c>
      <c r="D231" s="116" t="s">
        <v>675</v>
      </c>
      <c r="E231" s="373" t="e">
        <f>INDEX('PY1 Data(H)'!$A$1:$CZ$265,MATCH('Unit Data from Audit Worksheet'!$A231,'PY1 Data(H)'!$A$1:$A$258,0),MATCH('Unit Data from Audit Worksheet'!$D$2,'PY1 Data(H)'!$A$1:$CZ$1,0))</f>
        <v>#N/A</v>
      </c>
      <c r="F231" s="810">
        <v>0</v>
      </c>
      <c r="G231" s="432" t="s">
        <v>676</v>
      </c>
      <c r="K231"/>
      <c r="L231" s="550"/>
    </row>
    <row r="232" spans="1:1881" ht="178.2" customHeight="1" x14ac:dyDescent="0.3">
      <c r="A232" s="100">
        <v>547</v>
      </c>
      <c r="B232" s="375"/>
      <c r="C232" s="375" t="s">
        <v>159</v>
      </c>
      <c r="D232" s="751" t="s">
        <v>1620</v>
      </c>
      <c r="E232" s="373" t="e">
        <f>INDEX('PY1 Data(H)'!$A$1:$CZ$265,MATCH('Unit Data from Audit Worksheet'!$A232,'PY1 Data(H)'!$A$1:$A$258,0),MATCH('Unit Data from Audit Worksheet'!$D$2,'PY1 Data(H)'!$A$1:$CZ$1,0))</f>
        <v>#N/A</v>
      </c>
      <c r="F232" s="185"/>
      <c r="G232" s="431" t="str">
        <f>IF(F232&lt;1,"Please answer this question","")</f>
        <v>Please answer this question</v>
      </c>
      <c r="H232" s="404"/>
      <c r="I232" s="405"/>
      <c r="J232" s="405"/>
      <c r="K232"/>
      <c r="L232" s="550"/>
    </row>
    <row r="233" spans="1:1881" s="18" customFormat="1" ht="120" customHeight="1" x14ac:dyDescent="0.3">
      <c r="A233" s="191">
        <v>659</v>
      </c>
      <c r="B233" s="462" t="s">
        <v>58</v>
      </c>
      <c r="C233" s="462" t="s">
        <v>346</v>
      </c>
      <c r="D233" s="194" t="s">
        <v>677</v>
      </c>
      <c r="E233" s="373" t="e">
        <f>INDEX('PY1 Data(H)'!$A$1:$CZ$265,MATCH('Unit Data from Audit Worksheet'!$A233,'PY1 Data(H)'!$A$1:$A$258,0),MATCH('Unit Data from Audit Worksheet'!$D$2,'PY1 Data(H)'!$A$1:$CZ$1,0))</f>
        <v>#N/A</v>
      </c>
      <c r="F233" s="810">
        <v>0</v>
      </c>
      <c r="G233" s="432" t="s">
        <v>678</v>
      </c>
      <c r="H233" s="403">
        <f>IF(F230&lt;0,"Error: Enter as positive.",)</f>
        <v>0</v>
      </c>
      <c r="I233" s="244"/>
      <c r="J233" s="244"/>
      <c r="K233"/>
      <c r="L233" s="550"/>
      <c r="M233"/>
      <c r="O233" s="1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row>
    <row r="234" spans="1:1881" ht="65.25" customHeight="1" x14ac:dyDescent="0.3">
      <c r="A234" s="191">
        <v>660</v>
      </c>
      <c r="B234" s="462" t="s">
        <v>58</v>
      </c>
      <c r="C234" s="462" t="s">
        <v>346</v>
      </c>
      <c r="D234" s="194" t="s">
        <v>679</v>
      </c>
      <c r="E234" s="373" t="e">
        <f>INDEX('PY1 Data(H)'!$A$1:$CZ$265,MATCH('Unit Data from Audit Worksheet'!$A234,'PY1 Data(H)'!$A$1:$A$258,0),MATCH('Unit Data from Audit Worksheet'!$D$2,'PY1 Data(H)'!$A$1:$CZ$1,0))</f>
        <v>#N/A</v>
      </c>
      <c r="F234" s="810">
        <v>0</v>
      </c>
      <c r="G234" s="432" t="str">
        <f>IF(ISBLANK(F234),"Please do not leave blank","")</f>
        <v/>
      </c>
      <c r="H234" s="403">
        <f>IF(F231&lt;0,"Note: Number is normally positive.",)</f>
        <v>0</v>
      </c>
      <c r="I234" s="17"/>
      <c r="J234" s="17"/>
      <c r="K234"/>
      <c r="L234" s="550"/>
    </row>
    <row r="235" spans="1:1881" ht="94.5" customHeight="1" x14ac:dyDescent="0.3">
      <c r="A235" s="191">
        <v>661</v>
      </c>
      <c r="B235" s="462" t="s">
        <v>58</v>
      </c>
      <c r="C235" s="462" t="s">
        <v>348</v>
      </c>
      <c r="D235" s="345" t="s">
        <v>680</v>
      </c>
      <c r="E235" s="812" t="e">
        <f>INDEX('PY1 Data(H)'!$A$1:$CZ$265,MATCH('Unit Data from Audit Worksheet'!$A235,'PY1 Data(H)'!$A$1:$A$258,0),MATCH('Unit Data from Audit Worksheet'!$D$2,'PY1 Data(H)'!$A$1:$CZ$1,0))</f>
        <v>#N/A</v>
      </c>
      <c r="F235" s="813">
        <v>0</v>
      </c>
      <c r="G235" s="432" t="str">
        <f>IF(ISBLANK(F235),"Please do not leave blank ",IF(F235=H235,"","Please review percentage"))</f>
        <v/>
      </c>
      <c r="H235" s="814">
        <f>ROUND(IFERROR((F234/F233)*100,0),1)</f>
        <v>0</v>
      </c>
      <c r="I235" s="433"/>
      <c r="J235" s="433"/>
      <c r="K235"/>
      <c r="L235" s="550"/>
    </row>
    <row r="236" spans="1:1881" ht="111.75" customHeight="1" x14ac:dyDescent="0.3">
      <c r="A236" s="100"/>
      <c r="B236" s="375"/>
      <c r="C236" s="375"/>
      <c r="D236" s="24" t="s">
        <v>26</v>
      </c>
      <c r="E236" s="373"/>
      <c r="F236" s="377"/>
      <c r="G236" s="432"/>
      <c r="H236" s="433"/>
      <c r="I236" s="434"/>
      <c r="J236" s="434"/>
      <c r="K236"/>
      <c r="L236" s="550"/>
    </row>
    <row r="237" spans="1:1881" ht="32.25" customHeight="1" x14ac:dyDescent="0.3">
      <c r="A237" s="100"/>
      <c r="B237" s="492" t="s">
        <v>27</v>
      </c>
      <c r="C237" s="502"/>
      <c r="D237" s="495"/>
      <c r="E237" s="508"/>
      <c r="F237" s="508"/>
      <c r="G237" s="477"/>
      <c r="H237" s="17"/>
      <c r="I237" s="72"/>
      <c r="J237" s="72"/>
      <c r="K237"/>
      <c r="L237" s="550"/>
    </row>
    <row r="238" spans="1:1881" ht="63.75" customHeight="1" x14ac:dyDescent="0.3">
      <c r="A238" s="30">
        <v>371</v>
      </c>
      <c r="B238" s="4" t="s">
        <v>55</v>
      </c>
      <c r="C238" s="4" t="s">
        <v>160</v>
      </c>
      <c r="D238" s="21" t="s">
        <v>773</v>
      </c>
      <c r="E238" s="373" t="e">
        <f>INDEX('PY1 Data(H)'!$A$1:$CZ$265,MATCH('Unit Data from Audit Worksheet'!$A238,'PY1 Data(H)'!$A$1:$A$258,0),MATCH('Unit Data from Audit Worksheet'!$D$2,'PY1 Data(H)'!$A$1:$CZ$1,0))</f>
        <v>#N/A</v>
      </c>
      <c r="F238" s="810">
        <v>0</v>
      </c>
      <c r="G238" s="403">
        <f>IF(F238&lt;0,"Error: Enter as positive.",)</f>
        <v>0</v>
      </c>
      <c r="H238" s="17"/>
      <c r="I238" s="72"/>
      <c r="J238" s="72"/>
      <c r="K238"/>
      <c r="L238" s="550"/>
    </row>
    <row r="239" spans="1:1881" ht="63.75" customHeight="1" x14ac:dyDescent="0.3">
      <c r="A239" s="628">
        <v>1075</v>
      </c>
      <c r="B239" s="798" t="s">
        <v>58</v>
      </c>
      <c r="C239" s="464" t="s">
        <v>160</v>
      </c>
      <c r="D239" s="655" t="s">
        <v>1929</v>
      </c>
      <c r="E239" s="630" t="s">
        <v>1663</v>
      </c>
      <c r="F239" s="810">
        <v>0</v>
      </c>
      <c r="G239" s="403"/>
      <c r="H239" s="17"/>
      <c r="I239" s="72"/>
      <c r="J239" s="72"/>
      <c r="K239" s="180"/>
      <c r="L239" s="550"/>
      <c r="M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row>
    <row r="240" spans="1:1881" ht="63.75" customHeight="1" x14ac:dyDescent="0.3">
      <c r="A240" s="628">
        <v>1076</v>
      </c>
      <c r="B240" s="798" t="s">
        <v>58</v>
      </c>
      <c r="C240" s="464" t="s">
        <v>160</v>
      </c>
      <c r="D240" s="655" t="s">
        <v>1930</v>
      </c>
      <c r="E240" s="630" t="s">
        <v>1663</v>
      </c>
      <c r="F240" s="810">
        <v>0</v>
      </c>
      <c r="G240" s="403"/>
      <c r="H240" s="17"/>
      <c r="I240" s="72"/>
      <c r="J240" s="72"/>
      <c r="K240" s="180"/>
      <c r="L240" s="550"/>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23" ht="100.8" x14ac:dyDescent="0.3">
      <c r="A241" s="628">
        <v>1077</v>
      </c>
      <c r="B241" s="798" t="s">
        <v>58</v>
      </c>
      <c r="C241" s="722" t="s">
        <v>1933</v>
      </c>
      <c r="D241" s="655" t="s">
        <v>1662</v>
      </c>
      <c r="E241" s="630" t="s">
        <v>1663</v>
      </c>
      <c r="F241" s="810">
        <v>0</v>
      </c>
      <c r="G241" s="403"/>
      <c r="H241" s="17"/>
      <c r="I241" s="72"/>
      <c r="J241" s="72"/>
      <c r="K241" s="180"/>
      <c r="L241" s="550"/>
      <c r="M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c r="CV241" s="180"/>
      <c r="CW241" s="180"/>
      <c r="CX241" s="180"/>
      <c r="CY241" s="180"/>
      <c r="CZ241" s="180"/>
      <c r="DA241" s="180"/>
      <c r="DB241" s="180"/>
      <c r="DC241" s="180"/>
      <c r="DD241" s="180"/>
      <c r="DE241" s="180"/>
      <c r="DF241" s="180"/>
      <c r="DG241" s="180"/>
      <c r="DH241" s="180"/>
      <c r="DI241" s="180"/>
      <c r="DJ241" s="180"/>
      <c r="DK241" s="180"/>
      <c r="DL241" s="180"/>
      <c r="DM241" s="180"/>
      <c r="DN241" s="180"/>
      <c r="DO241" s="180"/>
      <c r="DP241" s="180"/>
      <c r="DQ241" s="180"/>
      <c r="DR241" s="180"/>
      <c r="DS241" s="180"/>
    </row>
    <row r="242" spans="1:123" ht="70.5" customHeight="1" x14ac:dyDescent="0.3">
      <c r="A242" s="100">
        <v>513</v>
      </c>
      <c r="B242" s="460" t="s">
        <v>57</v>
      </c>
      <c r="C242" s="4" t="s">
        <v>160</v>
      </c>
      <c r="D242" s="21" t="s">
        <v>774</v>
      </c>
      <c r="E242" s="809" t="e">
        <f>INDEX('PY1 Data(H)'!$A$1:$CZ$265,MATCH('Unit Data from Audit Worksheet'!$A242,'PY1 Data(H)'!$A$1:$A$258,0),MATCH('Unit Data from Audit Worksheet'!$D$2,'PY1 Data(H)'!$A$1:$CZ$1,0))</f>
        <v>#N/A</v>
      </c>
      <c r="F242" s="185">
        <v>0</v>
      </c>
      <c r="G242" s="403">
        <f>IF(F242&lt;0,"Error: Enter as positive.",)</f>
        <v>0</v>
      </c>
      <c r="H242" s="404"/>
      <c r="I242" s="405"/>
      <c r="J242" s="405"/>
      <c r="K242"/>
      <c r="L242" s="550"/>
    </row>
    <row r="243" spans="1:123" ht="80.25" customHeight="1" x14ac:dyDescent="0.3">
      <c r="A243" s="100">
        <v>514</v>
      </c>
      <c r="B243" s="460" t="s">
        <v>57</v>
      </c>
      <c r="C243" s="4" t="s">
        <v>160</v>
      </c>
      <c r="D243" s="21" t="s">
        <v>775</v>
      </c>
      <c r="E243" s="809" t="e">
        <f>INDEX('PY1 Data(H)'!$A$1:$CZ$265,MATCH('Unit Data from Audit Worksheet'!$A243,'PY1 Data(H)'!$A$1:$A$258,0),MATCH('Unit Data from Audit Worksheet'!$D$2,'PY1 Data(H)'!$A$1:$CZ$1,0))</f>
        <v>#N/A</v>
      </c>
      <c r="F243" s="185">
        <v>0</v>
      </c>
      <c r="G243" s="403">
        <f>IF(F243&lt;0,"Error: Enter as positive.",)</f>
        <v>0</v>
      </c>
      <c r="H243" s="17"/>
      <c r="I243" s="405"/>
      <c r="J243" s="405"/>
      <c r="K243"/>
      <c r="L243" s="550"/>
    </row>
    <row r="244" spans="1:123" ht="80.25" customHeight="1" x14ac:dyDescent="0.3">
      <c r="A244" s="100">
        <v>990</v>
      </c>
      <c r="B244" s="966" t="s">
        <v>1979</v>
      </c>
      <c r="C244" s="375" t="s">
        <v>160</v>
      </c>
      <c r="D244" s="21" t="s">
        <v>1506</v>
      </c>
      <c r="E244" s="809" t="e">
        <f>INDEX('PY1 Data(H)'!$A$1:$CZ$265,MATCH('Unit Data from Audit Worksheet'!$A244,'PY1 Data(H)'!$A$1:$A$258,0),MATCH('Unit Data from Audit Worksheet'!$D$2,'PY1 Data(H)'!$A$1:$CZ$1,0))</f>
        <v>#N/A</v>
      </c>
      <c r="F244" s="185">
        <v>0</v>
      </c>
      <c r="G244" s="403">
        <f>IF(F244&lt;0,"Error: Enter as positive.",)</f>
        <v>0</v>
      </c>
      <c r="H244" s="17"/>
      <c r="I244" s="405"/>
      <c r="J244" s="405"/>
      <c r="K244"/>
      <c r="L244" s="550"/>
    </row>
    <row r="245" spans="1:123" ht="96" customHeight="1" x14ac:dyDescent="0.3">
      <c r="A245" s="375">
        <v>1051</v>
      </c>
      <c r="B245" s="968" t="s">
        <v>1975</v>
      </c>
      <c r="C245" s="716" t="s">
        <v>1511</v>
      </c>
      <c r="D245" s="797" t="s">
        <v>1502</v>
      </c>
      <c r="E245" s="809" t="e">
        <f>INDEX('PY1 Data(H)'!$A$1:$CZ$265,MATCH('Unit Data from Audit Worksheet'!$A245,'PY1 Data(H)'!$A$1:$A$258,0),MATCH('Unit Data from Audit Worksheet'!$D$2,'PY1 Data(H)'!$A$1:$CZ$1,0))</f>
        <v>#N/A</v>
      </c>
      <c r="F245" s="185">
        <v>0</v>
      </c>
      <c r="G245" s="403">
        <f>IF(F245&lt;0,"Error: Enter as positive.",)</f>
        <v>0</v>
      </c>
      <c r="H245" s="17"/>
      <c r="I245" s="405"/>
      <c r="J245" s="405"/>
      <c r="K245" s="180"/>
      <c r="L245" s="550"/>
      <c r="M245" s="180"/>
      <c r="Z245" s="180"/>
      <c r="AA245" s="180"/>
      <c r="AB245" s="180"/>
      <c r="AC245" s="180"/>
      <c r="AD245" s="180"/>
      <c r="AE245" s="180"/>
      <c r="AF245" s="180"/>
      <c r="AG245" s="180"/>
      <c r="AH245" s="180"/>
      <c r="AI245" s="180"/>
      <c r="AJ245" s="180"/>
      <c r="AK245" s="180"/>
      <c r="AL245" s="180"/>
      <c r="AM245" s="180"/>
      <c r="AN245" s="180"/>
      <c r="AO245" s="180"/>
      <c r="AP245" s="180"/>
      <c r="AQ245" s="180"/>
      <c r="AR245" s="180"/>
      <c r="AS245" s="180"/>
      <c r="AT245" s="180"/>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c r="CV245" s="180"/>
      <c r="CW245" s="180"/>
      <c r="CX245" s="180"/>
      <c r="CY245" s="180"/>
      <c r="CZ245" s="180"/>
      <c r="DA245" s="180"/>
      <c r="DB245" s="180"/>
      <c r="DC245" s="180"/>
      <c r="DD245" s="180"/>
      <c r="DE245" s="180"/>
      <c r="DF245" s="180"/>
      <c r="DG245" s="180"/>
      <c r="DH245" s="180"/>
      <c r="DI245" s="180"/>
      <c r="DJ245" s="180"/>
      <c r="DK245" s="180"/>
      <c r="DL245" s="180"/>
      <c r="DM245" s="180"/>
      <c r="DN245" s="180"/>
      <c r="DO245" s="180"/>
      <c r="DP245" s="180"/>
      <c r="DQ245" s="180"/>
      <c r="DR245" s="180"/>
      <c r="DS245" s="180"/>
    </row>
    <row r="246" spans="1:123" ht="32.25" customHeight="1" x14ac:dyDescent="0.3">
      <c r="A246" s="100"/>
      <c r="B246" s="492" t="s">
        <v>28</v>
      </c>
      <c r="C246" s="502"/>
      <c r="D246" s="495"/>
      <c r="E246" s="477"/>
      <c r="F246" s="477"/>
      <c r="G246" s="477"/>
      <c r="H246" s="17"/>
      <c r="I246" s="72"/>
      <c r="J246" s="72"/>
      <c r="K246"/>
      <c r="L246" s="550"/>
    </row>
    <row r="247" spans="1:123" ht="68.25" customHeight="1" x14ac:dyDescent="0.3">
      <c r="A247" s="100">
        <v>6</v>
      </c>
      <c r="B247" s="965" t="s">
        <v>1960</v>
      </c>
      <c r="C247" s="4" t="s">
        <v>161</v>
      </c>
      <c r="D247" s="21" t="s">
        <v>776</v>
      </c>
      <c r="E247" s="373" t="e">
        <f>INDEX('PY1 Data(H)'!$A$1:$CZ$265,MATCH('Unit Data from Audit Worksheet'!$A247,'PY1 Data(H)'!$A$1:$A$258,0),MATCH('Unit Data from Audit Worksheet'!$D$2,'PY1 Data(H)'!$A$1:$CZ$1,0))</f>
        <v>#N/A</v>
      </c>
      <c r="F247" s="810">
        <v>0</v>
      </c>
      <c r="G247" s="403">
        <f>IF(F247&lt;0,"Error: Enter as positive.",)</f>
        <v>0</v>
      </c>
      <c r="H247" s="17"/>
      <c r="I247" s="72"/>
      <c r="J247" s="72"/>
      <c r="K247"/>
      <c r="L247" s="550"/>
    </row>
    <row r="248" spans="1:123" ht="33" customHeight="1" x14ac:dyDescent="0.3">
      <c r="A248" s="100"/>
      <c r="B248" s="492" t="s">
        <v>172</v>
      </c>
      <c r="C248" s="502"/>
      <c r="D248" s="495"/>
      <c r="E248" s="487"/>
      <c r="F248" s="487"/>
      <c r="G248" s="487"/>
      <c r="H248" s="404"/>
      <c r="I248" s="405"/>
      <c r="J248" s="405"/>
      <c r="K248"/>
      <c r="L248" s="550"/>
    </row>
    <row r="249" spans="1:123" ht="141" customHeight="1" x14ac:dyDescent="0.3">
      <c r="A249" s="100">
        <v>541</v>
      </c>
      <c r="B249" s="375" t="s">
        <v>58</v>
      </c>
      <c r="C249" s="375" t="s">
        <v>777</v>
      </c>
      <c r="D249" s="372" t="s">
        <v>778</v>
      </c>
      <c r="E249" s="373" t="e">
        <f>INDEX('PY1 Data(H)'!$A$1:$CZ$265,MATCH('Unit Data from Audit Worksheet'!$A249,'PY1 Data(H)'!$A$1:$A$258,0),MATCH('Unit Data from Audit Worksheet'!$D$2,'PY1 Data(H)'!$A$1:$CZ$1,0))</f>
        <v>#N/A</v>
      </c>
      <c r="F249" s="810">
        <v>0</v>
      </c>
      <c r="G249" s="403"/>
      <c r="H249" s="404"/>
      <c r="I249" s="405"/>
      <c r="J249" s="405"/>
      <c r="K249"/>
      <c r="L249" s="550"/>
    </row>
    <row r="250" spans="1:123" ht="28.5" customHeight="1" x14ac:dyDescent="0.3">
      <c r="A250" s="100"/>
      <c r="B250" s="492" t="s">
        <v>49</v>
      </c>
      <c r="C250" s="502"/>
      <c r="D250" s="495"/>
      <c r="E250" s="506"/>
      <c r="F250" s="506"/>
      <c r="G250" s="506"/>
      <c r="H250" s="404"/>
      <c r="I250" s="405"/>
      <c r="J250" s="405"/>
      <c r="K250"/>
      <c r="L250" s="550"/>
    </row>
    <row r="251" spans="1:123" ht="91.95" customHeight="1" x14ac:dyDescent="0.3">
      <c r="A251" s="100">
        <v>542</v>
      </c>
      <c r="B251" s="375" t="s">
        <v>58</v>
      </c>
      <c r="C251" s="467" t="s">
        <v>779</v>
      </c>
      <c r="D251" s="26" t="s">
        <v>162</v>
      </c>
      <c r="E251" s="373" t="e">
        <f>INDEX('PY1 Data(H)'!$A$1:$CZ$265,MATCH('Unit Data from Audit Worksheet'!$A251,'PY1 Data(H)'!$A$1:$A$258,0),MATCH('Unit Data from Audit Worksheet'!$D$2,'PY1 Data(H)'!$A$1:$CZ$1,0))</f>
        <v>#N/A</v>
      </c>
      <c r="F251" s="810">
        <v>0</v>
      </c>
      <c r="G251" s="403"/>
      <c r="H251" s="404"/>
      <c r="I251" s="435"/>
      <c r="J251" s="435"/>
      <c r="K251"/>
      <c r="L251" s="550"/>
    </row>
    <row r="252" spans="1:123" ht="21.6" customHeight="1" x14ac:dyDescent="0.3">
      <c r="A252" s="100"/>
      <c r="B252" s="492" t="s">
        <v>780</v>
      </c>
      <c r="C252" s="715"/>
      <c r="D252" s="470"/>
      <c r="E252" s="489"/>
      <c r="F252" s="489"/>
      <c r="G252" s="489"/>
      <c r="H252" s="17"/>
      <c r="I252" s="72"/>
      <c r="J252" s="72"/>
      <c r="K252"/>
      <c r="L252" s="550"/>
    </row>
    <row r="253" spans="1:123" ht="12.6" customHeight="1" x14ac:dyDescent="0.3">
      <c r="A253" s="100"/>
      <c r="B253" s="750" t="s">
        <v>12</v>
      </c>
      <c r="C253" s="723"/>
      <c r="D253" s="470"/>
      <c r="E253" s="510"/>
      <c r="F253" s="510"/>
      <c r="G253" s="489"/>
      <c r="H253" s="17"/>
      <c r="I253" s="72"/>
      <c r="J253" s="72"/>
      <c r="K253"/>
      <c r="L253" s="550"/>
    </row>
    <row r="254" spans="1:123" ht="77.25" customHeight="1" x14ac:dyDescent="0.3">
      <c r="A254" s="100">
        <v>528</v>
      </c>
      <c r="B254" s="375" t="s">
        <v>54</v>
      </c>
      <c r="C254" s="4" t="s">
        <v>163</v>
      </c>
      <c r="D254" s="324" t="s">
        <v>1942</v>
      </c>
      <c r="E254" s="373" t="e">
        <f>INDEX('PY1 Data(H)'!$A$1:$CZ$265,MATCH('Unit Data from Audit Worksheet'!$A254,'PY1 Data(H)'!$A$1:$A$258,0),MATCH('Unit Data from Audit Worksheet'!$D$2,'PY1 Data(H)'!$A$1:$CZ$1,0))</f>
        <v>#N/A</v>
      </c>
      <c r="F254" s="810">
        <v>0</v>
      </c>
      <c r="G254" s="403">
        <f>IF(F254="","Error: Unit must enter this information if they levy taxes.",)</f>
        <v>0</v>
      </c>
      <c r="H254" s="436"/>
      <c r="I254" s="72"/>
      <c r="J254" s="72"/>
      <c r="K254"/>
      <c r="L254" s="550"/>
    </row>
    <row r="255" spans="1:123" ht="69" customHeight="1" x14ac:dyDescent="0.3">
      <c r="A255" s="100">
        <v>529</v>
      </c>
      <c r="B255" s="375" t="s">
        <v>54</v>
      </c>
      <c r="C255" s="4" t="s">
        <v>163</v>
      </c>
      <c r="D255" s="324" t="s">
        <v>781</v>
      </c>
      <c r="E255" s="373" t="e">
        <f>INDEX('PY1 Data(H)'!$A$1:$CZ$265,MATCH('Unit Data from Audit Worksheet'!$A255,'PY1 Data(H)'!$A$1:$A$258,0),MATCH('Unit Data from Audit Worksheet'!$D$2,'PY1 Data(H)'!$A$1:$CZ$1,0))</f>
        <v>#N/A</v>
      </c>
      <c r="F255" s="810">
        <v>0</v>
      </c>
      <c r="G255" s="403">
        <f>IF(F255="","Error: Unit must enter this information if they levy taxes.",)</f>
        <v>0</v>
      </c>
      <c r="H255" s="17"/>
      <c r="I255" s="72"/>
      <c r="J255" s="72"/>
      <c r="K255"/>
      <c r="L255" s="550"/>
    </row>
    <row r="256" spans="1:123" ht="69" customHeight="1" x14ac:dyDescent="0.3">
      <c r="A256" s="100">
        <v>530</v>
      </c>
      <c r="B256" s="375" t="s">
        <v>54</v>
      </c>
      <c r="C256" s="4" t="s">
        <v>163</v>
      </c>
      <c r="D256" s="468" t="s">
        <v>782</v>
      </c>
      <c r="E256" s="373" t="e">
        <f>INDEX('PY1 Data(H)'!$A$1:$CZ$265,MATCH('Unit Data from Audit Worksheet'!$A256,'PY1 Data(H)'!$A$1:$A$258,0),MATCH('Unit Data from Audit Worksheet'!$D$2,'PY1 Data(H)'!$A$1:$CZ$1,0))</f>
        <v>#N/A</v>
      </c>
      <c r="F256" s="810">
        <v>0</v>
      </c>
      <c r="G256" s="403">
        <f>IF(F256="","Error: Unit must enter this information if they levy taxes.",)</f>
        <v>0</v>
      </c>
      <c r="H256" s="17"/>
      <c r="I256" s="72"/>
      <c r="J256" s="72"/>
      <c r="K256"/>
      <c r="L256" s="550"/>
    </row>
    <row r="257" spans="1:16" ht="55.5" customHeight="1" x14ac:dyDescent="0.3">
      <c r="A257" s="100">
        <v>531</v>
      </c>
      <c r="B257" s="375" t="s">
        <v>54</v>
      </c>
      <c r="C257" s="4" t="s">
        <v>163</v>
      </c>
      <c r="D257" s="468" t="s">
        <v>783</v>
      </c>
      <c r="E257" s="373" t="e">
        <f>INDEX('PY1 Data(H)'!$A$1:$CZ$265,MATCH('Unit Data from Audit Worksheet'!$A257,'PY1 Data(H)'!$A$1:$A$258,0),MATCH('Unit Data from Audit Worksheet'!$D$2,'PY1 Data(H)'!$A$1:$CZ$1,0))</f>
        <v>#N/A</v>
      </c>
      <c r="F257" s="810">
        <v>0</v>
      </c>
      <c r="G257" s="403">
        <f>IF(F257="","Error: Unit must enter this information if they levy taxes.",)</f>
        <v>0</v>
      </c>
      <c r="H257" s="17"/>
      <c r="I257" s="72"/>
      <c r="J257" s="72"/>
      <c r="K257"/>
      <c r="L257" s="550"/>
    </row>
    <row r="258" spans="1:16" ht="69" customHeight="1" x14ac:dyDescent="0.3">
      <c r="A258" s="100">
        <v>61</v>
      </c>
      <c r="B258" s="4" t="s">
        <v>58</v>
      </c>
      <c r="C258" s="4" t="s">
        <v>163</v>
      </c>
      <c r="D258" s="26" t="s">
        <v>784</v>
      </c>
      <c r="E258" s="818" t="e">
        <f>INDEX('PY1 Data(H)'!$A$1:$CZ$265,MATCH('Unit Data from Audit Worksheet'!$A258,'PY1 Data(H)'!$A$1:$A$258,0),MATCH('Unit Data from Audit Worksheet'!$D$2,'PY1 Data(H)'!$A$1:$CZ$1,0))</f>
        <v>#N/A</v>
      </c>
      <c r="F258" s="819">
        <v>0</v>
      </c>
      <c r="G258" s="403" t="e">
        <f>IF(F258=H258," ","Please check values in account 528, 529, 530 and  531.")</f>
        <v>#DIV/0!</v>
      </c>
      <c r="H258" s="437" t="e">
        <f>ROUND((F254+F255-F256-F257)/(F254+F255)*100,2)</f>
        <v>#DIV/0!</v>
      </c>
      <c r="I258" s="72"/>
      <c r="J258" s="72"/>
      <c r="K258"/>
      <c r="L258" s="550"/>
    </row>
    <row r="259" spans="1:16" ht="69" customHeight="1" x14ac:dyDescent="0.3">
      <c r="A259" s="100">
        <v>102</v>
      </c>
      <c r="B259" s="4" t="s">
        <v>58</v>
      </c>
      <c r="C259" s="4" t="s">
        <v>163</v>
      </c>
      <c r="D259" s="53" t="s">
        <v>785</v>
      </c>
      <c r="E259" s="818" t="e">
        <f>INDEX('PY1 Data(H)'!$A$1:$CZ$265,MATCH('Unit Data from Audit Worksheet'!$A259,'PY1 Data(H)'!$A$1:$A$258,0),MATCH('Unit Data from Audit Worksheet'!$D$2,'PY1 Data(H)'!$A$1:$CZ$1,0))</f>
        <v>#N/A</v>
      </c>
      <c r="F259" s="819">
        <v>0</v>
      </c>
      <c r="G259" s="403" t="e">
        <f>IF(F259=H259," ","Please check values in account 528 and 530.")</f>
        <v>#DIV/0!</v>
      </c>
      <c r="H259" s="437" t="e">
        <f>ROUND((F254-F256)/(F254)*100,2)</f>
        <v>#DIV/0!</v>
      </c>
      <c r="I259" s="72"/>
      <c r="J259" s="72"/>
      <c r="K259"/>
      <c r="L259" s="550"/>
    </row>
    <row r="260" spans="1:16" ht="63.75" customHeight="1" x14ac:dyDescent="0.3">
      <c r="A260" s="100">
        <v>103</v>
      </c>
      <c r="B260" s="4" t="s">
        <v>58</v>
      </c>
      <c r="C260" s="4" t="s">
        <v>163</v>
      </c>
      <c r="D260" s="26" t="s">
        <v>786</v>
      </c>
      <c r="E260" s="818" t="e">
        <f>INDEX('PY1 Data(H)'!$A$1:$CZ$265,MATCH('Unit Data from Audit Worksheet'!$A260,'PY1 Data(H)'!$A$1:$A$258,0),MATCH('Unit Data from Audit Worksheet'!$D$2,'PY1 Data(H)'!$A$1:$CZ$1,0))</f>
        <v>#N/A</v>
      </c>
      <c r="F260" s="819">
        <v>0</v>
      </c>
      <c r="G260" s="403" t="e">
        <f>IF(F260=H260," ","Please check values in account 529 and 531.")</f>
        <v>#DIV/0!</v>
      </c>
      <c r="H260" s="437" t="e">
        <f>ROUND((F255-F257)/F255*100,2)</f>
        <v>#DIV/0!</v>
      </c>
      <c r="I260" s="72"/>
      <c r="J260" s="72"/>
      <c r="K260"/>
      <c r="L260" s="550"/>
      <c r="N260" s="18" t="s">
        <v>563</v>
      </c>
    </row>
    <row r="261" spans="1:16" ht="72" customHeight="1" x14ac:dyDescent="0.3">
      <c r="A261" s="100">
        <v>544</v>
      </c>
      <c r="B261" s="375" t="s">
        <v>58</v>
      </c>
      <c r="C261" s="375" t="s">
        <v>163</v>
      </c>
      <c r="D261" s="21" t="s">
        <v>787</v>
      </c>
      <c r="E261" s="662" t="e">
        <f>INDEX('PY1 Data(H)'!$A$1:$CZ$265,MATCH('Unit Data from Audit Worksheet'!$A261,'PY1 Data(H)'!$A$1:$A$258,0),MATCH('Unit Data from Audit Worksheet'!$D$2,'PY1 Data(H)'!$A$1:$CZ$1,0))</f>
        <v>#N/A</v>
      </c>
      <c r="F261" s="815">
        <v>0</v>
      </c>
      <c r="G261" s="403"/>
      <c r="H261" s="17"/>
      <c r="I261" s="100"/>
      <c r="J261" s="100"/>
      <c r="K261"/>
      <c r="L261" s="550"/>
      <c r="N261" s="18" t="s">
        <v>50</v>
      </c>
    </row>
    <row r="262" spans="1:16" ht="73.5" customHeight="1" x14ac:dyDescent="0.3">
      <c r="A262" s="100">
        <v>545</v>
      </c>
      <c r="B262" s="375" t="s">
        <v>58</v>
      </c>
      <c r="C262" s="375" t="s">
        <v>163</v>
      </c>
      <c r="D262" s="21" t="s">
        <v>788</v>
      </c>
      <c r="E262" s="532"/>
      <c r="F262" s="815">
        <v>0</v>
      </c>
      <c r="G262" s="403"/>
      <c r="H262" s="17"/>
      <c r="I262" s="127"/>
      <c r="J262" s="127"/>
      <c r="K262"/>
      <c r="L262" s="550"/>
      <c r="N262" s="18" t="s">
        <v>51</v>
      </c>
    </row>
    <row r="263" spans="1:16" ht="66" customHeight="1" x14ac:dyDescent="0.3">
      <c r="A263" s="117">
        <v>624</v>
      </c>
      <c r="B263" s="117" t="s">
        <v>58</v>
      </c>
      <c r="C263" s="117"/>
      <c r="D263" s="116" t="s">
        <v>357</v>
      </c>
      <c r="E263" s="532"/>
      <c r="F263" s="714"/>
      <c r="G263" s="431" t="str">
        <f>IF(+F263&lt;1,"Please answer this question","")</f>
        <v>Please answer this question</v>
      </c>
      <c r="H263" s="17"/>
      <c r="I263" s="100"/>
      <c r="J263" s="100"/>
      <c r="K263"/>
      <c r="L263" s="550"/>
      <c r="N263" s="18" t="s">
        <v>564</v>
      </c>
    </row>
    <row r="264" spans="1:16" ht="70.5" customHeight="1" x14ac:dyDescent="0.3">
      <c r="A264" s="117">
        <v>648</v>
      </c>
      <c r="B264" s="970" t="s">
        <v>1978</v>
      </c>
      <c r="C264" s="117" t="s">
        <v>163</v>
      </c>
      <c r="D264" s="116" t="s">
        <v>673</v>
      </c>
      <c r="E264" s="662" t="e">
        <f>INDEX('PY1 Data(H)'!$A$1:$CZ$265,MATCH('Unit Data from Audit Worksheet'!$A264,'PY1 Data(H)'!$A$1:$A$258,0),MATCH('Unit Data from Audit Worksheet'!$D$2,'PY1 Data(H)'!$A$1:$CZ$1,0))</f>
        <v>#N/A</v>
      </c>
      <c r="F264" s="815">
        <v>0</v>
      </c>
      <c r="G264" s="431"/>
      <c r="H264" s="17"/>
      <c r="I264" s="100"/>
      <c r="J264" s="100"/>
      <c r="K264"/>
      <c r="L264" s="550"/>
    </row>
    <row r="265" spans="1:16" ht="180" customHeight="1" x14ac:dyDescent="0.3">
      <c r="A265" s="117">
        <v>991</v>
      </c>
      <c r="B265" s="970" t="s">
        <v>1975</v>
      </c>
      <c r="C265" s="117"/>
      <c r="D265" s="753" t="s">
        <v>1666</v>
      </c>
      <c r="E265" s="525"/>
      <c r="F265" s="714"/>
      <c r="G265" s="431"/>
      <c r="H265" s="1000" t="s">
        <v>1667</v>
      </c>
      <c r="I265"/>
      <c r="J265" s="179"/>
      <c r="K265"/>
      <c r="L265" s="550"/>
      <c r="N265" s="18" t="s">
        <v>584</v>
      </c>
    </row>
    <row r="266" spans="1:16" ht="27.75" customHeight="1" x14ac:dyDescent="0.3">
      <c r="A266" s="100"/>
      <c r="B266" s="492" t="s">
        <v>350</v>
      </c>
      <c r="C266" s="492"/>
      <c r="D266" s="492"/>
      <c r="E266" s="511"/>
      <c r="F266" s="511"/>
      <c r="G266" s="512"/>
      <c r="H266" s="17"/>
      <c r="I266" s="100"/>
      <c r="J266" s="100"/>
      <c r="K266"/>
      <c r="L266" s="550"/>
      <c r="N266" s="18" t="s">
        <v>585</v>
      </c>
    </row>
    <row r="267" spans="1:16" ht="84.6" customHeight="1" x14ac:dyDescent="0.3">
      <c r="A267" s="100">
        <v>620</v>
      </c>
      <c r="B267" s="375" t="s">
        <v>58</v>
      </c>
      <c r="C267" s="375"/>
      <c r="D267" s="751" t="s">
        <v>1621</v>
      </c>
      <c r="E267" s="525"/>
      <c r="F267" s="714"/>
      <c r="G267" s="431" t="str">
        <f>IF(F267&lt;1,"Please answer this question","")</f>
        <v>Please answer this question</v>
      </c>
      <c r="H267" s="17"/>
      <c r="I267" s="100"/>
      <c r="J267" s="100"/>
      <c r="K267"/>
      <c r="L267" s="550"/>
      <c r="N267" s="18" t="s">
        <v>586</v>
      </c>
    </row>
    <row r="268" spans="1:16" ht="123.75" customHeight="1" x14ac:dyDescent="0.3">
      <c r="A268" s="717"/>
      <c r="B268" s="1075" t="s">
        <v>461</v>
      </c>
      <c r="C268" s="1075"/>
      <c r="D268" s="1075"/>
      <c r="E268" s="522"/>
      <c r="F268" s="522"/>
      <c r="G268" s="522"/>
      <c r="H268" s="17"/>
      <c r="I268" s="100"/>
      <c r="J268" s="100"/>
      <c r="K268"/>
      <c r="N268" s="18" t="s">
        <v>464</v>
      </c>
    </row>
    <row r="269" spans="1:16" ht="63" customHeight="1" x14ac:dyDescent="0.3">
      <c r="A269" s="191">
        <v>947</v>
      </c>
      <c r="B269" s="462"/>
      <c r="C269" s="462"/>
      <c r="D269" s="345" t="s">
        <v>423</v>
      </c>
      <c r="E269" s="573"/>
      <c r="F269" s="816"/>
      <c r="G269" s="431" t="str">
        <f>IF(ISBLANK(F269),"Please do not leave blank","")</f>
        <v>Please do not leave blank</v>
      </c>
      <c r="H269" s="17"/>
      <c r="I269" s="187"/>
      <c r="J269" s="187"/>
      <c r="K269"/>
      <c r="L269" s="187"/>
      <c r="N269" s="187"/>
      <c r="P269" s="187"/>
    </row>
    <row r="270" spans="1:16" ht="65.25" customHeight="1" x14ac:dyDescent="0.3">
      <c r="A270" s="191">
        <v>948</v>
      </c>
      <c r="B270" s="462"/>
      <c r="C270" s="462"/>
      <c r="D270" s="345" t="s">
        <v>424</v>
      </c>
      <c r="E270" s="573"/>
      <c r="F270" s="816"/>
      <c r="G270" s="431" t="str">
        <f t="shared" ref="G270:G272" si="4">IF(ISBLANK(F270),"Please do not leave blank","")</f>
        <v>Please do not leave blank</v>
      </c>
      <c r="H270" s="17"/>
      <c r="I270" s="187"/>
      <c r="J270" s="187"/>
      <c r="K270"/>
      <c r="L270" s="187"/>
      <c r="N270" s="187"/>
      <c r="P270" s="187"/>
    </row>
    <row r="271" spans="1:16" ht="76.5" customHeight="1" x14ac:dyDescent="0.3">
      <c r="A271" s="191">
        <v>949</v>
      </c>
      <c r="B271" s="462"/>
      <c r="C271" s="462"/>
      <c r="D271" s="345" t="s">
        <v>425</v>
      </c>
      <c r="E271" s="573"/>
      <c r="F271" s="816"/>
      <c r="G271" s="431" t="str">
        <f t="shared" si="4"/>
        <v>Please do not leave blank</v>
      </c>
      <c r="H271" s="17"/>
      <c r="I271" s="187"/>
      <c r="J271" s="187"/>
      <c r="K271"/>
      <c r="L271" s="187"/>
      <c r="N271" s="187"/>
      <c r="P271" s="187"/>
    </row>
    <row r="272" spans="1:16" ht="60" customHeight="1" x14ac:dyDescent="0.3">
      <c r="A272" s="191">
        <v>950</v>
      </c>
      <c r="B272" s="462"/>
      <c r="C272" s="462"/>
      <c r="D272" s="345" t="s">
        <v>1645</v>
      </c>
      <c r="E272" s="573"/>
      <c r="F272" s="816"/>
      <c r="G272" s="431" t="str">
        <f t="shared" si="4"/>
        <v>Please do not leave blank</v>
      </c>
      <c r="H272" s="17"/>
      <c r="I272" s="187"/>
      <c r="J272" s="187"/>
      <c r="K272"/>
      <c r="L272" s="187"/>
      <c r="N272" s="187"/>
      <c r="P272" s="187"/>
    </row>
    <row r="273" spans="1:16" ht="80.400000000000006" customHeight="1" x14ac:dyDescent="0.3">
      <c r="A273" s="191">
        <v>952</v>
      </c>
      <c r="B273" s="462"/>
      <c r="C273" s="462"/>
      <c r="D273" s="416" t="s">
        <v>1617</v>
      </c>
      <c r="E273" s="573"/>
      <c r="F273" s="817"/>
      <c r="G273" s="431" t="s">
        <v>808</v>
      </c>
      <c r="H273" s="17"/>
      <c r="I273" s="438"/>
      <c r="J273" s="438"/>
      <c r="K273"/>
      <c r="L273" s="187"/>
      <c r="N273" s="187"/>
      <c r="P273" s="187"/>
    </row>
    <row r="274" spans="1:16" ht="33" customHeight="1" thickBot="1" x14ac:dyDescent="0.35">
      <c r="A274" s="100"/>
      <c r="B274" s="513"/>
      <c r="C274" s="514"/>
      <c r="D274" s="515" t="s">
        <v>414</v>
      </c>
      <c r="E274" s="501"/>
      <c r="F274" s="516"/>
      <c r="G274" s="517"/>
      <c r="H274" s="518"/>
      <c r="I274" s="187"/>
      <c r="J274" s="187"/>
      <c r="K274"/>
      <c r="L274" s="187"/>
      <c r="N274" s="187"/>
      <c r="P274" s="187"/>
    </row>
    <row r="275" spans="1:16" ht="15" thickBot="1" x14ac:dyDescent="0.35">
      <c r="B275" s="1072" t="s">
        <v>462</v>
      </c>
      <c r="C275" s="1073"/>
      <c r="D275" s="1073"/>
      <c r="E275" s="1074"/>
      <c r="F275" s="72"/>
      <c r="G275" s="431"/>
      <c r="H275" s="17"/>
      <c r="I275" s="100"/>
      <c r="J275" s="100"/>
      <c r="K275"/>
    </row>
    <row r="276" spans="1:16" ht="75.75" customHeight="1" x14ac:dyDescent="0.3">
      <c r="B276" s="1058" t="s">
        <v>463</v>
      </c>
      <c r="C276" s="1058"/>
      <c r="D276" s="1058"/>
      <c r="E276" s="1058"/>
      <c r="F276" s="72"/>
      <c r="G276" s="431"/>
      <c r="H276" s="17"/>
      <c r="I276" s="100"/>
      <c r="J276" s="100"/>
      <c r="K276"/>
    </row>
    <row r="277" spans="1:16" ht="15" thickBot="1" x14ac:dyDescent="0.35">
      <c r="A277" s="719"/>
      <c r="B277" s="439"/>
      <c r="C277" s="439"/>
      <c r="D277" s="440"/>
      <c r="E277" s="373"/>
      <c r="F277" s="72"/>
      <c r="G277" s="431"/>
      <c r="H277" s="17"/>
      <c r="I277" s="100"/>
      <c r="J277" s="100"/>
      <c r="K277"/>
    </row>
    <row r="278" spans="1:16" ht="15" thickBot="1" x14ac:dyDescent="0.35">
      <c r="B278" s="149" t="s">
        <v>403</v>
      </c>
      <c r="C278" s="150" t="s">
        <v>404</v>
      </c>
      <c r="D278" s="441"/>
      <c r="E278" s="442"/>
      <c r="F278" s="92"/>
      <c r="G278" s="431"/>
      <c r="H278" s="17"/>
      <c r="I278" s="100"/>
      <c r="J278" s="100"/>
      <c r="K278"/>
    </row>
    <row r="279" spans="1:16" ht="44.25" customHeight="1" thickBot="1" x14ac:dyDescent="0.35">
      <c r="B279" s="153" t="s">
        <v>428</v>
      </c>
      <c r="C279" s="152"/>
      <c r="D279" s="151"/>
      <c r="E279" s="376"/>
      <c r="F279" s="443"/>
      <c r="G279" s="431"/>
      <c r="H279" s="17"/>
      <c r="I279" s="100"/>
      <c r="J279" s="100"/>
      <c r="K279"/>
    </row>
    <row r="280" spans="1:16" ht="44.25" customHeight="1" thickBot="1" x14ac:dyDescent="0.35">
      <c r="B280" s="153"/>
      <c r="C280" s="159"/>
      <c r="D280" s="444" t="s">
        <v>452</v>
      </c>
      <c r="E280" s="445"/>
      <c r="F280" s="446"/>
      <c r="G280" s="446"/>
      <c r="H280" s="17"/>
      <c r="I280" s="100"/>
      <c r="J280" s="100"/>
    </row>
    <row r="281" spans="1:16" ht="32.4" customHeight="1" thickBot="1" x14ac:dyDescent="0.35">
      <c r="A281" s="279">
        <v>960</v>
      </c>
      <c r="B281" s="1065" t="s">
        <v>429</v>
      </c>
      <c r="C281" s="1066"/>
      <c r="D281" s="1047"/>
      <c r="E281" s="651" t="str">
        <f>IF(ISBLANK($D281),"&lt;&lt;&lt;&lt;&lt;&lt;&lt;&lt;&lt;&lt;&lt;&lt;&lt;&lt;&lt;","")</f>
        <v>&lt;&lt;&lt;&lt;&lt;&lt;&lt;&lt;&lt;&lt;&lt;&lt;&lt;&lt;&lt;</v>
      </c>
      <c r="F281" s="652" t="str">
        <f>IF(ISBLANK($D281),"Required","")</f>
        <v>Required</v>
      </c>
      <c r="G281" s="523"/>
      <c r="H281" s="404"/>
      <c r="I281" s="100"/>
      <c r="J281" s="100"/>
    </row>
    <row r="282" spans="1:16" ht="32.4" customHeight="1" thickBot="1" x14ac:dyDescent="0.35">
      <c r="A282" s="279">
        <v>962</v>
      </c>
      <c r="B282" s="1063" t="s">
        <v>405</v>
      </c>
      <c r="C282" s="1064"/>
      <c r="D282" s="1047"/>
      <c r="E282" s="651" t="str">
        <f>IF(ISBLANK($D282),"&lt;&lt;&lt;&lt;&lt;&lt;&lt;&lt;&lt;&lt;&lt;&lt;&lt;&lt;&lt;","")</f>
        <v>&lt;&lt;&lt;&lt;&lt;&lt;&lt;&lt;&lt;&lt;&lt;&lt;&lt;&lt;&lt;</v>
      </c>
      <c r="F282" s="652" t="str">
        <f>IF(ISBLANK($D282),"Required","")</f>
        <v>Required</v>
      </c>
      <c r="H282" s="17"/>
      <c r="I282" s="100"/>
      <c r="J282" s="100"/>
    </row>
    <row r="283" spans="1:16" ht="32.4" customHeight="1" thickBot="1" x14ac:dyDescent="0.35">
      <c r="A283" s="279">
        <v>964</v>
      </c>
      <c r="B283" s="1063" t="s">
        <v>406</v>
      </c>
      <c r="C283" s="1064"/>
      <c r="D283" s="1048"/>
      <c r="E283" s="651" t="str">
        <f>IF(ISBLANK($D283),"&lt;&lt;&lt;&lt;&lt;&lt;&lt;&lt;&lt;&lt;&lt;&lt;&lt;&lt;&lt;","")</f>
        <v>&lt;&lt;&lt;&lt;&lt;&lt;&lt;&lt;&lt;&lt;&lt;&lt;&lt;&lt;&lt;</v>
      </c>
      <c r="F283" s="652" t="str">
        <f>IF(ISBLANK($D283),"Required","")</f>
        <v>Required</v>
      </c>
      <c r="H283" s="17"/>
      <c r="I283" s="236"/>
      <c r="J283" s="236"/>
    </row>
    <row r="284" spans="1:16" ht="32.4" customHeight="1" thickBot="1" x14ac:dyDescent="0.35">
      <c r="A284" s="650">
        <v>966</v>
      </c>
      <c r="B284" s="1059" t="s">
        <v>1615</v>
      </c>
      <c r="C284" s="1060"/>
      <c r="D284" s="1049"/>
      <c r="E284" s="651" t="str">
        <f>IF(ISBLANK($D284),"&lt;&lt;&lt;&lt;&lt;&lt;&lt;&lt;&lt;&lt;&lt;&lt;&lt;&lt;&lt;","")</f>
        <v>&lt;&lt;&lt;&lt;&lt;&lt;&lt;&lt;&lt;&lt;&lt;&lt;&lt;&lt;&lt;</v>
      </c>
      <c r="F284" s="652" t="str">
        <f>IF(ISBLANK($D284),"Required","")</f>
        <v>Required</v>
      </c>
      <c r="G284"/>
      <c r="H284" s="17"/>
      <c r="I284" s="100"/>
      <c r="J284" s="100"/>
    </row>
    <row r="285" spans="1:16" ht="32.4" customHeight="1" thickBot="1" x14ac:dyDescent="0.35">
      <c r="A285" s="650"/>
      <c r="B285" s="1059" t="s">
        <v>1616</v>
      </c>
      <c r="C285" s="1060"/>
      <c r="D285" s="1047"/>
      <c r="E285" s="653"/>
      <c r="F285" s="652"/>
      <c r="G285"/>
      <c r="H285" s="17"/>
      <c r="I285" s="100"/>
      <c r="J285" s="100"/>
    </row>
    <row r="286" spans="1:16" ht="32.4" customHeight="1" thickBot="1" x14ac:dyDescent="0.35">
      <c r="A286" s="279">
        <v>968</v>
      </c>
      <c r="B286" s="1061" t="s">
        <v>408</v>
      </c>
      <c r="C286" s="1062"/>
      <c r="D286" s="1050"/>
      <c r="E286" s="654" t="str">
        <f>IF(ISBLANK($D286),"&lt;&lt;&lt;&lt;&lt;&lt;&lt;&lt;&lt;&lt;&lt;&lt;&lt;&lt;&lt;","")</f>
        <v>&lt;&lt;&lt;&lt;&lt;&lt;&lt;&lt;&lt;&lt;&lt;&lt;&lt;&lt;&lt;</v>
      </c>
      <c r="F286" s="652" t="str">
        <f>IF(ISBLANK($D286),"Required","")</f>
        <v>Required</v>
      </c>
      <c r="H286" s="17"/>
      <c r="I286" s="100"/>
      <c r="J286" s="100"/>
    </row>
    <row r="287" spans="1:16" ht="17.399999999999999" customHeight="1" x14ac:dyDescent="0.3">
      <c r="A287" s="100"/>
      <c r="B287" s="519"/>
      <c r="C287" s="519"/>
      <c r="D287" s="524" t="s">
        <v>45</v>
      </c>
      <c r="E287" s="520"/>
      <c r="F287" s="520"/>
      <c r="G287" s="520"/>
      <c r="H287" s="521"/>
      <c r="I287" s="100"/>
      <c r="J287" s="100"/>
    </row>
    <row r="288" spans="1:16" x14ac:dyDescent="0.3">
      <c r="A288" s="100"/>
      <c r="B288" s="375"/>
      <c r="C288" s="375"/>
      <c r="D288" s="157"/>
      <c r="E288" s="188"/>
      <c r="F288" s="447"/>
      <c r="G288" s="447"/>
      <c r="H288" s="17"/>
      <c r="I288" s="100"/>
      <c r="J288" s="100"/>
    </row>
    <row r="289" spans="1:10" x14ac:dyDescent="0.3">
      <c r="A289" s="100"/>
      <c r="B289" s="375"/>
      <c r="C289" s="375"/>
      <c r="D289" s="21"/>
      <c r="E289" s="373"/>
      <c r="F289" s="447"/>
      <c r="G289" s="447"/>
      <c r="H289" s="17"/>
      <c r="I289" s="100"/>
      <c r="J289" s="100"/>
    </row>
    <row r="290" spans="1:10" x14ac:dyDescent="0.3">
      <c r="A290" s="720">
        <f>SUBTOTAL(109,A9:A286)</f>
        <v>106600</v>
      </c>
      <c r="E290" s="550"/>
    </row>
    <row r="291" spans="1:10" x14ac:dyDescent="0.3">
      <c r="A291" s="100"/>
      <c r="B291" s="469"/>
      <c r="C291" s="469"/>
      <c r="D291" s="448"/>
      <c r="E291" s="252"/>
      <c r="F291" s="18"/>
      <c r="G291" s="449"/>
      <c r="H291" s="17"/>
      <c r="I291" s="100"/>
      <c r="J291" s="100"/>
    </row>
    <row r="292" spans="1:10" x14ac:dyDescent="0.3">
      <c r="B292" s="279"/>
      <c r="C292" s="279"/>
      <c r="D292" s="448" t="s">
        <v>1729</v>
      </c>
      <c r="E292" s="252" t="e">
        <f>SUM(E9:E267)</f>
        <v>#N/A</v>
      </c>
      <c r="F292" s="187"/>
      <c r="G292" s="449"/>
      <c r="H292" s="17"/>
      <c r="I292" s="100"/>
      <c r="J292" s="100"/>
    </row>
    <row r="293" spans="1:10" x14ac:dyDescent="0.3">
      <c r="B293" s="279"/>
      <c r="C293" s="279"/>
      <c r="D293" s="450"/>
      <c r="E293" s="252" t="e">
        <f>E191</f>
        <v>#N/A</v>
      </c>
      <c r="F293" s="187"/>
      <c r="G293" s="449"/>
      <c r="H293" s="17"/>
      <c r="I293" s="100"/>
      <c r="J293" s="100"/>
    </row>
    <row r="294" spans="1:10" x14ac:dyDescent="0.3">
      <c r="B294" s="279"/>
      <c r="C294" s="279"/>
      <c r="D294" s="450"/>
      <c r="E294" s="252" t="e">
        <f>E198</f>
        <v>#N/A</v>
      </c>
      <c r="F294" s="187"/>
      <c r="G294" s="449"/>
      <c r="H294" s="17"/>
      <c r="I294" s="100"/>
      <c r="J294" s="100"/>
    </row>
    <row r="295" spans="1:10" x14ac:dyDescent="0.3">
      <c r="B295" s="279"/>
      <c r="C295" s="279"/>
      <c r="D295" s="450"/>
      <c r="E295" s="252" t="e">
        <f>E204</f>
        <v>#N/A</v>
      </c>
      <c r="F295" s="187"/>
      <c r="G295" s="449"/>
      <c r="H295" s="17"/>
      <c r="I295" s="100"/>
      <c r="J295" s="100"/>
    </row>
    <row r="296" spans="1:10" x14ac:dyDescent="0.3">
      <c r="B296" s="279"/>
      <c r="C296" s="279"/>
      <c r="D296" s="450"/>
      <c r="E296" s="252" t="e">
        <f>E210</f>
        <v>#N/A</v>
      </c>
      <c r="F296" s="187"/>
      <c r="G296" s="449"/>
      <c r="H296" s="17"/>
      <c r="I296" s="100"/>
      <c r="J296" s="100"/>
    </row>
    <row r="297" spans="1:10" x14ac:dyDescent="0.3">
      <c r="D297" s="316"/>
      <c r="E297" s="252" t="e">
        <f>E211</f>
        <v>#N/A</v>
      </c>
      <c r="F297" s="187"/>
      <c r="H297" s="17"/>
      <c r="I297" s="100"/>
      <c r="J297" s="100"/>
    </row>
    <row r="298" spans="1:10" x14ac:dyDescent="0.3">
      <c r="D298" s="316"/>
      <c r="E298" s="253"/>
      <c r="F298" s="187"/>
      <c r="H298" s="17"/>
      <c r="I298" s="100"/>
      <c r="J298" s="100"/>
    </row>
    <row r="299" spans="1:10" x14ac:dyDescent="0.3">
      <c r="D299" s="316"/>
      <c r="E299" s="252" t="e">
        <f>E292-E293-E294-E295-E296-E297</f>
        <v>#N/A</v>
      </c>
      <c r="F299" s="187"/>
      <c r="H299" s="17"/>
      <c r="I299" s="100"/>
      <c r="J299" s="100"/>
    </row>
    <row r="300" spans="1:10" x14ac:dyDescent="0.3">
      <c r="D300" s="316"/>
      <c r="E300" s="188"/>
      <c r="F300" s="187"/>
      <c r="I300" s="100"/>
      <c r="J300" s="100"/>
    </row>
    <row r="301" spans="1:10" x14ac:dyDescent="0.3">
      <c r="E301" s="251"/>
      <c r="F301" s="187"/>
      <c r="G301" s="452"/>
      <c r="I301" s="100"/>
      <c r="J301" s="100"/>
    </row>
    <row r="302" spans="1:10" x14ac:dyDescent="0.3">
      <c r="E302" s="188"/>
      <c r="F302" s="187"/>
      <c r="I302" s="100"/>
      <c r="J302" s="100"/>
    </row>
    <row r="303" spans="1:10" x14ac:dyDescent="0.3">
      <c r="E303" s="188"/>
      <c r="F303" s="187"/>
      <c r="I303" s="100"/>
      <c r="J303" s="100"/>
    </row>
    <row r="304" spans="1:10" x14ac:dyDescent="0.3">
      <c r="E304" s="188"/>
      <c r="F304" s="187"/>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00"/>
      <c r="J310" s="100"/>
    </row>
    <row r="311" spans="9:12" x14ac:dyDescent="0.3">
      <c r="I311" s="100"/>
      <c r="J311" s="100"/>
    </row>
    <row r="312" spans="9:12" x14ac:dyDescent="0.3">
      <c r="I312" s="187"/>
      <c r="J312" s="187"/>
    </row>
    <row r="313" spans="9:12" x14ac:dyDescent="0.3">
      <c r="I313" s="187"/>
      <c r="J313" s="187"/>
      <c r="L313" s="188"/>
    </row>
    <row r="314" spans="9:12" x14ac:dyDescent="0.3">
      <c r="I314" s="187"/>
      <c r="J314" s="187"/>
      <c r="L314" s="188"/>
    </row>
    <row r="315" spans="9:12" x14ac:dyDescent="0.3">
      <c r="I315" s="187"/>
      <c r="J315" s="187"/>
      <c r="L315" s="188"/>
    </row>
    <row r="316" spans="9:12" x14ac:dyDescent="0.3">
      <c r="I316" s="187"/>
      <c r="J316" s="187"/>
      <c r="L316" s="188"/>
    </row>
    <row r="317" spans="9:12" x14ac:dyDescent="0.3">
      <c r="I317" s="187"/>
      <c r="J317" s="187"/>
      <c r="L317" s="188"/>
    </row>
    <row r="318" spans="9:12" x14ac:dyDescent="0.3">
      <c r="I318" s="187"/>
      <c r="J318" s="187"/>
      <c r="L318" s="188"/>
    </row>
    <row r="319" spans="9:12" x14ac:dyDescent="0.3">
      <c r="I319" s="100"/>
      <c r="J319" s="100"/>
      <c r="L319" s="188"/>
    </row>
    <row r="320" spans="9:12" x14ac:dyDescent="0.3">
      <c r="I320" s="100"/>
      <c r="J320" s="100"/>
      <c r="K320" s="188"/>
      <c r="L320" s="188"/>
    </row>
    <row r="321" spans="9:12" x14ac:dyDescent="0.3">
      <c r="I321" s="100"/>
      <c r="J321" s="100"/>
      <c r="K321" s="188"/>
      <c r="L321" s="188"/>
    </row>
    <row r="322" spans="9:12" x14ac:dyDescent="0.3">
      <c r="I322" s="100"/>
      <c r="J322" s="100"/>
      <c r="K322" s="188"/>
      <c r="L322" s="188"/>
    </row>
    <row r="323" spans="9:12" x14ac:dyDescent="0.3">
      <c r="I323" s="100"/>
      <c r="J323" s="100"/>
      <c r="K323" s="188"/>
      <c r="L323" s="188"/>
    </row>
    <row r="324" spans="9:12" x14ac:dyDescent="0.3">
      <c r="I324" s="100"/>
      <c r="J324" s="100"/>
      <c r="K324" s="188"/>
      <c r="L324" s="188"/>
    </row>
    <row r="325" spans="9:12" x14ac:dyDescent="0.3">
      <c r="I325" s="100"/>
      <c r="J325" s="100"/>
      <c r="K325" s="188"/>
      <c r="L325" s="188"/>
    </row>
    <row r="326" spans="9:12" x14ac:dyDescent="0.3">
      <c r="I326" s="100"/>
      <c r="J326" s="100"/>
      <c r="K326" s="188"/>
      <c r="L326" s="188"/>
    </row>
    <row r="327" spans="9:12" x14ac:dyDescent="0.3">
      <c r="I327" s="100"/>
      <c r="J327" s="100"/>
      <c r="K327" s="188"/>
      <c r="L327" s="188"/>
    </row>
    <row r="328" spans="9:12" x14ac:dyDescent="0.3">
      <c r="I328" s="187"/>
      <c r="J328" s="187"/>
      <c r="K328" s="188"/>
      <c r="L328" s="188"/>
    </row>
    <row r="329" spans="9:12" x14ac:dyDescent="0.3">
      <c r="I329" s="187"/>
      <c r="J329" s="187"/>
      <c r="K329" s="188"/>
      <c r="L329" s="188"/>
    </row>
    <row r="330" spans="9:12" x14ac:dyDescent="0.3">
      <c r="I330" s="187"/>
      <c r="J330" s="187"/>
      <c r="K330" s="188"/>
      <c r="L330" s="188"/>
    </row>
    <row r="331" spans="9:12" x14ac:dyDescent="0.3">
      <c r="I331" s="187"/>
      <c r="J331" s="187"/>
      <c r="K331" s="188"/>
      <c r="L331" s="188"/>
    </row>
    <row r="332" spans="9:12" x14ac:dyDescent="0.3">
      <c r="I332" s="187"/>
      <c r="J332" s="187"/>
      <c r="K332" s="188"/>
      <c r="L332" s="188"/>
    </row>
    <row r="333" spans="9:12" x14ac:dyDescent="0.3">
      <c r="I333" s="187"/>
      <c r="J333" s="187"/>
      <c r="K333" s="188"/>
      <c r="L333" s="188"/>
    </row>
    <row r="334" spans="9:12" x14ac:dyDescent="0.3">
      <c r="I334" s="187"/>
      <c r="J334" s="187"/>
      <c r="K334" s="188"/>
      <c r="L334" s="188"/>
    </row>
    <row r="335" spans="9:12" x14ac:dyDescent="0.3">
      <c r="I335" s="187"/>
      <c r="J335" s="187"/>
      <c r="K335" s="188"/>
      <c r="L335" s="188"/>
    </row>
    <row r="336" spans="9:12" x14ac:dyDescent="0.3">
      <c r="I336" s="187"/>
      <c r="J336" s="187"/>
      <c r="K336" s="188"/>
      <c r="L336" s="188"/>
    </row>
    <row r="337" spans="8:12" x14ac:dyDescent="0.3">
      <c r="I337" s="187"/>
      <c r="J337" s="187"/>
      <c r="K337" s="188"/>
      <c r="L337" s="188"/>
    </row>
    <row r="338" spans="8:12" x14ac:dyDescent="0.3">
      <c r="I338" s="187"/>
      <c r="J338" s="187"/>
      <c r="K338" s="188"/>
      <c r="L338" s="188"/>
    </row>
    <row r="339" spans="8:12" x14ac:dyDescent="0.3">
      <c r="I339" s="187"/>
      <c r="J339" s="187"/>
      <c r="K339" s="188"/>
      <c r="L339" s="188"/>
    </row>
    <row r="340" spans="8:12" x14ac:dyDescent="0.3">
      <c r="I340" s="187"/>
      <c r="J340" s="187"/>
      <c r="K340" s="188"/>
      <c r="L340" s="188"/>
    </row>
    <row r="341" spans="8:12" x14ac:dyDescent="0.3">
      <c r="I341" s="187"/>
      <c r="J341" s="187"/>
      <c r="K341" s="188"/>
      <c r="L341" s="188"/>
    </row>
    <row r="342" spans="8:12" x14ac:dyDescent="0.3">
      <c r="I342" s="187"/>
      <c r="J342" s="187"/>
      <c r="K342" s="188"/>
      <c r="L342" s="188"/>
    </row>
    <row r="343" spans="8:12" x14ac:dyDescent="0.3">
      <c r="I343" s="187"/>
      <c r="J343" s="187"/>
      <c r="K343" s="188"/>
      <c r="L343" s="188"/>
    </row>
    <row r="344" spans="8:12" x14ac:dyDescent="0.3">
      <c r="I344" s="187"/>
      <c r="J344" s="187"/>
      <c r="K344" s="188"/>
      <c r="L344" s="188"/>
    </row>
    <row r="345" spans="8:12" x14ac:dyDescent="0.3">
      <c r="I345" s="187"/>
      <c r="J345" s="187"/>
      <c r="K345" s="188"/>
      <c r="L345" s="188"/>
    </row>
    <row r="346" spans="8:12" x14ac:dyDescent="0.3">
      <c r="H346" s="311" t="s">
        <v>1928</v>
      </c>
      <c r="I346" s="187"/>
      <c r="J346" s="187"/>
      <c r="K346" s="188"/>
      <c r="L346" s="188"/>
    </row>
    <row r="347" spans="8:12" x14ac:dyDescent="0.3">
      <c r="I347" s="187"/>
      <c r="J347" s="187"/>
      <c r="K347" s="188"/>
      <c r="L347" s="188"/>
    </row>
    <row r="348" spans="8:12" x14ac:dyDescent="0.3">
      <c r="I348" s="187"/>
      <c r="J348" s="187"/>
      <c r="K348" s="188"/>
      <c r="L348" s="188"/>
    </row>
    <row r="349" spans="8:12" x14ac:dyDescent="0.3">
      <c r="I349" s="187"/>
      <c r="J349" s="187"/>
      <c r="K349" s="188"/>
      <c r="L349" s="188"/>
    </row>
    <row r="350" spans="8:12" x14ac:dyDescent="0.3">
      <c r="I350" s="187"/>
      <c r="J350" s="187"/>
      <c r="K350" s="188"/>
      <c r="L350" s="188"/>
    </row>
    <row r="351" spans="8:12" x14ac:dyDescent="0.3">
      <c r="I351" s="187"/>
      <c r="J351" s="187"/>
      <c r="K351" s="188"/>
      <c r="L351" s="188"/>
    </row>
    <row r="352" spans="8:12" x14ac:dyDescent="0.3">
      <c r="I352" s="187"/>
      <c r="J352" s="187"/>
      <c r="K352" s="188"/>
      <c r="L352" s="188"/>
    </row>
    <row r="353" spans="9:12" x14ac:dyDescent="0.3">
      <c r="I353" s="187"/>
      <c r="J353" s="187"/>
      <c r="K353" s="188"/>
      <c r="L353" s="188"/>
    </row>
    <row r="354" spans="9:12" x14ac:dyDescent="0.3">
      <c r="I354" s="187"/>
      <c r="J354" s="187"/>
      <c r="K354" s="188"/>
      <c r="L354" s="188"/>
    </row>
    <row r="355" spans="9:12" x14ac:dyDescent="0.3">
      <c r="I355" s="187"/>
      <c r="J355" s="187"/>
      <c r="K355" s="188"/>
      <c r="L355" s="188"/>
    </row>
    <row r="356" spans="9:12" x14ac:dyDescent="0.3">
      <c r="I356" s="187"/>
      <c r="J356" s="187"/>
      <c r="K356" s="188"/>
      <c r="L356" s="188"/>
    </row>
    <row r="357" spans="9:12" x14ac:dyDescent="0.3">
      <c r="I357" s="187"/>
      <c r="J357" s="187"/>
      <c r="K357" s="188"/>
      <c r="L357" s="188"/>
    </row>
    <row r="358" spans="9:12" x14ac:dyDescent="0.3">
      <c r="I358" s="187"/>
      <c r="J358" s="187"/>
      <c r="K358" s="188"/>
      <c r="L358" s="188"/>
    </row>
    <row r="359" spans="9:12" x14ac:dyDescent="0.3">
      <c r="I359" s="187"/>
      <c r="J359" s="187"/>
      <c r="K359" s="188"/>
      <c r="L359" s="188"/>
    </row>
    <row r="360" spans="9:12" x14ac:dyDescent="0.3">
      <c r="I360" s="187"/>
      <c r="J360" s="187"/>
      <c r="K360" s="188"/>
      <c r="L360" s="188"/>
    </row>
    <row r="361" spans="9:12" x14ac:dyDescent="0.3">
      <c r="I361" s="187"/>
      <c r="J361" s="187"/>
      <c r="K361" s="188"/>
      <c r="L361" s="188"/>
    </row>
    <row r="362" spans="9:12" x14ac:dyDescent="0.3">
      <c r="I362" s="187"/>
      <c r="J362" s="187"/>
      <c r="K362" s="188"/>
      <c r="L362" s="188"/>
    </row>
    <row r="363" spans="9:12" x14ac:dyDescent="0.3">
      <c r="I363" s="187"/>
      <c r="J363" s="187"/>
      <c r="K363" s="188"/>
      <c r="L363" s="188"/>
    </row>
    <row r="364" spans="9:12" x14ac:dyDescent="0.3">
      <c r="I364" s="187"/>
      <c r="J364" s="187"/>
      <c r="K364" s="188"/>
      <c r="L364" s="188"/>
    </row>
    <row r="365" spans="9:12" x14ac:dyDescent="0.3">
      <c r="I365" s="187"/>
      <c r="J365" s="187"/>
      <c r="K365" s="188"/>
      <c r="L365" s="188"/>
    </row>
    <row r="366" spans="9:12" x14ac:dyDescent="0.3">
      <c r="I366" s="187"/>
      <c r="J366" s="187"/>
      <c r="K366" s="188"/>
      <c r="L366" s="188"/>
    </row>
    <row r="367" spans="9:12" x14ac:dyDescent="0.3">
      <c r="I367" s="187"/>
      <c r="J367" s="187"/>
      <c r="K367" s="188"/>
      <c r="L367" s="188"/>
    </row>
    <row r="368" spans="9:12" x14ac:dyDescent="0.3">
      <c r="I368" s="187"/>
      <c r="J368" s="187"/>
      <c r="K368" s="188"/>
      <c r="L368" s="188"/>
    </row>
    <row r="369" spans="9:12" x14ac:dyDescent="0.3">
      <c r="I369" s="187"/>
      <c r="J369" s="187"/>
      <c r="K369" s="188"/>
      <c r="L369" s="188"/>
    </row>
    <row r="370" spans="9:12" x14ac:dyDescent="0.3">
      <c r="I370" s="187"/>
      <c r="J370" s="187"/>
      <c r="K370" s="188"/>
      <c r="L370" s="188"/>
    </row>
    <row r="371" spans="9:12" x14ac:dyDescent="0.3">
      <c r="I371" s="187"/>
      <c r="J371" s="187"/>
      <c r="K371" s="188"/>
      <c r="L371" s="188"/>
    </row>
    <row r="372" spans="9:12" x14ac:dyDescent="0.3">
      <c r="I372" s="187"/>
      <c r="J372" s="187"/>
      <c r="K372" s="188"/>
      <c r="L372" s="188"/>
    </row>
    <row r="373" spans="9:12" x14ac:dyDescent="0.3">
      <c r="I373" s="187"/>
      <c r="J373" s="187"/>
      <c r="K373" s="188"/>
      <c r="L373" s="188"/>
    </row>
    <row r="374" spans="9:12" x14ac:dyDescent="0.3">
      <c r="I374" s="187"/>
      <c r="J374" s="187"/>
      <c r="K374" s="188"/>
      <c r="L374" s="188"/>
    </row>
    <row r="375" spans="9:12" x14ac:dyDescent="0.3">
      <c r="I375" s="187"/>
      <c r="J375" s="187"/>
      <c r="K375" s="188"/>
      <c r="L375" s="188"/>
    </row>
    <row r="376" spans="9:12" x14ac:dyDescent="0.3">
      <c r="I376" s="187"/>
      <c r="J376" s="187"/>
      <c r="K376" s="188"/>
      <c r="L376" s="188"/>
    </row>
    <row r="377" spans="9:12" x14ac:dyDescent="0.3">
      <c r="I377" s="187"/>
      <c r="J377" s="187"/>
      <c r="K377" s="188"/>
      <c r="L377" s="188"/>
    </row>
    <row r="378" spans="9:12" x14ac:dyDescent="0.3">
      <c r="I378" s="187"/>
      <c r="J378" s="187"/>
      <c r="K378" s="188"/>
      <c r="L378" s="188"/>
    </row>
    <row r="379" spans="9:12" x14ac:dyDescent="0.3">
      <c r="I379" s="187"/>
      <c r="J379" s="187"/>
      <c r="K379" s="188"/>
      <c r="L379" s="188"/>
    </row>
    <row r="380" spans="9:12" x14ac:dyDescent="0.3">
      <c r="I380" s="187"/>
      <c r="J380" s="187"/>
      <c r="K380" s="188"/>
      <c r="L380" s="188"/>
    </row>
    <row r="381" spans="9:12" x14ac:dyDescent="0.3">
      <c r="I381" s="187"/>
      <c r="J381" s="187"/>
      <c r="K381" s="188"/>
      <c r="L381" s="188"/>
    </row>
    <row r="382" spans="9:12" x14ac:dyDescent="0.3">
      <c r="I382" s="187"/>
      <c r="J382" s="187"/>
      <c r="K382" s="188"/>
    </row>
    <row r="383" spans="9:12" x14ac:dyDescent="0.3">
      <c r="I383" s="187"/>
      <c r="J383" s="187"/>
      <c r="K383" s="188"/>
    </row>
    <row r="384" spans="9:12" x14ac:dyDescent="0.3">
      <c r="I384" s="187"/>
      <c r="J384" s="187"/>
      <c r="K384" s="188"/>
    </row>
    <row r="385" spans="9:11" x14ac:dyDescent="0.3">
      <c r="I385" s="187"/>
      <c r="J385" s="187"/>
      <c r="K385" s="188"/>
    </row>
    <row r="386" spans="9:11" x14ac:dyDescent="0.3">
      <c r="I386" s="187"/>
      <c r="J386" s="187"/>
      <c r="K386" s="188"/>
    </row>
    <row r="387" spans="9:11" x14ac:dyDescent="0.3">
      <c r="I387" s="187"/>
      <c r="J387" s="187"/>
      <c r="K387" s="188"/>
    </row>
    <row r="388" spans="9:11" x14ac:dyDescent="0.3">
      <c r="I388" s="187"/>
      <c r="J388" s="187"/>
      <c r="K388" s="188"/>
    </row>
    <row r="389" spans="9:11" x14ac:dyDescent="0.3">
      <c r="I389" s="187"/>
      <c r="J389" s="187"/>
    </row>
    <row r="390" spans="9:11" x14ac:dyDescent="0.3">
      <c r="I390" s="187"/>
      <c r="J390" s="187"/>
    </row>
    <row r="391" spans="9:11" x14ac:dyDescent="0.3">
      <c r="I391" s="187"/>
      <c r="J391" s="187"/>
    </row>
    <row r="392" spans="9:11" x14ac:dyDescent="0.3">
      <c r="I392" s="187"/>
      <c r="J392" s="187"/>
    </row>
    <row r="393" spans="9:11" x14ac:dyDescent="0.3">
      <c r="I393" s="187"/>
      <c r="J393" s="187"/>
    </row>
    <row r="394" spans="9:11" x14ac:dyDescent="0.3">
      <c r="I394" s="187"/>
      <c r="J394" s="187"/>
    </row>
    <row r="395" spans="9:11" x14ac:dyDescent="0.3">
      <c r="I395" s="187"/>
      <c r="J395" s="187"/>
    </row>
    <row r="396" spans="9:11" x14ac:dyDescent="0.3">
      <c r="I396" s="187"/>
      <c r="J396" s="187"/>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row r="405" spans="9:10" x14ac:dyDescent="0.3">
      <c r="I405" s="100"/>
      <c r="J405" s="100"/>
    </row>
    <row r="406" spans="9:10" x14ac:dyDescent="0.3">
      <c r="I406" s="100"/>
      <c r="J406" s="100"/>
    </row>
  </sheetData>
  <sheetProtection algorithmName="SHA-512" hashValue="UW2dqRg/aOC7aICo3hPfXUv0vhKcjwIVcmrQtV1avy6uI0pNUpCgV3PWA3q4g7eIAhiGWDIITeR4TpALmQYaVQ==" saltValue="bOzGdwokpRHkoHvfI/X3cA==" spinCount="100000" sheet="1" formatCells="0"/>
  <dataConsolidate link="1"/>
  <mergeCells count="14">
    <mergeCell ref="E2:G2"/>
    <mergeCell ref="B2:C2"/>
    <mergeCell ref="B124:D124"/>
    <mergeCell ref="B275:E275"/>
    <mergeCell ref="B268:D268"/>
    <mergeCell ref="B6:G6"/>
    <mergeCell ref="B7:G7"/>
    <mergeCell ref="B276:E276"/>
    <mergeCell ref="B284:C284"/>
    <mergeCell ref="B286:C286"/>
    <mergeCell ref="B283:C283"/>
    <mergeCell ref="B281:C281"/>
    <mergeCell ref="B282:C282"/>
    <mergeCell ref="B285:C285"/>
  </mergeCells>
  <phoneticPr fontId="54" type="noConversion"/>
  <conditionalFormatting sqref="H154 H76 H78:H79">
    <cfRule type="cellIs" dxfId="117" priority="108" stopIfTrue="1" operator="notEqual">
      <formula>0</formula>
    </cfRule>
  </conditionalFormatting>
  <conditionalFormatting sqref="H155">
    <cfRule type="cellIs" dxfId="116" priority="106" stopIfTrue="1" operator="notEqual">
      <formula>0</formula>
    </cfRule>
  </conditionalFormatting>
  <conditionalFormatting sqref="G254:G257 G261:G262">
    <cfRule type="cellIs" dxfId="115" priority="105" stopIfTrue="1" operator="notEqual">
      <formula>0</formula>
    </cfRule>
  </conditionalFormatting>
  <conditionalFormatting sqref="H25">
    <cfRule type="cellIs" dxfId="114" priority="104" stopIfTrue="1" operator="notEqual">
      <formula>0</formula>
    </cfRule>
  </conditionalFormatting>
  <conditionalFormatting sqref="H39:H40">
    <cfRule type="cellIs" dxfId="113" priority="103" stopIfTrue="1" operator="notEqual">
      <formula>0</formula>
    </cfRule>
  </conditionalFormatting>
  <conditionalFormatting sqref="H59">
    <cfRule type="cellIs" dxfId="112" priority="102" stopIfTrue="1" operator="notEqual">
      <formula>0</formula>
    </cfRule>
  </conditionalFormatting>
  <conditionalFormatting sqref="H103">
    <cfRule type="cellIs" dxfId="111" priority="100" stopIfTrue="1" operator="notEqual">
      <formula>0</formula>
    </cfRule>
  </conditionalFormatting>
  <conditionalFormatting sqref="H122">
    <cfRule type="cellIs" dxfId="110" priority="99" stopIfTrue="1" operator="notEqual">
      <formula>0</formula>
    </cfRule>
  </conditionalFormatting>
  <conditionalFormatting sqref="H137">
    <cfRule type="cellIs" dxfId="109" priority="98" stopIfTrue="1" operator="notEqual">
      <formula>0</formula>
    </cfRule>
  </conditionalFormatting>
  <conditionalFormatting sqref="H138">
    <cfRule type="cellIs" dxfId="108" priority="97" stopIfTrue="1" operator="notEqual">
      <formula>0</formula>
    </cfRule>
  </conditionalFormatting>
  <conditionalFormatting sqref="G236">
    <cfRule type="cellIs" priority="69" stopIfTrue="1" operator="equal">
      <formula>";;;"</formula>
    </cfRule>
  </conditionalFormatting>
  <conditionalFormatting sqref="G236">
    <cfRule type="cellIs" dxfId="107" priority="68" stopIfTrue="1" operator="equal">
      <formula>0</formula>
    </cfRule>
  </conditionalFormatting>
  <conditionalFormatting sqref="G235">
    <cfRule type="cellIs" priority="66" stopIfTrue="1" operator="equal">
      <formula>";;;"</formula>
    </cfRule>
  </conditionalFormatting>
  <conditionalFormatting sqref="G235">
    <cfRule type="cellIs" dxfId="106" priority="65" stopIfTrue="1" operator="equal">
      <formula>0</formula>
    </cfRule>
  </conditionalFormatting>
  <conditionalFormatting sqref="G235">
    <cfRule type="cellIs" dxfId="105" priority="64" stopIfTrue="1" operator="equal">
      <formula>0</formula>
    </cfRule>
  </conditionalFormatting>
  <conditionalFormatting sqref="G234">
    <cfRule type="cellIs" priority="54" stopIfTrue="1" operator="equal">
      <formula>";;;"</formula>
    </cfRule>
  </conditionalFormatting>
  <conditionalFormatting sqref="G234">
    <cfRule type="cellIs" dxfId="104" priority="53" stopIfTrue="1" operator="equal">
      <formula>0</formula>
    </cfRule>
  </conditionalFormatting>
  <conditionalFormatting sqref="G234">
    <cfRule type="cellIs" dxfId="103" priority="52" stopIfTrue="1" operator="equal">
      <formula>0</formula>
    </cfRule>
  </conditionalFormatting>
  <conditionalFormatting sqref="G229">
    <cfRule type="cellIs" priority="21" stopIfTrue="1" operator="equal">
      <formula>";;;"</formula>
    </cfRule>
  </conditionalFormatting>
  <conditionalFormatting sqref="G229">
    <cfRule type="cellIs" dxfId="102" priority="20" stopIfTrue="1" operator="equal">
      <formula>0</formula>
    </cfRule>
  </conditionalFormatting>
  <conditionalFormatting sqref="G229">
    <cfRule type="cellIs" dxfId="101" priority="19" stopIfTrue="1" operator="equal">
      <formula>0</formula>
    </cfRule>
  </conditionalFormatting>
  <conditionalFormatting sqref="G227">
    <cfRule type="cellIs" priority="18" stopIfTrue="1" operator="equal">
      <formula>";;;"</formula>
    </cfRule>
  </conditionalFormatting>
  <conditionalFormatting sqref="G227">
    <cfRule type="cellIs" dxfId="100" priority="17" stopIfTrue="1" operator="equal">
      <formula>0</formula>
    </cfRule>
  </conditionalFormatting>
  <conditionalFormatting sqref="G227">
    <cfRule type="cellIs" dxfId="99" priority="16" stopIfTrue="1" operator="equal">
      <formula>0</formula>
    </cfRule>
  </conditionalFormatting>
  <conditionalFormatting sqref="G228">
    <cfRule type="cellIs" priority="15" stopIfTrue="1" operator="equal">
      <formula>";;;"</formula>
    </cfRule>
  </conditionalFormatting>
  <conditionalFormatting sqref="G228">
    <cfRule type="cellIs" dxfId="98" priority="14" stopIfTrue="1" operator="equal">
      <formula>0</formula>
    </cfRule>
  </conditionalFormatting>
  <conditionalFormatting sqref="G228">
    <cfRule type="cellIs" dxfId="97" priority="13" stopIfTrue="1" operator="equal">
      <formula>0</formula>
    </cfRule>
  </conditionalFormatting>
  <conditionalFormatting sqref="G231">
    <cfRule type="cellIs" priority="12" stopIfTrue="1" operator="equal">
      <formula>";;;"</formula>
    </cfRule>
  </conditionalFormatting>
  <conditionalFormatting sqref="G231">
    <cfRule type="cellIs" dxfId="96" priority="11" stopIfTrue="1" operator="equal">
      <formula>0</formula>
    </cfRule>
  </conditionalFormatting>
  <conditionalFormatting sqref="G231">
    <cfRule type="cellIs" dxfId="95" priority="10" stopIfTrue="1" operator="equal">
      <formula>0</formula>
    </cfRule>
  </conditionalFormatting>
  <conditionalFormatting sqref="G233">
    <cfRule type="cellIs" priority="4" stopIfTrue="1" operator="equal">
      <formula>";;;"</formula>
    </cfRule>
  </conditionalFormatting>
  <conditionalFormatting sqref="G233">
    <cfRule type="cellIs" dxfId="94" priority="3" stopIfTrue="1" operator="equal">
      <formula>0</formula>
    </cfRule>
  </conditionalFormatting>
  <conditionalFormatting sqref="G233">
    <cfRule type="cellIs" dxfId="93" priority="2" stopIfTrue="1" operator="equal">
      <formula>0</formula>
    </cfRule>
  </conditionalFormatting>
  <conditionalFormatting sqref="H77">
    <cfRule type="expression" dxfId="92" priority="1">
      <formula>$F$77=""</formula>
    </cfRule>
  </conditionalFormatting>
  <dataValidations xWindow="829" yWindow="690" count="19">
    <dataValidation type="list" allowBlank="1" showInputMessage="1" showErrorMessage="1" prompt="Please select your answer from the drop-down list." sqref="F85" xr:uid="{00000000-0002-0000-0100-000005000000}">
      <formula1>$O$2:$O$4</formula1>
    </dataValidation>
    <dataValidation type="list" allowBlank="1" showInputMessage="1" showErrorMessage="1" prompt="Please select your answer from the drop down list." sqref="F267 F263 F224" xr:uid="{FCE57F22-20D9-4CFA-AFE5-1751E216D3C1}">
      <formula1>$P$1:$P$2</formula1>
    </dataValidation>
    <dataValidation type="list" allowBlank="1" showInputMessage="1" showErrorMessage="1" prompt="Please select your answer from the drop down list." sqref="F232" xr:uid="{2CD3BDAD-30EF-425F-BB01-D3FF43CDAA81}">
      <formula1>$P$1:$P$4</formula1>
    </dataValidation>
    <dataValidation type="list" allowBlank="1" showInputMessage="1" showErrorMessage="1" prompt="Please select your response from the drop-down menu." sqref="F271" xr:uid="{DB0EB8F5-2DE0-4833-AFDF-F7BB7A8D56E1}">
      <formula1>$N$8:$N$10</formula1>
    </dataValidation>
    <dataValidation type="list" allowBlank="1" showInputMessage="1" showErrorMessage="1" prompt="Please select your answer from the drop down list." sqref="F265" xr:uid="{7FCE12A8-B6A0-48F9-9BA0-C3D89D188CEE}">
      <formula1>"20,21,22,23"</formula1>
    </dataValidation>
    <dataValidation type="list" operator="greaterThan" allowBlank="1" showInputMessage="1" showErrorMessage="1" prompt="Please select appropriate answer from drop down list." sqref="F185"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7 F173 F157 F30:F41 F27:F28 F46:F61 F63:F76 F160:F169 F86:F103 F105:F122 F125:F138 F142:F155 F81 F181:F183 F20:F25 F78:F79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221 F200:F203 F206:F209 F194:F197 F218:F219 F214:F216" xr:uid="{DA17F63A-7740-447E-B0DD-1FD94F0BE4C8}">
      <formula1>ISNUMBER(F194)</formula1>
    </dataValidation>
    <dataValidation type="custom" allowBlank="1" showErrorMessage="1" error="Please enter a numeric value.  If this data is not applicable to your unit of government, the cell should be populated with zero." sqref="F264 F254:F262 F251 F247 F226:F229 F233:F235 F249 F238:F245" xr:uid="{6656F482-2030-43E8-B669-24F0F4187CE8}">
      <formula1>ISNUMBER(F226)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30" xr:uid="{8DAFED68-C7CC-4E4B-B0DE-1B3BA6E17585}">
      <formula1>-ISNUMBER(221)</formula1>
    </dataValidation>
    <dataValidation type="list" allowBlank="1" showInputMessage="1" showErrorMessage="1" prompt="Please select appropriate answer from drop down list." sqref="F184"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InputMessage="1" showErrorMessage="1" prompt="Please select your answer from drop down list." sqref="F175 F139:F140" xr:uid="{B28A4ED8-9280-4348-99A1-3B99F5248D33}">
      <formula1>$P$1:$P$2</formula1>
    </dataValidation>
    <dataValidation type="custom" allowBlank="1" showErrorMessage="1" error="Please enter a numeric value.  If this data is not applicable to your unit of government, the cell should be populated wih zero." sqref="F231" xr:uid="{EE3DADAD-5656-406D-A714-9D6C22BCD542}">
      <formula1>ISNUMBER(F231)</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_x000a_" sqref="F171" xr:uid="{D5C6965D-2887-4BB7-9AAD-B150E1F049E6}">
      <formula1>"1, 2,3"</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 sqref="F170" xr:uid="{CB2C6E7F-7BC8-4064-AC01-4376819B3BBA}">
      <formula1>"1, 2,3"</formula1>
    </dataValidation>
    <dataValidation type="list" allowBlank="1" showInputMessage="1" showErrorMessage="1" prompt="Please select your response from the drop-down menu." sqref="F272" xr:uid="{4AB0A0E0-96FC-4194-B5A7-E7BCBCE1281A}">
      <formula1>$N$1:$N$2</formula1>
    </dataValidation>
    <dataValidation type="list" allowBlank="1" showInputMessage="1" showErrorMessage="1" prompt="Please select your answer  from the drop down list." sqref="F77" xr:uid="{A85FF889-D99F-45B3-A284-6701B76512B6}">
      <formula1>$N$4:$N$6</formula1>
    </dataValidation>
    <dataValidation type="date" operator="greaterThan" allowBlank="1" showInputMessage="1" showErrorMessage="1" sqref="D283" xr:uid="{EB99B2DF-C2F3-48E9-BF4A-3C9D1CFDF8CB}">
      <formula1>45107</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8:H260"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Names(H)'!$A$1:$A$77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51"/>
  <sheetViews>
    <sheetView zoomScaleNormal="100" workbookViewId="0">
      <selection activeCell="C11" sqref="C11"/>
    </sheetView>
  </sheetViews>
  <sheetFormatPr defaultRowHeight="14.4" x14ac:dyDescent="0.3"/>
  <cols>
    <col min="1" max="1" width="5.88671875" style="155" customWidth="1"/>
    <col min="2" max="2" width="86.33203125" customWidth="1"/>
    <col min="3" max="3" width="19" customWidth="1"/>
    <col min="4" max="4" width="50.33203125" style="527" customWidth="1"/>
    <col min="5" max="5" width="24.33203125" customWidth="1"/>
    <col min="6" max="6" width="48.88671875" customWidth="1"/>
    <col min="7" max="7" width="32.109375" customWidth="1"/>
    <col min="8" max="9" width="8.88671875" style="633"/>
    <col min="10" max="10" width="1.6640625" style="633" customWidth="1"/>
    <col min="11" max="12" width="8.88671875" style="633" hidden="1" customWidth="1"/>
    <col min="13" max="13" width="13" style="633" customWidth="1"/>
  </cols>
  <sheetData>
    <row r="1" spans="1:13" s="562" customFormat="1" ht="12" customHeight="1" thickBot="1" x14ac:dyDescent="0.35">
      <c r="A1" s="561"/>
      <c r="D1" s="624"/>
      <c r="E1"/>
      <c r="F1"/>
      <c r="G1"/>
      <c r="H1" s="632"/>
      <c r="I1" s="632"/>
      <c r="J1" s="632"/>
      <c r="K1" s="632"/>
      <c r="L1" s="632"/>
      <c r="M1" s="632"/>
    </row>
    <row r="2" spans="1:13" ht="34.950000000000003" customHeight="1" thickBot="1" x14ac:dyDescent="0.35">
      <c r="A2" s="1081" t="s">
        <v>1535</v>
      </c>
      <c r="B2" s="1082"/>
      <c r="C2" s="1082"/>
      <c r="D2" s="1083"/>
    </row>
    <row r="3" spans="1:13" s="562" customFormat="1" ht="8.4" customHeight="1" thickBot="1" x14ac:dyDescent="0.35">
      <c r="A3" s="623"/>
      <c r="D3" s="624"/>
      <c r="E3"/>
      <c r="F3"/>
      <c r="G3"/>
      <c r="H3" s="632"/>
      <c r="I3" s="632"/>
      <c r="J3" s="632"/>
      <c r="K3" s="632"/>
      <c r="L3" s="632"/>
      <c r="M3" s="632"/>
    </row>
    <row r="4" spans="1:13" ht="16.95" customHeight="1" thickBot="1" x14ac:dyDescent="0.35">
      <c r="A4" s="1084" t="s">
        <v>1536</v>
      </c>
      <c r="B4" s="1085"/>
      <c r="C4" s="1085"/>
      <c r="D4" s="1086"/>
    </row>
    <row r="5" spans="1:13" ht="9" customHeight="1" thickBot="1" x14ac:dyDescent="0.35">
      <c r="A5"/>
      <c r="D5"/>
      <c r="H5"/>
      <c r="I5"/>
      <c r="J5"/>
      <c r="K5"/>
      <c r="L5"/>
      <c r="M5"/>
    </row>
    <row r="6" spans="1:13" ht="18.600000000000001" customHeight="1" thickBot="1" x14ac:dyDescent="0.35">
      <c r="A6" s="1087" t="s">
        <v>878</v>
      </c>
      <c r="B6" s="1088"/>
      <c r="C6" s="1088"/>
      <c r="D6" s="1089"/>
    </row>
    <row r="7" spans="1:13" s="180" customFormat="1" ht="7.95" customHeight="1" thickBot="1" x14ac:dyDescent="0.35"/>
    <row r="8" spans="1:13" s="180" customFormat="1" ht="36.6" customHeight="1" thickBot="1" x14ac:dyDescent="0.4">
      <c r="A8" s="1090" t="s">
        <v>1948</v>
      </c>
      <c r="B8" s="1091"/>
      <c r="C8" s="1091"/>
      <c r="D8" s="1092"/>
    </row>
    <row r="9" spans="1:13" s="562" customFormat="1" ht="13.95" customHeight="1" thickBot="1" x14ac:dyDescent="0.35">
      <c r="A9" s="625"/>
      <c r="B9" s="626"/>
      <c r="C9" s="626"/>
      <c r="D9" s="631"/>
      <c r="E9" s="1079" t="s">
        <v>1959</v>
      </c>
      <c r="F9"/>
      <c r="G9"/>
      <c r="H9" s="632"/>
      <c r="I9" s="632"/>
      <c r="J9" s="632"/>
      <c r="K9" s="632"/>
      <c r="L9" s="632"/>
      <c r="M9" s="632"/>
    </row>
    <row r="10" spans="1:13" ht="47.25" customHeight="1" x14ac:dyDescent="0.3">
      <c r="A10" s="768" t="s">
        <v>816</v>
      </c>
      <c r="B10" s="769"/>
      <c r="C10" s="769"/>
      <c r="D10" s="770"/>
      <c r="E10" s="1080"/>
    </row>
    <row r="11" spans="1:13" s="538" customFormat="1" ht="40.200000000000003" customHeight="1" x14ac:dyDescent="0.3">
      <c r="A11" s="658">
        <v>906</v>
      </c>
      <c r="B11" s="659" t="s">
        <v>466</v>
      </c>
      <c r="C11" s="754"/>
      <c r="D11" s="943" t="str">
        <f t="shared" ref="D11:D32" si="0">IF(C11="","This Question must be answered before uploading, the report will not be processed if left blank","")</f>
        <v>This Question must be answered before uploading, the report will not be processed if left blank</v>
      </c>
      <c r="E11" s="1042"/>
      <c r="F11"/>
      <c r="G11"/>
      <c r="H11" s="634"/>
      <c r="I11" s="634"/>
      <c r="J11" s="634"/>
      <c r="K11" s="634"/>
      <c r="L11" s="634"/>
      <c r="M11" s="634"/>
    </row>
    <row r="12" spans="1:13" ht="40.200000000000003" customHeight="1" x14ac:dyDescent="0.3">
      <c r="A12" s="658">
        <v>907</v>
      </c>
      <c r="B12" s="659" t="s">
        <v>1518</v>
      </c>
      <c r="C12" s="754"/>
      <c r="D12" s="943" t="str">
        <f t="shared" si="0"/>
        <v>This Question must be answered before uploading, the report will not be processed if left blank</v>
      </c>
      <c r="E12" s="1043"/>
      <c r="H12" s="634"/>
      <c r="I12" s="634"/>
      <c r="J12" s="634"/>
      <c r="K12" s="634"/>
      <c r="L12" s="634"/>
    </row>
    <row r="13" spans="1:13" s="180" customFormat="1" ht="51.6" customHeight="1" x14ac:dyDescent="0.3">
      <c r="A13" s="793">
        <v>1055</v>
      </c>
      <c r="B13" s="659" t="s">
        <v>1943</v>
      </c>
      <c r="C13" s="754"/>
      <c r="D13" s="724" t="str">
        <f>IF(C13="","This question must be answered before uploading. The report will not be processed if left blank.",IF(C13="Yes","Financial Performance Indicator of Concern that requires a response.  Please provide source document and page number in cell E13.",""))</f>
        <v>This question must be answered before uploading. The report will not be processed if left blank.</v>
      </c>
      <c r="E13" s="1044"/>
      <c r="F13"/>
      <c r="G13"/>
      <c r="H13" s="634"/>
      <c r="I13" s="634"/>
      <c r="J13" s="634"/>
      <c r="K13" s="634"/>
      <c r="L13" s="634"/>
      <c r="M13" s="633"/>
    </row>
    <row r="14" spans="1:13" s="180" customFormat="1" ht="48.6" customHeight="1" x14ac:dyDescent="0.3">
      <c r="A14" s="793">
        <v>1056</v>
      </c>
      <c r="B14" s="659" t="s">
        <v>1515</v>
      </c>
      <c r="C14" s="754"/>
      <c r="D14" s="943"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1044"/>
      <c r="F14"/>
      <c r="G14"/>
      <c r="H14" s="634"/>
      <c r="I14" s="634"/>
      <c r="J14" s="634"/>
      <c r="K14" s="634"/>
      <c r="L14" s="634"/>
      <c r="M14" s="633"/>
    </row>
    <row r="15" spans="1:13" s="180" customFormat="1" ht="55.2" customHeight="1" x14ac:dyDescent="0.3">
      <c r="A15" s="658">
        <v>1057</v>
      </c>
      <c r="B15" s="659" t="s">
        <v>1955</v>
      </c>
      <c r="C15" s="754"/>
      <c r="D15" s="943"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1043"/>
      <c r="F15"/>
      <c r="G15"/>
      <c r="H15" s="634"/>
      <c r="I15" s="634"/>
      <c r="J15" s="634"/>
      <c r="K15" s="634"/>
      <c r="L15" s="634"/>
      <c r="M15" s="633"/>
    </row>
    <row r="16" spans="1:13" ht="49.2" customHeight="1" x14ac:dyDescent="0.3">
      <c r="A16" s="793">
        <v>1058</v>
      </c>
      <c r="B16" s="659" t="s">
        <v>1956</v>
      </c>
      <c r="C16" s="754"/>
      <c r="D16" s="943"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1043"/>
    </row>
    <row r="17" spans="1:13" ht="113.4" customHeight="1" x14ac:dyDescent="0.3">
      <c r="A17" s="658">
        <v>1059</v>
      </c>
      <c r="B17" s="627" t="s">
        <v>1980</v>
      </c>
      <c r="C17" s="754"/>
      <c r="D17" s="943"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1043"/>
      <c r="H17" s="634"/>
      <c r="I17" s="634"/>
      <c r="J17" s="634"/>
      <c r="K17" s="634"/>
      <c r="L17" s="634"/>
    </row>
    <row r="18" spans="1:13" s="180" customFormat="1" ht="113.4" customHeight="1" x14ac:dyDescent="0.3">
      <c r="A18" s="658">
        <v>1078</v>
      </c>
      <c r="B18" s="627" t="s">
        <v>2637</v>
      </c>
      <c r="C18" s="754"/>
      <c r="D18" s="943"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1043"/>
      <c r="F18"/>
      <c r="H18" s="634"/>
      <c r="I18" s="634"/>
      <c r="J18" s="634"/>
      <c r="K18" s="634"/>
      <c r="L18" s="634"/>
      <c r="M18" s="633"/>
    </row>
    <row r="19" spans="1:13" s="180" customFormat="1" ht="78.599999999999994" customHeight="1" x14ac:dyDescent="0.3">
      <c r="A19" s="775">
        <v>1067</v>
      </c>
      <c r="B19" s="629" t="s">
        <v>1737</v>
      </c>
      <c r="C19" s="754"/>
      <c r="D19" s="943"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1043"/>
      <c r="F19"/>
      <c r="G19"/>
      <c r="H19" s="634"/>
      <c r="I19" s="634"/>
      <c r="J19" s="634"/>
      <c r="K19" s="634"/>
      <c r="L19" s="634"/>
      <c r="M19" s="633"/>
    </row>
    <row r="20" spans="1:13" ht="40.200000000000003" customHeight="1" x14ac:dyDescent="0.3">
      <c r="A20" s="658">
        <v>951</v>
      </c>
      <c r="B20" s="659" t="s">
        <v>1519</v>
      </c>
      <c r="C20" s="754"/>
      <c r="D20" s="943" t="str">
        <f t="shared" si="0"/>
        <v>This Question must be answered before uploading, the report will not be processed if left blank</v>
      </c>
      <c r="E20" s="1043"/>
      <c r="H20" s="634"/>
      <c r="I20" s="634"/>
      <c r="J20" s="634"/>
      <c r="K20" s="634"/>
      <c r="L20" s="634"/>
    </row>
    <row r="21" spans="1:13" ht="40.200000000000003" customHeight="1" x14ac:dyDescent="0.3">
      <c r="A21" s="658">
        <v>953</v>
      </c>
      <c r="B21" s="659" t="s">
        <v>1653</v>
      </c>
      <c r="C21" s="754"/>
      <c r="D21" s="943" t="str">
        <f t="shared" si="0"/>
        <v>This Question must be answered before uploading, the report will not be processed if left blank</v>
      </c>
      <c r="E21" s="1043"/>
      <c r="H21" s="634"/>
      <c r="I21" s="634"/>
      <c r="J21" s="634"/>
      <c r="K21" s="634"/>
      <c r="L21" s="634"/>
    </row>
    <row r="22" spans="1:13" ht="52.95" customHeight="1" x14ac:dyDescent="0.3">
      <c r="A22" s="793">
        <v>955</v>
      </c>
      <c r="B22" s="627" t="s">
        <v>1654</v>
      </c>
      <c r="C22" s="754"/>
      <c r="D22" s="943"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1043"/>
      <c r="H22" s="634"/>
      <c r="I22" s="634"/>
      <c r="J22" s="634"/>
      <c r="K22" s="634"/>
      <c r="L22" s="634"/>
    </row>
    <row r="23" spans="1:13" ht="48" customHeight="1" x14ac:dyDescent="0.3">
      <c r="A23" s="793">
        <v>957</v>
      </c>
      <c r="B23" s="627" t="s">
        <v>1659</v>
      </c>
      <c r="C23" s="754"/>
      <c r="D23" s="943" t="str">
        <f>IF(C23="","This question must be answered before uploading. The report will not be processed if left blank.",IF(C23&gt;0,"Financial Performance Indicator of Concern that requires a response.",""))</f>
        <v>This question must be answered before uploading. The report will not be processed if left blank.</v>
      </c>
      <c r="E23" s="1043"/>
      <c r="H23" s="634"/>
      <c r="I23" s="634"/>
      <c r="J23" s="634"/>
      <c r="K23" s="634"/>
      <c r="L23" s="634"/>
    </row>
    <row r="24" spans="1:13" s="180" customFormat="1" ht="115.8" customHeight="1" x14ac:dyDescent="0.3">
      <c r="A24" s="658">
        <v>973</v>
      </c>
      <c r="B24" s="627" t="s">
        <v>1957</v>
      </c>
      <c r="C24" s="754"/>
      <c r="D24" s="943"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1043"/>
      <c r="F24"/>
      <c r="G24"/>
      <c r="H24" s="634"/>
      <c r="I24" s="634"/>
      <c r="J24" s="634"/>
      <c r="K24" s="634"/>
      <c r="L24" s="634"/>
      <c r="M24" s="633"/>
    </row>
    <row r="25" spans="1:13" s="180" customFormat="1" ht="52.8" customHeight="1" x14ac:dyDescent="0.3">
      <c r="A25" s="658">
        <v>959</v>
      </c>
      <c r="B25" s="659" t="s">
        <v>659</v>
      </c>
      <c r="C25" s="754"/>
      <c r="D25" s="943"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1043"/>
      <c r="F25"/>
      <c r="G25"/>
      <c r="H25" s="634"/>
      <c r="I25" s="634"/>
      <c r="J25" s="634"/>
      <c r="K25" s="634"/>
      <c r="L25" s="634"/>
      <c r="M25" s="633"/>
    </row>
    <row r="26" spans="1:13" ht="93" customHeight="1" x14ac:dyDescent="0.3">
      <c r="A26" s="658">
        <v>974</v>
      </c>
      <c r="B26" s="659" t="s">
        <v>662</v>
      </c>
      <c r="C26" s="754"/>
      <c r="D26" s="943"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1043"/>
      <c r="H26" s="634"/>
      <c r="I26" s="634"/>
      <c r="J26" s="634"/>
      <c r="K26" s="634"/>
      <c r="L26" s="634"/>
    </row>
    <row r="27" spans="1:13" ht="40.200000000000003" customHeight="1" x14ac:dyDescent="0.3">
      <c r="A27" s="658" t="s">
        <v>610</v>
      </c>
      <c r="B27" s="659" t="s">
        <v>467</v>
      </c>
      <c r="C27" s="754"/>
      <c r="D27" s="943" t="str">
        <f>IF(C27="","This Question must be answered before uploading, the report will not be processed if left blank",IF(C27="Yes","Please submit copy via LGC File Portal.",""))</f>
        <v>This Question must be answered before uploading, the report will not be processed if left blank</v>
      </c>
      <c r="E27" s="1043"/>
      <c r="H27" s="634"/>
      <c r="I27" s="634"/>
      <c r="J27" s="634"/>
      <c r="K27" s="634"/>
      <c r="L27" s="634"/>
    </row>
    <row r="28" spans="1:13" ht="40.200000000000003" customHeight="1" x14ac:dyDescent="0.3">
      <c r="A28" s="658" t="s">
        <v>611</v>
      </c>
      <c r="B28" s="659" t="s">
        <v>1931</v>
      </c>
      <c r="C28" s="754"/>
      <c r="D28" s="943"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1043"/>
      <c r="H28" s="634"/>
      <c r="I28" s="634"/>
      <c r="J28" s="634"/>
      <c r="K28" s="634"/>
      <c r="L28" s="634"/>
    </row>
    <row r="29" spans="1:13" ht="40.200000000000003" customHeight="1" x14ac:dyDescent="0.3">
      <c r="A29" s="658" t="s">
        <v>612</v>
      </c>
      <c r="B29" s="659" t="s">
        <v>1934</v>
      </c>
      <c r="C29" s="754"/>
      <c r="D29" s="943" t="str">
        <f t="shared" si="1"/>
        <v>This Question must be answered before uploading, the report will not be processed if left blank</v>
      </c>
      <c r="E29" s="1043"/>
      <c r="H29" s="634"/>
      <c r="I29" s="634"/>
      <c r="J29" s="634"/>
      <c r="K29" s="634"/>
      <c r="L29" s="634"/>
    </row>
    <row r="30" spans="1:13" s="180" customFormat="1" ht="40.200000000000003" customHeight="1" x14ac:dyDescent="0.3">
      <c r="A30" s="1008" t="s">
        <v>2647</v>
      </c>
      <c r="B30" s="1009" t="s">
        <v>2648</v>
      </c>
      <c r="C30" s="755">
        <v>45107</v>
      </c>
      <c r="D30" s="1010"/>
      <c r="E30" s="1043"/>
      <c r="H30" s="634"/>
      <c r="I30" s="634"/>
      <c r="J30" s="634"/>
      <c r="K30" s="634"/>
      <c r="L30" s="634"/>
      <c r="M30" s="633"/>
    </row>
    <row r="31" spans="1:13" ht="40.200000000000003" customHeight="1" x14ac:dyDescent="0.3">
      <c r="A31" s="778">
        <v>1079</v>
      </c>
      <c r="B31" s="627" t="s">
        <v>2657</v>
      </c>
      <c r="C31" s="755"/>
      <c r="D31" s="1011" t="str">
        <f>IF(C31="","This question must be answered before uploading. The report will not be processed if left blank.",IF(C31&gt;'Performance  Indicators Print'!N30,"Financial Performance Indicator of Concern that requires a response.",""))</f>
        <v>This question must be answered before uploading. The report will not be processed if left blank.</v>
      </c>
      <c r="E31" s="1043"/>
      <c r="H31" s="634"/>
      <c r="I31" s="634"/>
      <c r="J31" s="634"/>
      <c r="K31" s="634"/>
      <c r="L31" s="634"/>
    </row>
    <row r="32" spans="1:13" ht="52.95" customHeight="1" x14ac:dyDescent="0.3">
      <c r="A32" s="658">
        <v>980</v>
      </c>
      <c r="B32" s="659" t="s">
        <v>1655</v>
      </c>
      <c r="C32" s="755"/>
      <c r="D32" s="943" t="str">
        <f t="shared" si="0"/>
        <v>This Question must be answered before uploading, the report will not be processed if left blank</v>
      </c>
      <c r="E32" s="1043"/>
      <c r="H32"/>
      <c r="I32"/>
      <c r="J32"/>
      <c r="K32"/>
      <c r="L32"/>
      <c r="M32"/>
    </row>
    <row r="33" spans="1:13" ht="40.200000000000003" customHeight="1" x14ac:dyDescent="0.3">
      <c r="A33" s="658">
        <v>975</v>
      </c>
      <c r="B33" s="659" t="s">
        <v>1958</v>
      </c>
      <c r="C33" s="754"/>
      <c r="D33" s="943"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1043"/>
      <c r="H33" s="634"/>
      <c r="I33" s="634"/>
      <c r="J33" s="634"/>
      <c r="K33" s="634"/>
      <c r="L33" s="634"/>
    </row>
    <row r="34" spans="1:13" ht="25.95" customHeight="1" x14ac:dyDescent="0.3">
      <c r="A34" s="1054" t="s">
        <v>1647</v>
      </c>
      <c r="B34" s="1051"/>
      <c r="C34" s="1052"/>
      <c r="D34" s="1053"/>
      <c r="E34" s="1045"/>
      <c r="H34"/>
      <c r="I34"/>
      <c r="J34"/>
      <c r="K34"/>
      <c r="L34"/>
      <c r="M34"/>
    </row>
    <row r="35" spans="1:13" ht="43.2" customHeight="1" x14ac:dyDescent="0.3">
      <c r="A35" s="778">
        <v>1068</v>
      </c>
      <c r="B35" s="627" t="s">
        <v>1648</v>
      </c>
      <c r="C35" s="754"/>
      <c r="D35" s="724" t="str">
        <f>IF(C35="","This Question must be answered before uploading, the report will not be processed if left blank","")</f>
        <v>This Question must be answered before uploading, the report will not be processed if left blank</v>
      </c>
      <c r="E35" s="1045"/>
      <c r="H35"/>
      <c r="I35"/>
      <c r="J35"/>
      <c r="K35"/>
      <c r="L35"/>
      <c r="M35"/>
    </row>
    <row r="36" spans="1:13" ht="43.2" customHeight="1" x14ac:dyDescent="0.3">
      <c r="A36" s="778">
        <v>1069</v>
      </c>
      <c r="B36" s="627" t="s">
        <v>1656</v>
      </c>
      <c r="C36" s="754"/>
      <c r="D36" s="724" t="str">
        <f t="shared" ref="D36:D38" si="2">IF(C36="","This Question must be answered before uploading, the report will not be processed if left blank","")</f>
        <v>This Question must be answered before uploading, the report will not be processed if left blank</v>
      </c>
      <c r="E36" s="1045"/>
      <c r="H36"/>
      <c r="I36"/>
      <c r="J36"/>
      <c r="K36"/>
      <c r="L36"/>
      <c r="M36"/>
    </row>
    <row r="37" spans="1:13" ht="43.2" customHeight="1" x14ac:dyDescent="0.3">
      <c r="A37" s="778">
        <v>1070</v>
      </c>
      <c r="B37" s="627" t="s">
        <v>1945</v>
      </c>
      <c r="C37" s="754"/>
      <c r="D37" s="724" t="str">
        <f t="shared" si="2"/>
        <v>This Question must be answered before uploading, the report will not be processed if left blank</v>
      </c>
      <c r="E37" s="1045"/>
      <c r="H37"/>
      <c r="I37"/>
      <c r="J37"/>
      <c r="K37"/>
      <c r="L37"/>
      <c r="M37"/>
    </row>
    <row r="38" spans="1:13" ht="43.2" customHeight="1" x14ac:dyDescent="0.3">
      <c r="A38" s="778">
        <v>1071</v>
      </c>
      <c r="B38" s="627" t="s">
        <v>2660</v>
      </c>
      <c r="C38" s="784"/>
      <c r="D38" s="724" t="str">
        <f t="shared" si="2"/>
        <v>This Question must be answered before uploading, the report will not be processed if left blank</v>
      </c>
      <c r="E38" s="1045"/>
      <c r="H38"/>
      <c r="I38"/>
      <c r="J38"/>
      <c r="K38"/>
      <c r="L38"/>
      <c r="M38"/>
    </row>
    <row r="39" spans="1:13" x14ac:dyDescent="0.3">
      <c r="A39"/>
      <c r="D39"/>
      <c r="E39" s="1045"/>
      <c r="H39"/>
      <c r="I39"/>
      <c r="J39"/>
      <c r="K39"/>
      <c r="L39"/>
      <c r="M39"/>
    </row>
    <row r="40" spans="1:13" s="180" customFormat="1" ht="40.200000000000003" customHeight="1" x14ac:dyDescent="0.3">
      <c r="A40" s="658" t="s">
        <v>613</v>
      </c>
      <c r="B40" s="724" t="str">
        <f>IF(D40="","This Question must be answered before uploading, the report will not be processed if left blank","")</f>
        <v>This Question must be answered before uploading, the report will not be processed if left blank</v>
      </c>
      <c r="C40" s="663" t="s">
        <v>468</v>
      </c>
      <c r="D40" s="1055"/>
      <c r="E40" s="1045"/>
      <c r="F40"/>
      <c r="G40"/>
      <c r="H40" s="633"/>
      <c r="I40" s="633"/>
      <c r="J40" s="633"/>
      <c r="K40" s="633"/>
      <c r="L40" s="633"/>
      <c r="M40" s="633"/>
    </row>
    <row r="41" spans="1:13" ht="14.4" customHeight="1" x14ac:dyDescent="0.3">
      <c r="A41" s="561"/>
      <c r="B41" s="624"/>
      <c r="C41" s="562"/>
      <c r="D41" s="1056"/>
      <c r="E41" s="1045"/>
    </row>
    <row r="42" spans="1:13" ht="40.200000000000003" customHeight="1" x14ac:dyDescent="0.3">
      <c r="A42" s="658" t="s">
        <v>614</v>
      </c>
      <c r="B42" s="724" t="str">
        <f>IF(D42="","This Question must be answered before uploading, the report will not be processed if left blank","")</f>
        <v>This Question must be answered before uploading, the report will not be processed if left blank</v>
      </c>
      <c r="C42" s="663" t="s">
        <v>469</v>
      </c>
      <c r="D42" s="1055"/>
      <c r="E42" s="1045"/>
    </row>
    <row r="43" spans="1:13" ht="14.4" customHeight="1" x14ac:dyDescent="0.3">
      <c r="A43" s="561"/>
      <c r="B43" s="624"/>
      <c r="C43" s="562"/>
      <c r="D43" s="1056"/>
      <c r="E43" s="1045"/>
    </row>
    <row r="44" spans="1:13" s="180" customFormat="1" ht="40.200000000000003" customHeight="1" x14ac:dyDescent="0.3">
      <c r="A44" s="658" t="s">
        <v>876</v>
      </c>
      <c r="B44" s="724" t="str">
        <f>IF(D44="","This Question must be answered before uploading, the report will not be processed if left blank","")</f>
        <v>This Question must be answered before uploading, the report will not be processed if left blank</v>
      </c>
      <c r="C44" s="663" t="s">
        <v>1520</v>
      </c>
      <c r="D44" s="1057"/>
      <c r="E44" s="1045"/>
      <c r="F44"/>
      <c r="G44"/>
      <c r="H44" s="633"/>
      <c r="I44" s="633"/>
      <c r="J44" s="633"/>
      <c r="K44" s="633"/>
      <c r="L44" s="633"/>
      <c r="M44" s="633"/>
    </row>
    <row r="48" spans="1:13" x14ac:dyDescent="0.3">
      <c r="A48" s="756"/>
      <c r="B48" s="757" t="s">
        <v>470</v>
      </c>
      <c r="C48" s="758">
        <v>1</v>
      </c>
      <c r="D48" s="759"/>
    </row>
    <row r="49" spans="1:4" x14ac:dyDescent="0.3">
      <c r="A49" s="760"/>
      <c r="B49" s="761" t="s">
        <v>471</v>
      </c>
      <c r="C49" s="762">
        <v>45181</v>
      </c>
      <c r="D49" s="763"/>
    </row>
    <row r="50" spans="1:4" x14ac:dyDescent="0.3">
      <c r="B50" s="562"/>
      <c r="C50" s="624"/>
    </row>
    <row r="51" spans="1:4" x14ac:dyDescent="0.3">
      <c r="B51" s="562"/>
      <c r="C51" s="624"/>
    </row>
  </sheetData>
  <sheetProtection algorithmName="SHA-512" hashValue="J9kBeI3Rbozqcv90XGJMc3reDnD6A1y+vqzivwy6jHevSPCHSdtlrfOmkDX140MgcY43QPASP5xUjfT4uooj/A==" saltValue="5YmUOAQNkNxphgBh0QxT1g==" spinCount="100000" sheet="1" objects="1" scenarios="1"/>
  <dataConsolidate/>
  <mergeCells count="5">
    <mergeCell ref="E9:E10"/>
    <mergeCell ref="A2:D2"/>
    <mergeCell ref="A4:D4"/>
    <mergeCell ref="A6:D6"/>
    <mergeCell ref="A8:D8"/>
  </mergeCells>
  <conditionalFormatting sqref="C13">
    <cfRule type="expression" dxfId="91" priority="23">
      <formula>"IF(C13=""Yes""|"" ""| "" "")"</formula>
    </cfRule>
  </conditionalFormatting>
  <conditionalFormatting sqref="E13">
    <cfRule type="expression" dxfId="90" priority="15">
      <formula>C13="yes"</formula>
    </cfRule>
  </conditionalFormatting>
  <conditionalFormatting sqref="E14">
    <cfRule type="expression" dxfId="89" priority="14">
      <formula>C14="Yes"</formula>
    </cfRule>
  </conditionalFormatting>
  <conditionalFormatting sqref="E15">
    <cfRule type="expression" dxfId="88" priority="13">
      <formula>C15="Yes"</formula>
    </cfRule>
  </conditionalFormatting>
  <conditionalFormatting sqref="E16">
    <cfRule type="expression" dxfId="87" priority="12">
      <formula>C16="Yes"</formula>
    </cfRule>
  </conditionalFormatting>
  <conditionalFormatting sqref="E17">
    <cfRule type="expression" dxfId="86" priority="10">
      <formula>C17="No"</formula>
    </cfRule>
  </conditionalFormatting>
  <conditionalFormatting sqref="E19">
    <cfRule type="expression" dxfId="85" priority="9">
      <formula>C19="No"</formula>
    </cfRule>
  </conditionalFormatting>
  <conditionalFormatting sqref="E25">
    <cfRule type="expression" dxfId="84" priority="7">
      <formula>C25="Yes"</formula>
    </cfRule>
  </conditionalFormatting>
  <conditionalFormatting sqref="E26">
    <cfRule type="expression" dxfId="83" priority="6">
      <formula>C26="Yes"</formula>
    </cfRule>
  </conditionalFormatting>
  <conditionalFormatting sqref="E22">
    <cfRule type="expression" dxfId="82" priority="3">
      <formula>$C$22&gt;0</formula>
    </cfRule>
  </conditionalFormatting>
  <conditionalFormatting sqref="E23">
    <cfRule type="expression" dxfId="81" priority="2">
      <formula>$C$23&gt;0</formula>
    </cfRule>
  </conditionalFormatting>
  <conditionalFormatting sqref="E18">
    <cfRule type="expression" dxfId="80" priority="1">
      <formula>$C$18="Yes"</formula>
    </cfRule>
  </conditionalFormatting>
  <dataValidations xWindow="697" yWindow="411" count="12">
    <dataValidation type="list" allowBlank="1" showInputMessage="1" showErrorMessage="1" prompt="Please select Yes or No from the drop down list" sqref="C21 C19 C37 C33:C35 C15:C17 C27:C29"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36 C2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_x000a_from the drop down list" sqref="C25" xr:uid="{C0840E4D-A4F7-4799-B300-7B0B69A66EF6}">
      <formula1>"Yes, No, N/A"</formula1>
    </dataValidation>
    <dataValidation type="list" allowBlank="1" showInputMessage="1" showErrorMessage="1" prompt="Please select Yes, No or N/A from the drop down list." sqref="C18" xr:uid="{4D47E039-902A-4683-88C3-AB3755AF2F6D}">
      <formula1>"Yes, No, N/A"</formula1>
    </dataValidation>
    <dataValidation type="custom" allowBlank="1" showInputMessage="1" showErrorMessage="1" error="Submit Date is prior to fiscal year end." sqref="C31" xr:uid="{D2B48579-58AB-406A-9A12-AD22386F857E}">
      <formula1>C30&lt;C31</formula1>
    </dataValidation>
  </dataValidations>
  <pageMargins left="0.7" right="0.7" top="0.75" bottom="0.75" header="0.3" footer="0.3"/>
  <pageSetup scale="5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4"/>
  <sheetViews>
    <sheetView zoomScale="93" zoomScaleNormal="93" workbookViewId="0">
      <pane xSplit="3" ySplit="3" topLeftCell="D4" activePane="bottomRight" state="frozen"/>
      <selection activeCell="K179" sqref="K179"/>
      <selection pane="topRight" activeCell="K179" sqref="K179"/>
      <selection pane="bottomLeft" activeCell="K179" sqref="K179"/>
      <selection pane="bottomRight" activeCell="G5" sqref="G5"/>
    </sheetView>
  </sheetViews>
  <sheetFormatPr defaultColWidth="9.109375" defaultRowHeight="14.4" x14ac:dyDescent="0.3"/>
  <cols>
    <col min="1" max="1" width="8.88671875" style="3" customWidth="1"/>
    <col min="2" max="2" width="17.5546875" style="46" bestFit="1" customWidth="1"/>
    <col min="3" max="3" width="42.5546875" style="364" customWidth="1"/>
    <col min="4" max="4" width="20.88671875" style="3" bestFit="1" customWidth="1"/>
    <col min="5" max="5" width="17.5546875" style="3" customWidth="1"/>
    <col min="6" max="6" width="22.6640625" style="3" customWidth="1"/>
    <col min="7" max="7" width="17.44140625" style="277" customWidth="1"/>
    <col min="8" max="8" width="10" style="3" customWidth="1"/>
    <col min="9" max="9" width="1" style="309" customWidth="1"/>
    <col min="10" max="10" width="18.109375" style="5" customWidth="1"/>
    <col min="11" max="11" width="36.88671875" style="9" customWidth="1"/>
    <col min="12" max="12" width="26.33203125" style="371" customWidth="1"/>
    <col min="13" max="13" width="8.44140625" customWidth="1"/>
    <col min="14" max="14" width="18.109375" style="3" customWidth="1"/>
    <col min="15" max="15" width="17.88671875" style="3" customWidth="1"/>
    <col min="16" max="16" width="9.109375" style="188" customWidth="1"/>
    <col min="17" max="17" width="10.33203125" style="279"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415</v>
      </c>
      <c r="D1" s="13">
        <f>L51-(L38+L39-L43-L44-L199)-L47</f>
        <v>0</v>
      </c>
      <c r="I1" s="278"/>
      <c r="J1" s="42"/>
      <c r="K1" s="14" t="s">
        <v>46</v>
      </c>
      <c r="L1" s="56"/>
      <c r="S1" s="3">
        <v>100</v>
      </c>
      <c r="T1" s="3">
        <v>1</v>
      </c>
    </row>
    <row r="2" spans="1:28" ht="44.4" x14ac:dyDescent="0.4">
      <c r="C2" s="67" t="str">
        <f>'Unit Data from Audit Worksheet'!D2</f>
        <v>Select Unit Name from Drop Down List</v>
      </c>
      <c r="D2" s="135">
        <v>2023</v>
      </c>
      <c r="E2" s="135">
        <v>2023</v>
      </c>
      <c r="F2" s="12"/>
      <c r="G2" s="63"/>
      <c r="H2" s="12"/>
      <c r="I2" s="278"/>
      <c r="J2" s="37" t="s">
        <v>42</v>
      </c>
      <c r="K2" s="8" t="s">
        <v>41</v>
      </c>
      <c r="L2" s="61" t="s">
        <v>30</v>
      </c>
      <c r="S2" s="3">
        <v>200</v>
      </c>
      <c r="T2" s="3">
        <v>2</v>
      </c>
      <c r="X2" s="311" t="s">
        <v>895</v>
      </c>
      <c r="Y2" s="311" t="s">
        <v>894</v>
      </c>
    </row>
    <row r="3" spans="1:28" ht="31.2" x14ac:dyDescent="0.3">
      <c r="A3" s="280" t="s">
        <v>42</v>
      </c>
      <c r="B3" s="281"/>
      <c r="C3" s="40" t="s">
        <v>1</v>
      </c>
      <c r="D3" s="15" t="s">
        <v>43</v>
      </c>
      <c r="E3" s="15" t="s">
        <v>44</v>
      </c>
      <c r="F3" s="16" t="s">
        <v>48</v>
      </c>
      <c r="G3" s="68" t="s">
        <v>312</v>
      </c>
      <c r="H3" s="16" t="s">
        <v>347</v>
      </c>
      <c r="I3" s="278"/>
      <c r="J3" s="282"/>
      <c r="K3" s="136"/>
      <c r="L3" s="283"/>
      <c r="O3" s="3" t="s">
        <v>281</v>
      </c>
      <c r="Q3" s="79" t="s">
        <v>313</v>
      </c>
      <c r="S3" s="3">
        <v>300</v>
      </c>
      <c r="T3" s="3">
        <v>3</v>
      </c>
      <c r="Y3" s="3" t="s">
        <v>664</v>
      </c>
    </row>
    <row r="4" spans="1:28" ht="25.95" customHeight="1" x14ac:dyDescent="0.35">
      <c r="A4" s="284"/>
      <c r="B4" s="285"/>
      <c r="C4" s="44"/>
      <c r="D4" s="7"/>
      <c r="E4" s="7"/>
      <c r="F4" s="7"/>
      <c r="G4" s="64"/>
      <c r="H4" s="7"/>
      <c r="I4" s="278"/>
      <c r="J4" s="39">
        <v>999</v>
      </c>
      <c r="K4" s="11" t="s">
        <v>278</v>
      </c>
      <c r="L4" s="727" t="e">
        <f>'Unit Data from Audit Worksheet'!D3</f>
        <v>#N/A</v>
      </c>
      <c r="S4" s="3">
        <v>400</v>
      </c>
      <c r="T4" s="3">
        <v>4</v>
      </c>
      <c r="X4" s="286"/>
      <c r="Y4" s="286"/>
    </row>
    <row r="5" spans="1:28" ht="57" customHeight="1" x14ac:dyDescent="0.3">
      <c r="A5" s="287">
        <f>'Unit Data from Audit Worksheet'!A9</f>
        <v>333</v>
      </c>
      <c r="B5" s="48" t="str">
        <f>'Unit Data from Audit Worksheet'!C9</f>
        <v>Net Position-Governmental Activities</v>
      </c>
      <c r="C5" s="288" t="str">
        <f>'Unit Data from Audit Worksheet'!D9</f>
        <v xml:space="preserve"> All unrestricted Cash and investments.  
Exclude: restricted cash 
                   cash held by a third party. </v>
      </c>
      <c r="D5" s="134"/>
      <c r="E5" s="142">
        <f>'Unit Data from Audit Worksheet'!F9</f>
        <v>0</v>
      </c>
      <c r="F5" s="224">
        <f>IF(L5&lt;0,"Error: Number is normally positive.",)</f>
        <v>0</v>
      </c>
      <c r="G5" s="65"/>
      <c r="H5" s="223"/>
      <c r="I5" s="32"/>
      <c r="J5" s="36">
        <v>333</v>
      </c>
      <c r="K5" s="45" t="s">
        <v>176</v>
      </c>
      <c r="L5" s="289">
        <f>IF(D5="",E5,D5)</f>
        <v>0</v>
      </c>
      <c r="P5" s="195"/>
      <c r="X5" s="552">
        <v>333</v>
      </c>
      <c r="Y5" s="286">
        <v>333</v>
      </c>
      <c r="AA5" s="3">
        <f>A5-J5</f>
        <v>0</v>
      </c>
      <c r="AB5" s="286">
        <f>E5-L5</f>
        <v>0</v>
      </c>
    </row>
    <row r="6" spans="1:28" ht="39.75" customHeight="1" x14ac:dyDescent="0.3">
      <c r="A6" s="212">
        <f>'Unit Data from Audit Worksheet'!A10</f>
        <v>500</v>
      </c>
      <c r="B6" s="225" t="str">
        <f>'Unit Data from Audit Worksheet'!C10</f>
        <v>Net Position-Governmental Activities</v>
      </c>
      <c r="C6" s="211" t="str">
        <f>'Unit Data from Audit Worksheet'!D10</f>
        <v xml:space="preserve"> All restricted Cash and investments</v>
      </c>
      <c r="D6" s="134"/>
      <c r="E6" s="231">
        <f>'Unit Data from Audit Worksheet'!F10</f>
        <v>0</v>
      </c>
      <c r="F6" s="224">
        <f>IF(L6&lt;0,"Error: Number is normally positive.",)</f>
        <v>0</v>
      </c>
      <c r="G6" s="226"/>
      <c r="H6" s="223"/>
      <c r="I6" s="32"/>
      <c r="J6" s="222">
        <v>500</v>
      </c>
      <c r="K6" s="221" t="s">
        <v>175</v>
      </c>
      <c r="L6" s="289">
        <f>IF(D6="",E6,D6)</f>
        <v>0</v>
      </c>
      <c r="P6" s="196"/>
      <c r="X6" s="552">
        <v>500</v>
      </c>
      <c r="Y6" s="286">
        <v>500</v>
      </c>
      <c r="AA6" s="386">
        <f t="shared" ref="AA6:AA71" si="0">A6-J6</f>
        <v>0</v>
      </c>
      <c r="AB6" s="286">
        <f t="shared" ref="AB6:AB71" si="1">E6-L6</f>
        <v>0</v>
      </c>
    </row>
    <row r="7" spans="1:28" ht="43.5" customHeight="1" x14ac:dyDescent="0.3">
      <c r="A7" s="212">
        <f>'Unit Data from Audit Worksheet'!A11</f>
        <v>385</v>
      </c>
      <c r="B7" s="225" t="str">
        <f>'Unit Data from Audit Worksheet'!C11</f>
        <v>Net Position-Governmental Activities</v>
      </c>
      <c r="C7" s="211" t="str">
        <f>'Unit Data from Audit Worksheet'!D11</f>
        <v>Total Assets and deferred outflows</v>
      </c>
      <c r="D7" s="134"/>
      <c r="E7" s="231">
        <f>'Unit Data from Audit Worksheet'!F11</f>
        <v>0</v>
      </c>
      <c r="F7" s="126">
        <f>IF((L5+L6)&gt;L7,"Error: Please review accts (333 + 500) &gt; 385",)</f>
        <v>0</v>
      </c>
      <c r="G7" s="226" t="str">
        <f>IF(Q7=1," Included in error count"," ")</f>
        <v xml:space="preserve"> </v>
      </c>
      <c r="H7" s="223"/>
      <c r="I7" s="32"/>
      <c r="J7" s="69">
        <v>385</v>
      </c>
      <c r="K7" s="70" t="s">
        <v>107</v>
      </c>
      <c r="L7" s="290">
        <f>IF(D7="",E7,D7)+IF(D9="",E9,D9)</f>
        <v>0</v>
      </c>
      <c r="N7" s="71" t="s">
        <v>299</v>
      </c>
      <c r="P7" s="196"/>
      <c r="X7" s="552">
        <v>385</v>
      </c>
      <c r="Y7" s="286">
        <v>385</v>
      </c>
      <c r="AA7" s="386">
        <f t="shared" si="0"/>
        <v>0</v>
      </c>
      <c r="AB7" s="286">
        <f t="shared" si="1"/>
        <v>0</v>
      </c>
    </row>
    <row r="8" spans="1:28" ht="90.75" customHeight="1" x14ac:dyDescent="0.3">
      <c r="A8" s="212">
        <f>'Unit Data from Audit Worksheet'!A12</f>
        <v>575</v>
      </c>
      <c r="B8" s="225" t="str">
        <f>'Unit Data from Audit Worksheet'!C12</f>
        <v>Net Position-Governmental Activities</v>
      </c>
      <c r="C8" s="211" t="str">
        <f>'Unit Data from Audit Worksheet'!D12</f>
        <v>Record any positive Internal balances on the net position statements that appear in the Asset Section of the Net Position Statement</v>
      </c>
      <c r="D8" s="134"/>
      <c r="E8" s="231">
        <f>'Unit Data from Audit Worksheet'!F12</f>
        <v>0</v>
      </c>
      <c r="F8" s="224">
        <f>IF(L8&lt;0,"Error: Number is normally positive.",)</f>
        <v>0</v>
      </c>
      <c r="G8" s="226"/>
      <c r="H8" s="223"/>
      <c r="I8" s="32"/>
      <c r="J8" s="222">
        <v>575</v>
      </c>
      <c r="K8" s="228" t="s">
        <v>302</v>
      </c>
      <c r="L8" s="289">
        <f>IF(D8="",E8,D8)</f>
        <v>0</v>
      </c>
      <c r="N8" s="57"/>
      <c r="P8" s="196"/>
      <c r="X8" s="552">
        <v>575</v>
      </c>
      <c r="Y8" s="286">
        <v>575</v>
      </c>
      <c r="AA8" s="386">
        <f t="shared" si="0"/>
        <v>0</v>
      </c>
      <c r="AB8" s="286">
        <f t="shared" si="1"/>
        <v>0</v>
      </c>
    </row>
    <row r="9" spans="1:28" ht="103.5" customHeight="1" x14ac:dyDescent="0.3">
      <c r="A9" s="212">
        <f>'Unit Data from Audit Worksheet'!A13</f>
        <v>576</v>
      </c>
      <c r="B9" s="225" t="str">
        <f>'Unit Data from Audit Worksheet'!C13</f>
        <v>Net Position-Governmental Activities</v>
      </c>
      <c r="C9" s="291" t="str">
        <f>'Unit Data from Audit Worksheet'!D13</f>
        <v>Record any negative Internal balances on the net position statements that appear in the Asset Section of the Net Position Statement.
Enter as a positive</v>
      </c>
      <c r="D9" s="102"/>
      <c r="E9" s="145">
        <f>'Unit Data from Audit Worksheet'!F13</f>
        <v>0</v>
      </c>
      <c r="F9" s="220">
        <f>IF(E9&lt;0,"Error: Enter as positive.",)</f>
        <v>0</v>
      </c>
      <c r="G9" s="104"/>
      <c r="H9" s="105"/>
      <c r="I9" s="32"/>
      <c r="J9" s="97">
        <v>576</v>
      </c>
      <c r="K9" s="228" t="s">
        <v>303</v>
      </c>
      <c r="L9" s="289">
        <f>IF(D9="",E9,D9)</f>
        <v>0</v>
      </c>
      <c r="N9" s="57"/>
      <c r="P9" s="197"/>
      <c r="X9" s="552">
        <v>576</v>
      </c>
      <c r="Y9" s="286">
        <v>576</v>
      </c>
      <c r="AA9" s="386">
        <f t="shared" si="0"/>
        <v>0</v>
      </c>
      <c r="AB9" s="286">
        <f t="shared" si="1"/>
        <v>0</v>
      </c>
    </row>
    <row r="10" spans="1:28" s="18" customFormat="1" ht="100.5" customHeight="1" x14ac:dyDescent="0.3">
      <c r="A10" s="212">
        <f>'Unit Data from Audit Worksheet'!A14</f>
        <v>626</v>
      </c>
      <c r="B10" s="217" t="str">
        <f>'Unit Data from Audit Worksheet'!C14</f>
        <v>Net Position-Governmental Activities</v>
      </c>
      <c r="C10" s="216" t="str">
        <f>'Unit Data from Audit Worksheet'!D14</f>
        <v xml:space="preserve">Total Current liabilities (as reported on Statement of Net Position)
Include:   Current liabilities including current portion of long-term debt.  Deferred inflows should not be included in Current Liabilities  </v>
      </c>
      <c r="D10" s="102"/>
      <c r="E10" s="669">
        <f>'Unit Data from Audit Worksheet'!F14</f>
        <v>0</v>
      </c>
      <c r="F10"/>
      <c r="G10"/>
      <c r="H10"/>
      <c r="I10" s="32"/>
      <c r="J10" s="647">
        <v>626</v>
      </c>
      <c r="K10" s="648" t="s">
        <v>372</v>
      </c>
      <c r="L10" s="649">
        <f>IF(D10="",E10,D10)+IF(D9="",E9,D9)</f>
        <v>0</v>
      </c>
      <c r="M10"/>
      <c r="N10" s="167" t="s">
        <v>299</v>
      </c>
      <c r="O10" s="292"/>
      <c r="P10" s="198"/>
      <c r="Q10" s="293"/>
      <c r="R10" s="3"/>
      <c r="X10" s="552">
        <v>626</v>
      </c>
      <c r="Y10" s="294">
        <v>626</v>
      </c>
      <c r="AA10" s="386">
        <f t="shared" si="0"/>
        <v>0</v>
      </c>
      <c r="AB10" s="286">
        <f t="shared" si="1"/>
        <v>0</v>
      </c>
    </row>
    <row r="11" spans="1:28" s="18" customFormat="1" ht="86.25" customHeight="1" x14ac:dyDescent="0.3">
      <c r="A11" s="212">
        <f>'Unit Data from Audit Worksheet'!A15</f>
        <v>627</v>
      </c>
      <c r="B11" s="217" t="str">
        <f>'Unit Data from Audit Worksheet'!C15</f>
        <v>Net Position-Governmental Activities</v>
      </c>
      <c r="C11" s="216" t="str">
        <f>'Unit Data from Audit Worksheet'!D15</f>
        <v>Please enter any bond anticipation notes that are classified as current liabilities and included in account 626 above (amounts entered should agree to the current amount included in the changes to long-term debt note)</v>
      </c>
      <c r="D11" s="102"/>
      <c r="E11" s="234">
        <f>'Unit Data from Audit Worksheet'!F15</f>
        <v>0</v>
      </c>
      <c r="F11" s="668"/>
      <c r="G11" s="667"/>
      <c r="H11" s="668"/>
      <c r="I11" s="32"/>
      <c r="J11" s="218">
        <v>627</v>
      </c>
      <c r="K11" s="193" t="s">
        <v>364</v>
      </c>
      <c r="L11" s="295">
        <f t="shared" ref="L11:L16" si="2">IF(D11="",E11,D11)</f>
        <v>0</v>
      </c>
      <c r="M11"/>
      <c r="N11" s="166"/>
      <c r="O11" s="292"/>
      <c r="P11" s="198"/>
      <c r="Q11" s="293"/>
      <c r="R11" s="3"/>
      <c r="X11" s="552">
        <v>627</v>
      </c>
      <c r="Y11" s="294">
        <v>627</v>
      </c>
      <c r="AA11" s="386">
        <f t="shared" si="0"/>
        <v>0</v>
      </c>
      <c r="AB11" s="286">
        <f t="shared" si="1"/>
        <v>0</v>
      </c>
    </row>
    <row r="12" spans="1:28" s="18" customFormat="1" ht="86.25" customHeight="1" x14ac:dyDescent="0.3">
      <c r="A12" s="212">
        <f>'Unit Data from Audit Worksheet'!A16</f>
        <v>628</v>
      </c>
      <c r="B12" s="217" t="str">
        <f>'Unit Data from Audit Worksheet'!C16</f>
        <v>Net Position-Governmental Activities</v>
      </c>
      <c r="C12" s="216" t="str">
        <f>'Unit Data from Audit Worksheet'!D16</f>
        <v>Please enter any compensated absences that are classified as current liabilities and included in account 626 above (amounts entered should agree to the current amount included in the changes to long-term debt note)</v>
      </c>
      <c r="D12" s="102"/>
      <c r="E12" s="234">
        <f>'Unit Data from Audit Worksheet'!F16</f>
        <v>0</v>
      </c>
      <c r="F12" s="219"/>
      <c r="G12" s="207"/>
      <c r="H12" s="219"/>
      <c r="I12" s="32"/>
      <c r="J12" s="218">
        <v>628</v>
      </c>
      <c r="K12" s="193" t="s">
        <v>369</v>
      </c>
      <c r="L12" s="295">
        <f t="shared" si="2"/>
        <v>0</v>
      </c>
      <c r="M12"/>
      <c r="N12" s="166"/>
      <c r="O12" s="292"/>
      <c r="P12" s="198"/>
      <c r="Q12" s="293"/>
      <c r="R12" s="3"/>
      <c r="X12" s="552">
        <v>628</v>
      </c>
      <c r="Y12" s="294">
        <v>628</v>
      </c>
      <c r="AA12" s="386">
        <f t="shared" si="0"/>
        <v>0</v>
      </c>
      <c r="AB12" s="286">
        <f t="shared" si="1"/>
        <v>0</v>
      </c>
    </row>
    <row r="13" spans="1:28" s="18" customFormat="1" ht="93" customHeight="1" x14ac:dyDescent="0.3">
      <c r="A13" s="212">
        <f>'Unit Data from Audit Worksheet'!A17</f>
        <v>629</v>
      </c>
      <c r="B13" s="217" t="str">
        <f>'Unit Data from Audit Worksheet'!C17</f>
        <v>Net Position-Governmental Activities</v>
      </c>
      <c r="C13" s="216" t="str">
        <f>'Unit Data from Audit Worksheet'!D17</f>
        <v>Please enter any pension liabilities that are classified as current liabilities and included in account 626 above (amounts entered should agree to the current amount included in the changes to long-term debt note)</v>
      </c>
      <c r="D13" s="102"/>
      <c r="E13" s="234">
        <f>'Unit Data from Audit Worksheet'!F17</f>
        <v>0</v>
      </c>
      <c r="F13" s="219"/>
      <c r="G13" s="207"/>
      <c r="H13" s="219"/>
      <c r="I13" s="32"/>
      <c r="J13" s="218">
        <v>629</v>
      </c>
      <c r="K13" s="193" t="s">
        <v>368</v>
      </c>
      <c r="L13" s="295">
        <f t="shared" si="2"/>
        <v>0</v>
      </c>
      <c r="M13"/>
      <c r="N13" s="166"/>
      <c r="O13" s="292"/>
      <c r="P13" s="198"/>
      <c r="Q13" s="293"/>
      <c r="R13" s="3"/>
      <c r="X13" s="552">
        <v>629</v>
      </c>
      <c r="Y13" s="294">
        <v>629</v>
      </c>
      <c r="AA13" s="386">
        <f t="shared" si="0"/>
        <v>0</v>
      </c>
      <c r="AB13" s="286">
        <f t="shared" si="1"/>
        <v>0</v>
      </c>
    </row>
    <row r="14" spans="1:28" s="18" customFormat="1" ht="67.5" customHeight="1" x14ac:dyDescent="0.3">
      <c r="A14" s="212">
        <f>'Unit Data from Audit Worksheet'!A18</f>
        <v>630</v>
      </c>
      <c r="B14" s="217" t="str">
        <f>'Unit Data from Audit Worksheet'!C18</f>
        <v>Net Position-Governmental Activities</v>
      </c>
      <c r="C14" s="216" t="str">
        <f>'Unit Data from Audit Worksheet'!D18</f>
        <v>Please enter any current liabilities that are payable from restricted assets and included in account 626 above</v>
      </c>
      <c r="D14" s="102"/>
      <c r="E14" s="234">
        <f>'Unit Data from Audit Worksheet'!F18</f>
        <v>0</v>
      </c>
      <c r="F14" s="219"/>
      <c r="G14" s="207"/>
      <c r="H14" s="219"/>
      <c r="I14" s="32"/>
      <c r="J14" s="218">
        <v>630</v>
      </c>
      <c r="K14" s="193" t="s">
        <v>367</v>
      </c>
      <c r="L14" s="295">
        <f t="shared" si="2"/>
        <v>0</v>
      </c>
      <c r="M14"/>
      <c r="N14" s="166"/>
      <c r="O14" s="292"/>
      <c r="P14" s="198"/>
      <c r="Q14" s="293"/>
      <c r="R14" s="3"/>
      <c r="X14" s="552">
        <v>630</v>
      </c>
      <c r="Y14" s="294">
        <v>630</v>
      </c>
      <c r="AA14" s="386">
        <f t="shared" si="0"/>
        <v>0</v>
      </c>
      <c r="AB14" s="286">
        <f t="shared" si="1"/>
        <v>0</v>
      </c>
    </row>
    <row r="15" spans="1:28" s="18" customFormat="1" ht="102.75" customHeight="1" x14ac:dyDescent="0.3">
      <c r="A15" s="212">
        <f>'Unit Data from Audit Worksheet'!A19</f>
        <v>631</v>
      </c>
      <c r="B15" s="225" t="str">
        <f>'Unit Data from Audit Worksheet'!C19</f>
        <v>Net Position-Governmental Activities</v>
      </c>
      <c r="C15" s="208" t="str">
        <f>'Unit Data from Audit Worksheet'!D19</f>
        <v>Please enter any OPEB liabilities that are classified as current liabilities and included in account 626 above (amounts entered should agree to the current amount included in the changes to long-term debt note)</v>
      </c>
      <c r="D15" s="102"/>
      <c r="E15" s="234">
        <f>'Unit Data from Audit Worksheet'!F19</f>
        <v>0</v>
      </c>
      <c r="F15" s="219"/>
      <c r="G15" s="207"/>
      <c r="H15" s="219"/>
      <c r="I15" s="32"/>
      <c r="J15" s="218">
        <v>631</v>
      </c>
      <c r="K15" s="193" t="s">
        <v>366</v>
      </c>
      <c r="L15" s="295">
        <f t="shared" si="2"/>
        <v>0</v>
      </c>
      <c r="M15"/>
      <c r="N15" s="166"/>
      <c r="O15" s="292"/>
      <c r="P15" s="198"/>
      <c r="Q15" s="293"/>
      <c r="R15" s="3"/>
      <c r="X15" s="552">
        <v>631</v>
      </c>
      <c r="Y15" s="294">
        <v>631</v>
      </c>
      <c r="AA15" s="386">
        <f t="shared" si="0"/>
        <v>0</v>
      </c>
      <c r="AB15" s="286">
        <f t="shared" si="1"/>
        <v>0</v>
      </c>
    </row>
    <row r="16" spans="1:28" s="18" customFormat="1" ht="119.25" customHeight="1" x14ac:dyDescent="0.3">
      <c r="A16" s="212">
        <f>'Unit Data from Audit Worksheet'!A20</f>
        <v>632</v>
      </c>
      <c r="B16" s="225" t="str">
        <f>'Unit Data from Audit Worksheet'!C20</f>
        <v>Net Position-Governmental Activities</v>
      </c>
      <c r="C16" s="20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2"/>
      <c r="E16" s="234">
        <f>'Unit Data from Audit Worksheet'!F20</f>
        <v>0</v>
      </c>
      <c r="F16" s="219"/>
      <c r="G16" s="207"/>
      <c r="H16" s="219"/>
      <c r="I16" s="32"/>
      <c r="J16" s="218">
        <v>632</v>
      </c>
      <c r="K16" s="193" t="s">
        <v>365</v>
      </c>
      <c r="L16" s="295">
        <f t="shared" si="2"/>
        <v>0</v>
      </c>
      <c r="M16"/>
      <c r="N16" s="166"/>
      <c r="O16" s="292"/>
      <c r="P16" s="198"/>
      <c r="Q16" s="293"/>
      <c r="R16" s="3"/>
      <c r="X16" s="552">
        <v>632</v>
      </c>
      <c r="Y16" s="294">
        <v>632</v>
      </c>
      <c r="AA16" s="386">
        <f t="shared" si="0"/>
        <v>0</v>
      </c>
      <c r="AB16" s="286">
        <f t="shared" si="1"/>
        <v>0</v>
      </c>
    </row>
    <row r="17" spans="1:28" ht="30.6" x14ac:dyDescent="0.3">
      <c r="A17" s="551">
        <f>'Unit Data from Audit Worksheet'!A21</f>
        <v>338</v>
      </c>
      <c r="B17" s="225" t="str">
        <f>'Unit Data from Audit Worksheet'!C21</f>
        <v>Net Position-Governmental Activities</v>
      </c>
      <c r="C17" s="211" t="str">
        <f>'Unit Data from Audit Worksheet'!D21</f>
        <v>Total Liabilities and total deferred inflows</v>
      </c>
      <c r="D17" s="102"/>
      <c r="E17" s="142">
        <f>'Unit Data from Audit Worksheet'!F21</f>
        <v>0</v>
      </c>
      <c r="F17" s="126" t="str">
        <f>IF(L10&gt;L17,"Please review accounts 626 greater than 338","")</f>
        <v/>
      </c>
      <c r="G17" s="65"/>
      <c r="H17" s="223"/>
      <c r="I17" s="32"/>
      <c r="J17" s="106">
        <v>338</v>
      </c>
      <c r="K17" s="107" t="s">
        <v>108</v>
      </c>
      <c r="L17" s="290">
        <f>IF(D17="",E17,D17)+IF(D9="",E9,D9)</f>
        <v>0</v>
      </c>
      <c r="N17" s="71" t="s">
        <v>299</v>
      </c>
      <c r="P17" s="195"/>
      <c r="X17" s="552">
        <v>338</v>
      </c>
      <c r="Y17" s="286">
        <v>338</v>
      </c>
      <c r="AA17" s="386">
        <f t="shared" si="0"/>
        <v>0</v>
      </c>
      <c r="AB17" s="286">
        <f t="shared" si="1"/>
        <v>0</v>
      </c>
    </row>
    <row r="18" spans="1:28" ht="100.5" customHeight="1" x14ac:dyDescent="0.3">
      <c r="A18" s="212">
        <f>'Unit Data from Audit Worksheet'!A22</f>
        <v>335</v>
      </c>
      <c r="B18" s="225" t="str">
        <f>'Unit Data from Audit Worksheet'!C22</f>
        <v>Net Position-Governmental Activities</v>
      </c>
      <c r="C18" s="211" t="str">
        <f>'Unit Data from Audit Worksheet'!D22</f>
        <v>Unearned revenues that were included in current liabilities in your audit report or entered in acct # 626 above. 
Exclude - unearned revenues that are listed in deferred inflows.</v>
      </c>
      <c r="D18" s="102"/>
      <c r="E18" s="231">
        <f>'Unit Data from Audit Worksheet'!F22</f>
        <v>0</v>
      </c>
      <c r="F18" s="224">
        <f>IF(L18&lt;0,"Error: Enter as a positive.",)</f>
        <v>0</v>
      </c>
      <c r="G18" s="226"/>
      <c r="H18" s="223"/>
      <c r="I18" s="32"/>
      <c r="J18" s="222">
        <v>335</v>
      </c>
      <c r="K18" s="221" t="s">
        <v>109</v>
      </c>
      <c r="L18" s="289">
        <f>IF(D18="",E18,D18)</f>
        <v>0</v>
      </c>
      <c r="P18" s="196"/>
      <c r="X18" s="552">
        <v>335</v>
      </c>
      <c r="Y18" s="286">
        <v>335</v>
      </c>
      <c r="AA18" s="386">
        <f t="shared" si="0"/>
        <v>0</v>
      </c>
      <c r="AB18" s="286">
        <f t="shared" si="1"/>
        <v>0</v>
      </c>
    </row>
    <row r="19" spans="1:28" ht="20.399999999999999" x14ac:dyDescent="0.3">
      <c r="A19" s="212">
        <f>'Unit Data from Audit Worksheet'!A23</f>
        <v>252</v>
      </c>
      <c r="B19" s="225" t="str">
        <f>'Unit Data from Audit Worksheet'!C23</f>
        <v>Net Position-Governmental Activities</v>
      </c>
      <c r="C19" s="211" t="str">
        <f>'Unit Data from Audit Worksheet'!D23</f>
        <v xml:space="preserve"> Total Net investment in capital assets</v>
      </c>
      <c r="D19" s="102"/>
      <c r="E19" s="231">
        <f>'Unit Data from Audit Worksheet'!F23</f>
        <v>0</v>
      </c>
      <c r="F19" s="224"/>
      <c r="G19" s="226"/>
      <c r="H19" s="223"/>
      <c r="I19" s="32"/>
      <c r="J19" s="222">
        <v>252</v>
      </c>
      <c r="K19" s="221" t="s">
        <v>95</v>
      </c>
      <c r="L19" s="289">
        <f t="shared" ref="L19:L37" si="3">IF(D19="",E19,D19)</f>
        <v>0</v>
      </c>
      <c r="O19" s="296" t="e">
        <f>'Unit Data from Audit Worksheet'!E23</f>
        <v>#N/A</v>
      </c>
      <c r="P19" s="196"/>
      <c r="X19" s="552">
        <v>252</v>
      </c>
      <c r="Y19" s="286">
        <v>252</v>
      </c>
      <c r="AA19" s="386">
        <f t="shared" si="0"/>
        <v>0</v>
      </c>
      <c r="AB19" s="286">
        <f t="shared" si="1"/>
        <v>0</v>
      </c>
    </row>
    <row r="20" spans="1:28" ht="20.399999999999999" x14ac:dyDescent="0.3">
      <c r="A20" s="212">
        <f>'Unit Data from Audit Worksheet'!A24</f>
        <v>253</v>
      </c>
      <c r="B20" s="225" t="str">
        <f>'Unit Data from Audit Worksheet'!C24</f>
        <v>Net Position-Governmental Activities</v>
      </c>
      <c r="C20" s="211" t="str">
        <f>'Unit Data from Audit Worksheet'!D24</f>
        <v xml:space="preserve"> Total Net Position, Restricted</v>
      </c>
      <c r="D20" s="102"/>
      <c r="E20" s="231">
        <f>'Unit Data from Audit Worksheet'!F24</f>
        <v>0</v>
      </c>
      <c r="F20" s="224"/>
      <c r="G20" s="226"/>
      <c r="H20" s="223"/>
      <c r="I20" s="32"/>
      <c r="J20" s="222">
        <v>253</v>
      </c>
      <c r="K20" s="221" t="s">
        <v>96</v>
      </c>
      <c r="L20" s="289">
        <f t="shared" si="3"/>
        <v>0</v>
      </c>
      <c r="O20" s="296" t="e">
        <f>'Unit Data from Audit Worksheet'!E24</f>
        <v>#N/A</v>
      </c>
      <c r="P20" s="196"/>
      <c r="X20" s="552">
        <v>253</v>
      </c>
      <c r="Y20" s="286">
        <v>253</v>
      </c>
      <c r="AA20" s="386">
        <f t="shared" si="0"/>
        <v>0</v>
      </c>
      <c r="AB20" s="286">
        <f t="shared" si="1"/>
        <v>0</v>
      </c>
    </row>
    <row r="21" spans="1:28" ht="73.5" customHeight="1" x14ac:dyDescent="0.3">
      <c r="A21" s="212">
        <f>'Unit Data from Audit Worksheet'!A25</f>
        <v>254</v>
      </c>
      <c r="B21" s="225" t="str">
        <f>'Unit Data from Audit Worksheet'!C25</f>
        <v>Net Position-Governmental Activities</v>
      </c>
      <c r="C21" s="211" t="str">
        <f>'Unit Data from Audit Worksheet'!D25</f>
        <v>Total Net Position, Unrestricted - enter negative unrestricted net position as a negative)</v>
      </c>
      <c r="D21" s="102"/>
      <c r="E21" s="231">
        <f>'Unit Data from Audit Worksheet'!F25</f>
        <v>0</v>
      </c>
      <c r="F21" s="224">
        <f>IF((L7-L17-L19-L20-L21)=0,,"Error: Total assets and deferred outflows less total liabilities and deferred inflows do not equal total net position accts 385-338-252-253-254")</f>
        <v>0</v>
      </c>
      <c r="G21" s="83">
        <f>+L7-L17-L19-L20-L21</f>
        <v>0</v>
      </c>
      <c r="H21" s="223"/>
      <c r="I21" s="32"/>
      <c r="J21" s="222">
        <v>254</v>
      </c>
      <c r="K21" s="221" t="s">
        <v>97</v>
      </c>
      <c r="L21" s="289">
        <f t="shared" si="3"/>
        <v>0</v>
      </c>
      <c r="O21" s="296" t="e">
        <f>'Unit Data from Audit Worksheet'!E25</f>
        <v>#N/A</v>
      </c>
      <c r="P21" s="196"/>
      <c r="X21" s="552">
        <v>254</v>
      </c>
      <c r="Y21" s="286">
        <v>254</v>
      </c>
      <c r="AA21" s="386">
        <f t="shared" si="0"/>
        <v>0</v>
      </c>
      <c r="AB21" s="286">
        <f t="shared" si="1"/>
        <v>0</v>
      </c>
    </row>
    <row r="22" spans="1:28" ht="51.75" customHeight="1" x14ac:dyDescent="0.3">
      <c r="A22" s="212">
        <f>'Unit Data from Audit Worksheet'!A27</f>
        <v>502</v>
      </c>
      <c r="B22" s="225" t="str">
        <f>'Unit Data from Audit Worksheet'!C27</f>
        <v>Net Position-Business Activities</v>
      </c>
      <c r="C22" s="211" t="str">
        <f>'Unit Data from Audit Worksheet'!D27</f>
        <v xml:space="preserve">All unrestricted Cash and investments. 
Exclude restricted cash and cash held by a third party. </v>
      </c>
      <c r="D22" s="102"/>
      <c r="E22" s="231">
        <f>'Unit Data from Audit Worksheet'!F27</f>
        <v>0</v>
      </c>
      <c r="F22" s="224">
        <f>IF(L22&lt;0,"Error: Number is normally positive.",)</f>
        <v>0</v>
      </c>
      <c r="G22" s="226"/>
      <c r="H22" s="223"/>
      <c r="I22" s="32"/>
      <c r="J22" s="222">
        <v>502</v>
      </c>
      <c r="K22" s="221" t="s">
        <v>177</v>
      </c>
      <c r="L22" s="289">
        <f t="shared" si="3"/>
        <v>0</v>
      </c>
      <c r="P22" s="196"/>
      <c r="X22" s="552">
        <v>502</v>
      </c>
      <c r="Y22" s="286">
        <v>502</v>
      </c>
      <c r="AA22" s="386">
        <f t="shared" si="0"/>
        <v>0</v>
      </c>
      <c r="AB22" s="286">
        <f t="shared" si="1"/>
        <v>0</v>
      </c>
    </row>
    <row r="23" spans="1:28" ht="40.5" customHeight="1" x14ac:dyDescent="0.3">
      <c r="A23" s="212">
        <f>'Unit Data from Audit Worksheet'!A28</f>
        <v>503</v>
      </c>
      <c r="B23" s="225" t="str">
        <f>'Unit Data from Audit Worksheet'!C28</f>
        <v>Net Position-Business Activities</v>
      </c>
      <c r="C23" s="211" t="str">
        <f>'Unit Data from Audit Worksheet'!D28</f>
        <v>All restricted Cash and investments</v>
      </c>
      <c r="D23" s="102"/>
      <c r="E23" s="231">
        <f>'Unit Data from Audit Worksheet'!F28</f>
        <v>0</v>
      </c>
      <c r="F23" s="224">
        <f>IF(L23&lt;0,"Error: Number is normally positive.",)</f>
        <v>0</v>
      </c>
      <c r="G23" s="226"/>
      <c r="H23" s="223"/>
      <c r="I23" s="32"/>
      <c r="J23" s="222">
        <v>503</v>
      </c>
      <c r="K23" s="221" t="s">
        <v>178</v>
      </c>
      <c r="L23" s="289">
        <f t="shared" si="3"/>
        <v>0</v>
      </c>
      <c r="P23" s="196"/>
      <c r="X23" s="552">
        <v>503</v>
      </c>
      <c r="Y23" s="286">
        <v>503</v>
      </c>
      <c r="AA23" s="386">
        <f t="shared" si="0"/>
        <v>0</v>
      </c>
      <c r="AB23" s="286">
        <f t="shared" si="1"/>
        <v>0</v>
      </c>
    </row>
    <row r="24" spans="1:28" ht="39" customHeight="1" x14ac:dyDescent="0.3">
      <c r="A24" s="212">
        <f>'Unit Data from Audit Worksheet'!A30</f>
        <v>344</v>
      </c>
      <c r="B24" s="225" t="str">
        <f>'Unit Data from Audit Worksheet'!C30</f>
        <v>Statement of Activities - Governmental</v>
      </c>
      <c r="C24" s="211" t="str">
        <f>'Unit Data from Audit Worksheet'!D30</f>
        <v xml:space="preserve">Total Interest expense on Long-Term Debt </v>
      </c>
      <c r="D24" s="102"/>
      <c r="E24" s="231">
        <f>'Unit Data from Audit Worksheet'!F30</f>
        <v>0</v>
      </c>
      <c r="F24" s="224">
        <f>IF(L24&lt;0,"Error: Enter as a positive.",)</f>
        <v>0</v>
      </c>
      <c r="G24" s="226"/>
      <c r="H24" s="223"/>
      <c r="I24" s="32"/>
      <c r="J24" s="222">
        <v>344</v>
      </c>
      <c r="K24" s="221" t="s">
        <v>179</v>
      </c>
      <c r="L24" s="289">
        <f t="shared" si="3"/>
        <v>0</v>
      </c>
      <c r="P24" s="196"/>
      <c r="X24" s="552">
        <v>344</v>
      </c>
      <c r="Y24" s="286">
        <v>344</v>
      </c>
      <c r="AA24" s="386">
        <f t="shared" si="0"/>
        <v>0</v>
      </c>
      <c r="AB24" s="286">
        <f t="shared" si="1"/>
        <v>0</v>
      </c>
    </row>
    <row r="25" spans="1:28" ht="39" customHeight="1" x14ac:dyDescent="0.3">
      <c r="A25" s="212">
        <f>'Unit Data from Audit Worksheet'!A31</f>
        <v>388</v>
      </c>
      <c r="B25" s="225" t="str">
        <f>'Unit Data from Audit Worksheet'!C31</f>
        <v>Statement of Activities - Governmental</v>
      </c>
      <c r="C25" s="211" t="str">
        <f>'Unit Data from Audit Worksheet'!D31</f>
        <v>Total Expenses</v>
      </c>
      <c r="D25" s="102"/>
      <c r="E25" s="231">
        <f>'Unit Data from Audit Worksheet'!F31</f>
        <v>0</v>
      </c>
      <c r="F25" s="224">
        <f t="shared" ref="F25:F30" si="4">IF(L25&lt;0,"Error: Number is normally positive.",)</f>
        <v>0</v>
      </c>
      <c r="G25" s="226"/>
      <c r="H25" s="223"/>
      <c r="I25" s="32"/>
      <c r="J25" s="222">
        <v>388</v>
      </c>
      <c r="K25" s="221" t="s">
        <v>180</v>
      </c>
      <c r="L25" s="289">
        <f t="shared" si="3"/>
        <v>0</v>
      </c>
      <c r="P25" s="196"/>
      <c r="X25" s="552">
        <v>388</v>
      </c>
      <c r="Y25" s="286">
        <v>388</v>
      </c>
      <c r="AA25" s="386">
        <f t="shared" si="0"/>
        <v>0</v>
      </c>
      <c r="AB25" s="286">
        <f t="shared" si="1"/>
        <v>0</v>
      </c>
    </row>
    <row r="26" spans="1:28" ht="39" customHeight="1" x14ac:dyDescent="0.3">
      <c r="A26" s="212">
        <f>'Unit Data from Audit Worksheet'!A32</f>
        <v>339</v>
      </c>
      <c r="B26" s="225" t="str">
        <f>'Unit Data from Audit Worksheet'!C32</f>
        <v>Statement of Activities - Governmental</v>
      </c>
      <c r="C26" s="211" t="str">
        <f>'Unit Data from Audit Worksheet'!D32</f>
        <v xml:space="preserve">Charges for services </v>
      </c>
      <c r="D26" s="102"/>
      <c r="E26" s="231">
        <f>'Unit Data from Audit Worksheet'!F32</f>
        <v>0</v>
      </c>
      <c r="F26" s="224">
        <f t="shared" si="4"/>
        <v>0</v>
      </c>
      <c r="G26" s="226"/>
      <c r="H26" s="223"/>
      <c r="I26" s="32"/>
      <c r="J26" s="222">
        <v>339</v>
      </c>
      <c r="K26" s="221" t="s">
        <v>181</v>
      </c>
      <c r="L26" s="289">
        <f t="shared" si="3"/>
        <v>0</v>
      </c>
      <c r="P26" s="196"/>
      <c r="X26" s="552">
        <v>339</v>
      </c>
      <c r="Y26" s="286">
        <v>339</v>
      </c>
      <c r="AA26" s="386">
        <f t="shared" si="0"/>
        <v>0</v>
      </c>
      <c r="AB26" s="286">
        <f t="shared" si="1"/>
        <v>0</v>
      </c>
    </row>
    <row r="27" spans="1:28" ht="39" customHeight="1" x14ac:dyDescent="0.3">
      <c r="A27" s="212">
        <f>'Unit Data from Audit Worksheet'!A33</f>
        <v>504</v>
      </c>
      <c r="B27" s="225" t="str">
        <f>'Unit Data from Audit Worksheet'!C33</f>
        <v>Statement of Activities - Governmental</v>
      </c>
      <c r="C27" s="211" t="str">
        <f>'Unit Data from Audit Worksheet'!D33</f>
        <v>Operating grants and contributions</v>
      </c>
      <c r="D27" s="102"/>
      <c r="E27" s="231">
        <f>'Unit Data from Audit Worksheet'!F33</f>
        <v>0</v>
      </c>
      <c r="F27" s="224">
        <f t="shared" si="4"/>
        <v>0</v>
      </c>
      <c r="G27" s="226"/>
      <c r="H27" s="223"/>
      <c r="I27" s="32"/>
      <c r="J27" s="222">
        <v>504</v>
      </c>
      <c r="K27" s="221" t="s">
        <v>182</v>
      </c>
      <c r="L27" s="289">
        <f t="shared" si="3"/>
        <v>0</v>
      </c>
      <c r="P27" s="196"/>
      <c r="X27" s="552">
        <v>504</v>
      </c>
      <c r="Y27" s="286">
        <v>504</v>
      </c>
      <c r="AA27" s="386">
        <f t="shared" si="0"/>
        <v>0</v>
      </c>
      <c r="AB27" s="286">
        <f t="shared" si="1"/>
        <v>0</v>
      </c>
    </row>
    <row r="28" spans="1:28" ht="39" customHeight="1" x14ac:dyDescent="0.3">
      <c r="A28" s="212">
        <f>'Unit Data from Audit Worksheet'!A34</f>
        <v>505</v>
      </c>
      <c r="B28" s="225" t="str">
        <f>'Unit Data from Audit Worksheet'!C34</f>
        <v>Statement of Activities - Governmental</v>
      </c>
      <c r="C28" s="211" t="str">
        <f>'Unit Data from Audit Worksheet'!D34</f>
        <v>Capital grants and contributions</v>
      </c>
      <c r="D28" s="102"/>
      <c r="E28" s="231">
        <f>'Unit Data from Audit Worksheet'!F34</f>
        <v>0</v>
      </c>
      <c r="F28" s="224">
        <f t="shared" si="4"/>
        <v>0</v>
      </c>
      <c r="G28" s="226"/>
      <c r="H28" s="223"/>
      <c r="I28" s="32"/>
      <c r="J28" s="222">
        <v>505</v>
      </c>
      <c r="K28" s="221" t="s">
        <v>183</v>
      </c>
      <c r="L28" s="289">
        <f t="shared" si="3"/>
        <v>0</v>
      </c>
      <c r="P28" s="196"/>
      <c r="X28" s="552">
        <v>505</v>
      </c>
      <c r="Y28" s="286">
        <v>505</v>
      </c>
      <c r="AA28" s="386">
        <f t="shared" si="0"/>
        <v>0</v>
      </c>
      <c r="AB28" s="286">
        <f t="shared" si="1"/>
        <v>0</v>
      </c>
    </row>
    <row r="29" spans="1:28" ht="82.5" customHeight="1" x14ac:dyDescent="0.3">
      <c r="A29" s="212">
        <f>'Unit Data from Audit Worksheet'!A35</f>
        <v>341</v>
      </c>
      <c r="B29" s="225" t="str">
        <f>'Unit Data from Audit Worksheet'!C35</f>
        <v>Statement of Activities - Governmental</v>
      </c>
      <c r="C29" s="211" t="str">
        <f>'Unit Data from Audit Worksheet'!D35</f>
        <v>Total General revenues
Exclude: transfers-in or out,
                 special items,
                 extraordinary amounts</v>
      </c>
      <c r="D29" s="102"/>
      <c r="E29" s="231">
        <f>'Unit Data from Audit Worksheet'!F35</f>
        <v>0</v>
      </c>
      <c r="F29" s="224">
        <f t="shared" si="4"/>
        <v>0</v>
      </c>
      <c r="G29" s="226"/>
      <c r="H29" s="223"/>
      <c r="I29" s="32"/>
      <c r="J29" s="222">
        <v>341</v>
      </c>
      <c r="K29" s="221" t="s">
        <v>184</v>
      </c>
      <c r="L29" s="289">
        <f t="shared" si="3"/>
        <v>0</v>
      </c>
      <c r="P29" s="196"/>
      <c r="X29" s="552">
        <v>341</v>
      </c>
      <c r="Y29" s="286">
        <v>341</v>
      </c>
      <c r="AA29" s="386">
        <f t="shared" si="0"/>
        <v>0</v>
      </c>
      <c r="AB29" s="286">
        <f t="shared" si="1"/>
        <v>0</v>
      </c>
    </row>
    <row r="30" spans="1:28" ht="82.5" customHeight="1" x14ac:dyDescent="0.3">
      <c r="A30" s="212">
        <f>'Unit Data from Audit Worksheet'!A36</f>
        <v>386</v>
      </c>
      <c r="B30" s="225" t="str">
        <f>'Unit Data from Audit Worksheet'!C36</f>
        <v>Statement of Activities - Governmental</v>
      </c>
      <c r="C30" s="211" t="str">
        <f>'Unit Data from Audit Worksheet'!D36</f>
        <v>Total Transfers in    (Preference is that transfers-in  are not netted against transfers-out)</v>
      </c>
      <c r="D30" s="102"/>
      <c r="E30" s="231">
        <f>'Unit Data from Audit Worksheet'!F36</f>
        <v>0</v>
      </c>
      <c r="F30" s="224">
        <f t="shared" si="4"/>
        <v>0</v>
      </c>
      <c r="G30" s="226"/>
      <c r="H30" s="223"/>
      <c r="I30" s="32"/>
      <c r="J30" s="222">
        <v>386</v>
      </c>
      <c r="K30" s="221" t="s">
        <v>185</v>
      </c>
      <c r="L30" s="289">
        <f t="shared" si="3"/>
        <v>0</v>
      </c>
      <c r="P30" s="196"/>
      <c r="X30" s="552">
        <v>386</v>
      </c>
      <c r="Y30" s="286">
        <v>386</v>
      </c>
      <c r="AA30" s="386">
        <f t="shared" si="0"/>
        <v>0</v>
      </c>
      <c r="AB30" s="286">
        <f t="shared" si="1"/>
        <v>0</v>
      </c>
    </row>
    <row r="31" spans="1:28" ht="82.5" customHeight="1" x14ac:dyDescent="0.3">
      <c r="A31" s="212">
        <f>'Unit Data from Audit Worksheet'!A37</f>
        <v>387</v>
      </c>
      <c r="B31" s="225" t="str">
        <f>'Unit Data from Audit Worksheet'!C37</f>
        <v>Statement of Activities - Governmental</v>
      </c>
      <c r="C31" s="211" t="str">
        <f>'Unit Data from Audit Worksheet'!D37</f>
        <v>Total Transfers out    (Preference is that transfers-in  are not netted against transfers-out)</v>
      </c>
      <c r="D31" s="102"/>
      <c r="E31" s="231">
        <f>'Unit Data from Audit Worksheet'!F37</f>
        <v>0</v>
      </c>
      <c r="F31" s="224">
        <f>IF(L31&lt;0,"Error: Enter as a positive.",)</f>
        <v>0</v>
      </c>
      <c r="G31" s="226"/>
      <c r="H31" s="223"/>
      <c r="I31" s="32"/>
      <c r="J31" s="222">
        <v>387</v>
      </c>
      <c r="K31" s="221" t="s">
        <v>186</v>
      </c>
      <c r="L31" s="289">
        <f t="shared" si="3"/>
        <v>0</v>
      </c>
      <c r="P31" s="196"/>
      <c r="X31" s="552">
        <v>387</v>
      </c>
      <c r="Y31" s="286">
        <v>387</v>
      </c>
      <c r="AA31" s="386">
        <f t="shared" si="0"/>
        <v>0</v>
      </c>
      <c r="AB31" s="286">
        <f t="shared" si="1"/>
        <v>0</v>
      </c>
    </row>
    <row r="32" spans="1:28" ht="82.5" customHeight="1" x14ac:dyDescent="0.3">
      <c r="A32" s="212">
        <f>'Unit Data from Audit Worksheet'!A38</f>
        <v>389</v>
      </c>
      <c r="B32" s="225" t="str">
        <f>'Unit Data from Audit Worksheet'!C38</f>
        <v>Statement of Activities - Governmental</v>
      </c>
      <c r="C32" s="211" t="str">
        <f>'Unit Data from Audit Worksheet'!D38</f>
        <v>Total Special and Extraordinary items.    (Amounts that increase net position are recorded as positive and amounts that decrease net position are recorded as negative)</v>
      </c>
      <c r="D32" s="102"/>
      <c r="E32" s="231">
        <f>'Unit Data from Audit Worksheet'!F38</f>
        <v>0</v>
      </c>
      <c r="F32" s="224"/>
      <c r="G32" s="226"/>
      <c r="H32" s="223"/>
      <c r="I32" s="32"/>
      <c r="J32" s="222">
        <v>389</v>
      </c>
      <c r="K32" s="221" t="s">
        <v>187</v>
      </c>
      <c r="L32" s="289">
        <f t="shared" si="3"/>
        <v>0</v>
      </c>
      <c r="N32" s="297"/>
      <c r="P32" s="196"/>
      <c r="X32" s="552">
        <v>389</v>
      </c>
      <c r="Y32" s="286">
        <v>389</v>
      </c>
      <c r="AA32" s="386">
        <f t="shared" si="0"/>
        <v>0</v>
      </c>
      <c r="AB32" s="286">
        <f t="shared" si="1"/>
        <v>0</v>
      </c>
    </row>
    <row r="33" spans="1:28" ht="79.5" customHeight="1" x14ac:dyDescent="0.3">
      <c r="A33" s="212">
        <f>'Unit Data from Audit Worksheet'!A39</f>
        <v>255</v>
      </c>
      <c r="B33" s="225" t="str">
        <f>'Unit Data from Audit Worksheet'!C39</f>
        <v>Statement of Activities - Governmental</v>
      </c>
      <c r="C33" s="211" t="str">
        <f>'Unit Data from Audit Worksheet'!D39</f>
        <v>Total Change in net position - (Increase in net position is recorded as a positive and a decrease in net position is recorded as a negative)</v>
      </c>
      <c r="D33" s="102"/>
      <c r="E33" s="231">
        <f>'Unit Data from Audit Worksheet'!F39</f>
        <v>0</v>
      </c>
      <c r="F33" s="224">
        <f>IF((L26+L27+L28+L29+L30-L31+L32-L25-L33)=0,,"Total revenues less total expenses do not equal total change in net position. Acct 339+504+505+341+386-387+389-388-255=0")</f>
        <v>0</v>
      </c>
      <c r="G33" s="84">
        <f>L26+L27+L28+L29+L30-L31+L32-L25-L33</f>
        <v>0</v>
      </c>
      <c r="H33" s="223"/>
      <c r="I33" s="32"/>
      <c r="J33" s="222">
        <v>255</v>
      </c>
      <c r="K33" s="221" t="s">
        <v>188</v>
      </c>
      <c r="L33" s="289">
        <f t="shared" si="3"/>
        <v>0</v>
      </c>
      <c r="O33" s="296" t="e">
        <f>'Unit Data from Audit Worksheet'!E39</f>
        <v>#N/A</v>
      </c>
      <c r="P33" s="196"/>
      <c r="X33" s="552">
        <v>255</v>
      </c>
      <c r="Y33" s="286">
        <v>255</v>
      </c>
      <c r="AA33" s="386">
        <f t="shared" si="0"/>
        <v>0</v>
      </c>
      <c r="AB33" s="286">
        <f t="shared" si="1"/>
        <v>0</v>
      </c>
    </row>
    <row r="34" spans="1:28" ht="89.25" customHeight="1" x14ac:dyDescent="0.3">
      <c r="A34" s="212">
        <f>'Unit Data from Audit Worksheet'!A40</f>
        <v>376</v>
      </c>
      <c r="B34" s="225" t="str">
        <f>'Unit Data from Audit Worksheet'!C40</f>
        <v>Statement of Activities - Governmental</v>
      </c>
      <c r="C34" s="211" t="str">
        <f>'Unit Data from Audit Worksheet'!D40</f>
        <v>Any adjustment to beginning net position including rounding, prior period adjustments and restatements.   (Increases to net position are positive; decreases to net position are negative)</v>
      </c>
      <c r="D34" s="102"/>
      <c r="E34" s="231">
        <f>'Unit Data from Audit Worksheet'!F40</f>
        <v>0</v>
      </c>
      <c r="F34" s="80" t="e">
        <f>IF(L19+L20+L21-L33-L34=O19+O20+O21,,"Beginning Balance does not agree with our records acct (252+253+254-255-376=PY252+PY253+PY254)")</f>
        <v>#N/A</v>
      </c>
      <c r="G34" s="85" t="e">
        <f>L19+L20+L21-L33-L34-(O19+O20+O21)</f>
        <v>#N/A</v>
      </c>
      <c r="H34" s="223" t="e">
        <f>'Unit Data from Audit Worksheet'!I40</f>
        <v>#N/A</v>
      </c>
      <c r="I34" s="32"/>
      <c r="J34" s="222">
        <v>376</v>
      </c>
      <c r="K34" s="221" t="s">
        <v>100</v>
      </c>
      <c r="L34" s="289">
        <f t="shared" si="3"/>
        <v>0</v>
      </c>
      <c r="O34" s="296" t="e">
        <f>'Unit Data from Audit Worksheet'!E40</f>
        <v>#N/A</v>
      </c>
      <c r="P34" s="196"/>
      <c r="R34" s="384"/>
      <c r="S34" s="384"/>
      <c r="T34" s="384"/>
      <c r="U34" s="384"/>
      <c r="V34" s="384"/>
      <c r="W34" s="384"/>
      <c r="X34" s="552">
        <v>376</v>
      </c>
      <c r="Y34" s="286">
        <v>376</v>
      </c>
      <c r="Z34" s="384"/>
      <c r="AA34" s="386">
        <f t="shared" si="0"/>
        <v>0</v>
      </c>
      <c r="AB34" s="286">
        <f t="shared" si="1"/>
        <v>0</v>
      </c>
    </row>
    <row r="35" spans="1:28" ht="157.5" customHeight="1" x14ac:dyDescent="0.3">
      <c r="A35" s="212">
        <f>'Unit Data from Audit Worksheet'!A41</f>
        <v>597</v>
      </c>
      <c r="B35" s="225" t="str">
        <f>'Unit Data from Audit Worksheet'!C41</f>
        <v>Statement of Activities                               (all governmental and business funds)</v>
      </c>
      <c r="C35" s="211"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1">
        <f>'Unit Data from Audit Worksheet'!F41</f>
        <v>0</v>
      </c>
      <c r="F35" s="224">
        <f>IF(L35&lt;0,"Error: Number is normally positive.",)</f>
        <v>0</v>
      </c>
      <c r="G35" s="226"/>
      <c r="H35" s="223"/>
      <c r="I35" s="32"/>
      <c r="J35" s="222">
        <v>597</v>
      </c>
      <c r="K35" s="221" t="s">
        <v>338</v>
      </c>
      <c r="L35" s="289">
        <f t="shared" si="3"/>
        <v>0</v>
      </c>
      <c r="O35" s="296"/>
      <c r="P35" s="196"/>
      <c r="R35" s="384"/>
      <c r="S35" s="384"/>
      <c r="T35" s="384"/>
      <c r="U35" s="384"/>
      <c r="V35" s="384"/>
      <c r="W35" s="384"/>
      <c r="X35" s="552">
        <v>597</v>
      </c>
      <c r="Y35" s="286">
        <v>597</v>
      </c>
      <c r="Z35" s="384"/>
      <c r="AA35" s="386">
        <f t="shared" si="0"/>
        <v>0</v>
      </c>
      <c r="AB35" s="286">
        <f t="shared" si="1"/>
        <v>0</v>
      </c>
    </row>
    <row r="36" spans="1:28" ht="90" customHeight="1" x14ac:dyDescent="0.3">
      <c r="A36" s="212">
        <f>'Unit Data from Audit Worksheet'!A43</f>
        <v>592</v>
      </c>
      <c r="B36" s="225" t="str">
        <f>'Unit Data from Audit Worksheet'!C43</f>
        <v>Statement of Activities - Business Activities</v>
      </c>
      <c r="C36" s="211" t="str">
        <f>'Unit Data from Audit Worksheet'!D43</f>
        <v>Total Change in net position Business Type 
(Increase in net position is recorded as a positive and a decrease in net position is recorded as a negative)</v>
      </c>
      <c r="D36" s="102"/>
      <c r="E36" s="231">
        <f>'Unit Data from Audit Worksheet'!F43</f>
        <v>0</v>
      </c>
      <c r="F36" s="224"/>
      <c r="G36" s="226"/>
      <c r="H36" s="223"/>
      <c r="I36" s="32"/>
      <c r="J36" s="222">
        <v>592</v>
      </c>
      <c r="K36" s="221" t="s">
        <v>330</v>
      </c>
      <c r="L36" s="289">
        <f t="shared" si="3"/>
        <v>0</v>
      </c>
      <c r="O36" s="296"/>
      <c r="P36" s="196"/>
      <c r="R36" s="384"/>
      <c r="S36" s="384"/>
      <c r="T36" s="384"/>
      <c r="U36" s="384"/>
      <c r="V36" s="384"/>
      <c r="W36" s="384"/>
      <c r="X36" s="552">
        <v>592</v>
      </c>
      <c r="Y36" s="286">
        <v>592</v>
      </c>
      <c r="Z36" s="384"/>
      <c r="AA36" s="386">
        <f t="shared" si="0"/>
        <v>0</v>
      </c>
      <c r="AB36" s="286">
        <f t="shared" si="1"/>
        <v>0</v>
      </c>
    </row>
    <row r="37" spans="1:28" ht="66" customHeight="1" x14ac:dyDescent="0.3">
      <c r="A37" s="212">
        <f>'Unit Data from Audit Worksheet'!A44</f>
        <v>591</v>
      </c>
      <c r="B37" s="225" t="str">
        <f>'Unit Data from Audit Worksheet'!C44</f>
        <v>Statement of Activities - Business Activities</v>
      </c>
      <c r="C37" s="211" t="str">
        <f>'Unit Data from Audit Worksheet'!D44</f>
        <v>Total Expenses - Exclude Transfers</v>
      </c>
      <c r="D37" s="102"/>
      <c r="E37" s="231">
        <f>'Unit Data from Audit Worksheet'!F44</f>
        <v>0</v>
      </c>
      <c r="F37" s="224">
        <f>IF(L37&lt;0,"Error: Enter as a positive.",)</f>
        <v>0</v>
      </c>
      <c r="G37" s="226"/>
      <c r="H37" s="223"/>
      <c r="I37" s="32"/>
      <c r="J37" s="222">
        <v>591</v>
      </c>
      <c r="K37" s="221" t="s">
        <v>329</v>
      </c>
      <c r="L37" s="289">
        <f t="shared" si="3"/>
        <v>0</v>
      </c>
      <c r="O37" s="296"/>
      <c r="P37" s="196"/>
      <c r="R37" s="384"/>
      <c r="S37" s="384"/>
      <c r="T37" s="384"/>
      <c r="U37" s="384"/>
      <c r="V37" s="384"/>
      <c r="W37" s="384"/>
      <c r="X37" s="552">
        <v>591</v>
      </c>
      <c r="Y37" s="286">
        <v>591</v>
      </c>
      <c r="Z37" s="384"/>
      <c r="AA37" s="386">
        <f t="shared" si="0"/>
        <v>0</v>
      </c>
      <c r="AB37" s="286">
        <f t="shared" si="1"/>
        <v>0</v>
      </c>
    </row>
    <row r="38" spans="1:28" ht="54" customHeight="1" x14ac:dyDescent="0.3">
      <c r="A38" s="212">
        <f>'Unit Data from Audit Worksheet'!A46</f>
        <v>506</v>
      </c>
      <c r="B38" s="47" t="str">
        <f>'Unit Data from Audit Worksheet'!C46</f>
        <v>General Fund-Balance Sheet</v>
      </c>
      <c r="C38" s="298" t="str">
        <f>'Unit Data from Audit Worksheet'!D46</f>
        <v xml:space="preserve">All unrestricted cash and investments.  
Exclude restricted cash and cash held by a third party. </v>
      </c>
      <c r="D38" s="102"/>
      <c r="E38" s="144">
        <f>'Unit Data from Audit Worksheet'!F46</f>
        <v>0</v>
      </c>
      <c r="F38" s="31">
        <f>IF(L38&lt;0,"Error: Number is normally positive.",)</f>
        <v>0</v>
      </c>
      <c r="G38" s="66"/>
      <c r="H38" s="223"/>
      <c r="I38" s="32"/>
      <c r="J38" s="35">
        <v>506</v>
      </c>
      <c r="K38" s="221" t="s">
        <v>189</v>
      </c>
      <c r="L38" s="299">
        <f t="shared" ref="L38:L51" si="5">IF(D38="",E38,D38)</f>
        <v>0</v>
      </c>
      <c r="P38" s="197"/>
      <c r="X38" s="552">
        <v>506</v>
      </c>
      <c r="Y38" s="286">
        <v>506</v>
      </c>
      <c r="AA38" s="386">
        <f t="shared" si="0"/>
        <v>0</v>
      </c>
      <c r="AB38" s="286">
        <f t="shared" si="1"/>
        <v>0</v>
      </c>
    </row>
    <row r="39" spans="1:28" ht="45.75" customHeight="1" x14ac:dyDescent="0.3">
      <c r="A39" s="212">
        <f>'Unit Data from Audit Worksheet'!A47</f>
        <v>536</v>
      </c>
      <c r="B39" s="47" t="str">
        <f>'Unit Data from Audit Worksheet'!C47</f>
        <v>General Fund-Balance Sheet</v>
      </c>
      <c r="C39" s="298" t="str">
        <f>'Unit Data from Audit Worksheet'!D47</f>
        <v>All restricted cash and investments</v>
      </c>
      <c r="D39" s="102"/>
      <c r="E39" s="144">
        <f>'Unit Data from Audit Worksheet'!F47</f>
        <v>0</v>
      </c>
      <c r="F39" s="31">
        <f>IF(L39&lt;0,"Error: Number is normally positive.",)</f>
        <v>0</v>
      </c>
      <c r="G39" s="66"/>
      <c r="H39" s="223"/>
      <c r="I39" s="32"/>
      <c r="J39" s="35">
        <v>536</v>
      </c>
      <c r="K39" s="221" t="s">
        <v>190</v>
      </c>
      <c r="L39" s="299">
        <f t="shared" si="5"/>
        <v>0</v>
      </c>
      <c r="P39" s="198"/>
      <c r="Q39" s="293"/>
      <c r="S39" s="292"/>
      <c r="T39" s="292"/>
      <c r="U39" s="292"/>
      <c r="V39" s="292"/>
      <c r="W39" s="18"/>
      <c r="X39" s="552">
        <v>536</v>
      </c>
      <c r="Y39" s="286">
        <v>536</v>
      </c>
      <c r="Z39" s="18"/>
      <c r="AA39" s="386">
        <f t="shared" si="0"/>
        <v>0</v>
      </c>
      <c r="AB39" s="286">
        <f t="shared" si="1"/>
        <v>0</v>
      </c>
    </row>
    <row r="40" spans="1:28" ht="56.25" customHeight="1" x14ac:dyDescent="0.3">
      <c r="A40" s="212">
        <f>'Unit Data from Audit Worksheet'!A48</f>
        <v>586</v>
      </c>
      <c r="B40" s="225" t="str">
        <f>'Unit Data from Audit Worksheet'!C48</f>
        <v>General Fund-Balance Sheet</v>
      </c>
      <c r="C40" s="211" t="str">
        <f>'Unit Data from Audit Worksheet'!D48</f>
        <v>Advance To: Interfund loan receivable-portion of repayment plan longer than 12 months</v>
      </c>
      <c r="D40" s="134"/>
      <c r="E40" s="231">
        <f>'Unit Data from Audit Worksheet'!F48</f>
        <v>0</v>
      </c>
      <c r="F40" s="224"/>
      <c r="G40" s="226"/>
      <c r="H40" s="223"/>
      <c r="I40" s="32"/>
      <c r="J40" s="222">
        <v>586</v>
      </c>
      <c r="K40" s="211" t="s">
        <v>315</v>
      </c>
      <c r="L40" s="289">
        <f t="shared" si="5"/>
        <v>0</v>
      </c>
      <c r="P40" s="198"/>
      <c r="Q40" s="293"/>
      <c r="S40" s="292"/>
      <c r="T40" s="292"/>
      <c r="U40" s="292"/>
      <c r="V40" s="292"/>
      <c r="W40" s="18"/>
      <c r="X40" s="552">
        <v>586</v>
      </c>
      <c r="Y40" s="286">
        <v>586</v>
      </c>
      <c r="Z40" s="18"/>
      <c r="AA40" s="386">
        <f t="shared" si="0"/>
        <v>0</v>
      </c>
      <c r="AB40" s="286">
        <f t="shared" si="1"/>
        <v>0</v>
      </c>
    </row>
    <row r="41" spans="1:28" ht="28.8" x14ac:dyDescent="0.3">
      <c r="A41" s="212">
        <f>'Unit Data from Audit Worksheet'!A49</f>
        <v>379</v>
      </c>
      <c r="B41" s="225" t="str">
        <f>'Unit Data from Audit Worksheet'!C49</f>
        <v>General Fund-Balance Sheet</v>
      </c>
      <c r="C41" s="211" t="str">
        <f>'Unit Data from Audit Worksheet'!D49</f>
        <v>Total Assets and deferred outflows</v>
      </c>
      <c r="D41" s="134"/>
      <c r="E41" s="231">
        <f>'Unit Data from Audit Worksheet'!F49</f>
        <v>0</v>
      </c>
      <c r="F41" s="77">
        <f>IF((L38+L39)&gt;L41,"Error: Please review accts (506+536)&gt;379",)</f>
        <v>0</v>
      </c>
      <c r="G41" s="226"/>
      <c r="H41" s="223"/>
      <c r="I41" s="32"/>
      <c r="J41" s="222">
        <v>379</v>
      </c>
      <c r="K41" s="221" t="s">
        <v>110</v>
      </c>
      <c r="L41" s="289">
        <f t="shared" si="5"/>
        <v>0</v>
      </c>
      <c r="P41" s="195"/>
      <c r="X41" s="552">
        <v>379</v>
      </c>
      <c r="Y41" s="286">
        <v>379</v>
      </c>
      <c r="AA41" s="386">
        <f t="shared" si="0"/>
        <v>0</v>
      </c>
      <c r="AB41" s="286">
        <f t="shared" si="1"/>
        <v>0</v>
      </c>
    </row>
    <row r="42" spans="1:28" ht="106.5" customHeight="1" x14ac:dyDescent="0.3">
      <c r="A42" s="212">
        <f>'Unit Data from Audit Worksheet'!A50</f>
        <v>368</v>
      </c>
      <c r="B42" s="225" t="str">
        <f>'Unit Data from Audit Worksheet'!C50</f>
        <v>General Fund-Balance Sheet</v>
      </c>
      <c r="C42" s="211" t="str">
        <f>'Unit Data from Audit Worksheet'!D50</f>
        <v>Total Liabilities payable from restricted assets (only complete if this is listed in your financial statements for the general fund and the auditor has listed the cash to be used to pay the liabilities as restricted)</v>
      </c>
      <c r="D42" s="134"/>
      <c r="E42" s="231">
        <f>'Unit Data from Audit Worksheet'!F50</f>
        <v>0</v>
      </c>
      <c r="F42" s="224">
        <f>IF(L42&lt;0,"Error: Enter as a positive.",)</f>
        <v>0</v>
      </c>
      <c r="G42" s="226"/>
      <c r="H42" s="223"/>
      <c r="I42" s="32"/>
      <c r="J42" s="222">
        <v>368</v>
      </c>
      <c r="K42" s="221" t="s">
        <v>191</v>
      </c>
      <c r="L42" s="289">
        <f t="shared" si="5"/>
        <v>0</v>
      </c>
      <c r="P42" s="196"/>
      <c r="S42" s="18"/>
      <c r="T42" s="18"/>
      <c r="U42" s="18"/>
      <c r="V42" s="18"/>
      <c r="X42" s="552">
        <v>368</v>
      </c>
      <c r="Y42" s="286">
        <v>368</v>
      </c>
      <c r="Z42" s="18"/>
      <c r="AA42" s="386">
        <f t="shared" si="0"/>
        <v>0</v>
      </c>
      <c r="AB42" s="286">
        <f t="shared" si="1"/>
        <v>0</v>
      </c>
    </row>
    <row r="43" spans="1:28" ht="90.75" customHeight="1" x14ac:dyDescent="0.3">
      <c r="A43" s="212">
        <f>'Unit Data from Audit Worksheet'!A51</f>
        <v>4</v>
      </c>
      <c r="B43" s="47" t="str">
        <f>'Unit Data from Audit Worksheet'!C51</f>
        <v>General Fund-Balance Sheet</v>
      </c>
      <c r="C43" s="298" t="str">
        <f>'Unit Data from Audit Worksheet'!D51</f>
        <v>Current Liabilities (as reported on the Balance Sheet)
Exclude all deferred inflows. 
Include advance from(long-term portion of interfund loans)</v>
      </c>
      <c r="D43" s="134"/>
      <c r="E43" s="144">
        <f>'Unit Data from Audit Worksheet'!F51</f>
        <v>0</v>
      </c>
      <c r="F43" s="31">
        <f t="shared" ref="F43:F52" si="6">IF(L43&lt;0,"Error: Enter as a positive.",)</f>
        <v>0</v>
      </c>
      <c r="G43" s="66"/>
      <c r="H43" s="223"/>
      <c r="I43" s="32"/>
      <c r="J43" s="35">
        <v>4</v>
      </c>
      <c r="K43" s="221" t="s">
        <v>111</v>
      </c>
      <c r="L43" s="299">
        <f t="shared" si="5"/>
        <v>0</v>
      </c>
      <c r="P43" s="196"/>
      <c r="S43" s="18"/>
      <c r="T43" s="18"/>
      <c r="U43" s="18"/>
      <c r="V43" s="18"/>
      <c r="X43" s="552">
        <v>4</v>
      </c>
      <c r="Y43" s="286">
        <v>4</v>
      </c>
      <c r="Z43" s="18"/>
      <c r="AA43" s="386">
        <f t="shared" si="0"/>
        <v>0</v>
      </c>
      <c r="AB43" s="286">
        <f t="shared" si="1"/>
        <v>0</v>
      </c>
    </row>
    <row r="44" spans="1:28" ht="131.25" customHeight="1" x14ac:dyDescent="0.3">
      <c r="A44" s="212">
        <f>'Unit Data from Audit Worksheet'!A52</f>
        <v>5</v>
      </c>
      <c r="B44" s="47" t="str">
        <f>'Unit Data from Audit Worksheet'!C52</f>
        <v>General Fund-Balance Sheet</v>
      </c>
      <c r="C44" s="298"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Worksheet'!F52</f>
        <v>0</v>
      </c>
      <c r="F44" s="31">
        <f t="shared" si="6"/>
        <v>0</v>
      </c>
      <c r="G44" s="66"/>
      <c r="H44" s="223"/>
      <c r="I44" s="32"/>
      <c r="J44" s="35">
        <v>5</v>
      </c>
      <c r="K44" s="221" t="s">
        <v>112</v>
      </c>
      <c r="L44" s="299">
        <f t="shared" si="5"/>
        <v>0</v>
      </c>
      <c r="P44" s="196"/>
      <c r="S44" s="18"/>
      <c r="T44" s="18"/>
      <c r="U44" s="18"/>
      <c r="V44" s="18"/>
      <c r="X44" s="552">
        <v>5</v>
      </c>
      <c r="Y44" s="286">
        <v>5</v>
      </c>
      <c r="Z44" s="18"/>
      <c r="AA44" s="386">
        <f t="shared" si="0"/>
        <v>0</v>
      </c>
      <c r="AB44" s="286">
        <f t="shared" si="1"/>
        <v>0</v>
      </c>
    </row>
    <row r="45" spans="1:28" ht="104.25" customHeight="1" x14ac:dyDescent="0.3">
      <c r="A45" s="212">
        <f>'Unit Data from Audit Worksheet'!A53</f>
        <v>380</v>
      </c>
      <c r="B45" s="225" t="str">
        <f>'Unit Data from Audit Worksheet'!C53</f>
        <v>General Fund-Balance Sheet</v>
      </c>
      <c r="C45" s="211" t="str">
        <f>'Unit Data from Audit Worksheet'!D53</f>
        <v>Total Deferred inflows not derived from cash receipts.  Deferred inflows on the face of the statements can include cash and non-cash.  You may have to refer to the note disclosure where the cash and non-cash is broken out.</v>
      </c>
      <c r="D45" s="134"/>
      <c r="E45" s="231">
        <f>'Unit Data from Audit Worksheet'!F53</f>
        <v>0</v>
      </c>
      <c r="F45" s="224">
        <f t="shared" si="6"/>
        <v>0</v>
      </c>
      <c r="G45" s="226"/>
      <c r="H45" s="223"/>
      <c r="I45" s="32"/>
      <c r="J45" s="222">
        <v>380</v>
      </c>
      <c r="K45" s="221" t="s">
        <v>113</v>
      </c>
      <c r="L45" s="289">
        <f t="shared" si="5"/>
        <v>0</v>
      </c>
      <c r="P45" s="196"/>
      <c r="X45" s="552">
        <v>380</v>
      </c>
      <c r="Y45" s="286">
        <v>380</v>
      </c>
      <c r="AA45" s="386">
        <f t="shared" si="0"/>
        <v>0</v>
      </c>
      <c r="AB45" s="286">
        <f t="shared" si="1"/>
        <v>0</v>
      </c>
    </row>
    <row r="46" spans="1:28" ht="41.25" customHeight="1" x14ac:dyDescent="0.3">
      <c r="A46" s="212">
        <f>'Unit Data from Audit Worksheet'!A54</f>
        <v>391</v>
      </c>
      <c r="B46" s="225" t="str">
        <f>'Unit Data from Audit Worksheet'!C54</f>
        <v>General Fund-Balance Sheet</v>
      </c>
      <c r="C46" s="211" t="str">
        <f>'Unit Data from Audit Worksheet'!D54</f>
        <v xml:space="preserve">Fund balance, Restricted for Stabilization by State Statute </v>
      </c>
      <c r="D46" s="134"/>
      <c r="E46" s="231">
        <f>'Unit Data from Audit Worksheet'!F54</f>
        <v>0</v>
      </c>
      <c r="F46" s="224">
        <f t="shared" si="6"/>
        <v>0</v>
      </c>
      <c r="G46" s="226"/>
      <c r="H46" s="223"/>
      <c r="I46" s="32"/>
      <c r="J46" s="222">
        <v>391</v>
      </c>
      <c r="K46" s="221" t="s">
        <v>192</v>
      </c>
      <c r="L46" s="289">
        <f t="shared" si="5"/>
        <v>0</v>
      </c>
      <c r="P46" s="196"/>
      <c r="X46" s="552">
        <v>391</v>
      </c>
      <c r="Y46" s="286">
        <v>391</v>
      </c>
      <c r="AA46" s="386">
        <f t="shared" si="0"/>
        <v>0</v>
      </c>
      <c r="AB46" s="286">
        <f t="shared" si="1"/>
        <v>0</v>
      </c>
    </row>
    <row r="47" spans="1:28" ht="28.8" x14ac:dyDescent="0.3">
      <c r="A47" s="212">
        <f>'Unit Data from Audit Worksheet'!A55</f>
        <v>7</v>
      </c>
      <c r="B47" s="47" t="str">
        <f>'Unit Data from Audit Worksheet'!C55</f>
        <v>General Fund-Balance Sheet</v>
      </c>
      <c r="C47" s="298" t="str">
        <f>'Unit Data from Audit Worksheet'!D55</f>
        <v>Fund balance, Nonspendable-  inventory/prepaids/etc.</v>
      </c>
      <c r="D47" s="134"/>
      <c r="E47" s="144">
        <f>'Unit Data from Audit Worksheet'!F55</f>
        <v>0</v>
      </c>
      <c r="F47" s="31">
        <f t="shared" si="6"/>
        <v>0</v>
      </c>
      <c r="G47" s="66"/>
      <c r="H47" s="223"/>
      <c r="I47" s="32"/>
      <c r="J47" s="35">
        <v>7</v>
      </c>
      <c r="K47" s="221" t="s">
        <v>193</v>
      </c>
      <c r="L47" s="299">
        <f t="shared" si="5"/>
        <v>0</v>
      </c>
      <c r="P47" s="196"/>
      <c r="X47" s="552">
        <v>7</v>
      </c>
      <c r="Y47" s="286">
        <v>7</v>
      </c>
      <c r="AA47" s="386">
        <f t="shared" si="0"/>
        <v>0</v>
      </c>
      <c r="AB47" s="286">
        <f t="shared" si="1"/>
        <v>0</v>
      </c>
    </row>
    <row r="48" spans="1:28" ht="89.25" customHeight="1" x14ac:dyDescent="0.3">
      <c r="A48" s="300">
        <f>'Unit Data from Audit Worksheet'!A56</f>
        <v>11</v>
      </c>
      <c r="B48" s="109" t="str">
        <f>'Unit Data from Audit Worksheet'!C56</f>
        <v>General Fund-Balance Sheet</v>
      </c>
      <c r="C48" s="291" t="str">
        <f>'Unit Data from Audit Worksheet'!D56</f>
        <v>Fund balance, Restricted for Streets (unspent Powell Bill balance).  You may have to refer to the note disclosure where restricted fund balance is described.</v>
      </c>
      <c r="D48" s="102"/>
      <c r="E48" s="145">
        <f>'Unit Data from Audit Worksheet'!F56</f>
        <v>0</v>
      </c>
      <c r="F48" s="103">
        <f t="shared" si="6"/>
        <v>0</v>
      </c>
      <c r="G48" s="104"/>
      <c r="H48" s="105"/>
      <c r="I48" s="32"/>
      <c r="J48" s="97">
        <v>11</v>
      </c>
      <c r="K48" s="38" t="s">
        <v>194</v>
      </c>
      <c r="L48" s="289">
        <f t="shared" si="5"/>
        <v>0</v>
      </c>
      <c r="P48" s="196"/>
      <c r="X48" s="552">
        <v>11</v>
      </c>
      <c r="Y48" s="286">
        <v>11</v>
      </c>
      <c r="AA48" s="386">
        <f t="shared" si="0"/>
        <v>0</v>
      </c>
      <c r="AB48" s="286">
        <f t="shared" si="1"/>
        <v>0</v>
      </c>
    </row>
    <row r="49" spans="1:28" s="18" customFormat="1" ht="48.75" customHeight="1" x14ac:dyDescent="0.3">
      <c r="A49" s="190">
        <f>'Unit Data from Audit Worksheet'!A57</f>
        <v>645</v>
      </c>
      <c r="B49" s="235" t="str">
        <f>'Unit Data from Audit Worksheet'!C57</f>
        <v>General Fund-Balance Sheet</v>
      </c>
      <c r="C49" s="190" t="str">
        <f>'Unit Data from Audit Worksheet'!D57</f>
        <v>Fund balance, Assigned (total of all assigned components)</v>
      </c>
      <c r="D49" s="108"/>
      <c r="E49" s="234">
        <f>'Unit Data from Audit Worksheet'!F57</f>
        <v>0</v>
      </c>
      <c r="F49" s="219">
        <f>IF(L49&lt;0,"Error: Enter as a positive.",)</f>
        <v>0</v>
      </c>
      <c r="G49" s="207"/>
      <c r="H49" s="219"/>
      <c r="I49" s="301"/>
      <c r="J49" s="218">
        <v>645</v>
      </c>
      <c r="K49" s="190" t="s">
        <v>383</v>
      </c>
      <c r="L49" s="302">
        <f t="shared" si="5"/>
        <v>0</v>
      </c>
      <c r="M49"/>
      <c r="N49" s="292"/>
      <c r="O49" s="292"/>
      <c r="P49" s="196"/>
      <c r="Q49" s="279"/>
      <c r="R49" s="3"/>
      <c r="S49" s="3"/>
      <c r="T49" s="3"/>
      <c r="U49" s="3"/>
      <c r="V49" s="3"/>
      <c r="W49" s="3"/>
      <c r="X49" s="552">
        <v>645</v>
      </c>
      <c r="Y49" s="286">
        <v>645</v>
      </c>
      <c r="Z49" s="3"/>
      <c r="AA49" s="386">
        <f t="shared" si="0"/>
        <v>0</v>
      </c>
      <c r="AB49" s="286">
        <f t="shared" si="1"/>
        <v>0</v>
      </c>
    </row>
    <row r="50" spans="1:28" s="18" customFormat="1" ht="45.75" customHeight="1" x14ac:dyDescent="0.3">
      <c r="A50" s="190">
        <f>'Unit Data from Audit Worksheet'!A58</f>
        <v>646</v>
      </c>
      <c r="B50" s="235" t="str">
        <f>'Unit Data from Audit Worksheet'!C58</f>
        <v>General Fund-Balance Sheet</v>
      </c>
      <c r="C50" s="190" t="str">
        <f>'Unit Data from Audit Worksheet'!D58</f>
        <v>Fund Balance, Unassigned</v>
      </c>
      <c r="D50" s="108"/>
      <c r="E50" s="234">
        <f>'Unit Data from Audit Worksheet'!F58</f>
        <v>0</v>
      </c>
      <c r="F50" s="219">
        <f>IF(L50&lt;0,"Error: Enter as a positive.",)</f>
        <v>0</v>
      </c>
      <c r="G50" s="207"/>
      <c r="H50" s="219"/>
      <c r="I50" s="301"/>
      <c r="J50" s="218">
        <v>646</v>
      </c>
      <c r="K50" s="190" t="s">
        <v>384</v>
      </c>
      <c r="L50" s="302">
        <f t="shared" si="5"/>
        <v>0</v>
      </c>
      <c r="M50"/>
      <c r="N50" s="292"/>
      <c r="O50" s="292"/>
      <c r="P50" s="196"/>
      <c r="Q50" s="279"/>
      <c r="R50" s="3"/>
      <c r="S50" s="3"/>
      <c r="T50" s="3"/>
      <c r="U50" s="3"/>
      <c r="V50" s="3"/>
      <c r="W50" s="3"/>
      <c r="X50" s="552">
        <v>646</v>
      </c>
      <c r="Y50" s="286">
        <v>646</v>
      </c>
      <c r="Z50" s="3"/>
      <c r="AA50" s="386">
        <f t="shared" si="0"/>
        <v>0</v>
      </c>
      <c r="AB50" s="286">
        <f t="shared" si="1"/>
        <v>0</v>
      </c>
    </row>
    <row r="51" spans="1:28" ht="55.5" customHeight="1" x14ac:dyDescent="0.3">
      <c r="A51" s="287">
        <f>'Unit Data from Audit Worksheet'!A59</f>
        <v>9</v>
      </c>
      <c r="B51" s="110" t="str">
        <f>'Unit Data from Audit Worksheet'!C59</f>
        <v>General Fund-Balance Sheet</v>
      </c>
      <c r="C51" s="303" t="str">
        <f>'Unit Data from Audit Worksheet'!D59</f>
        <v>Total Fund balance (enter fund deficits as negative)</v>
      </c>
      <c r="D51" s="134"/>
      <c r="E51" s="143">
        <f>'Unit Data from Audit Worksheet'!F59</f>
        <v>0</v>
      </c>
      <c r="F51" s="111">
        <f>IF(L41-L43-L44-L45-L51=0,,"Error: Total assets less total liabilities do not equal Acct +379-4-5-380-9=0")</f>
        <v>0</v>
      </c>
      <c r="G51" s="112">
        <f>L41-L43-L44-L45-L51</f>
        <v>0</v>
      </c>
      <c r="H51" s="223"/>
      <c r="I51" s="32"/>
      <c r="J51" s="113">
        <v>9</v>
      </c>
      <c r="K51" s="45" t="s">
        <v>195</v>
      </c>
      <c r="L51" s="299">
        <f t="shared" si="5"/>
        <v>0</v>
      </c>
      <c r="O51" s="296" t="e">
        <f>'Unit Data from Audit Worksheet'!E59</f>
        <v>#N/A</v>
      </c>
      <c r="P51" s="196"/>
      <c r="X51" s="552">
        <v>9</v>
      </c>
      <c r="Y51" s="286">
        <v>9</v>
      </c>
      <c r="AA51" s="386">
        <f t="shared" si="0"/>
        <v>0</v>
      </c>
      <c r="AB51" s="286">
        <f t="shared" si="1"/>
        <v>0</v>
      </c>
    </row>
    <row r="52" spans="1:28" s="18" customFormat="1" ht="73.5" customHeight="1" x14ac:dyDescent="0.3">
      <c r="A52" s="212">
        <f>'Unit Data from Audit Worksheet'!A60</f>
        <v>540</v>
      </c>
      <c r="B52" s="225" t="str">
        <f>'Unit Data from Audit Worksheet'!C60</f>
        <v>General Fund - Budget Actual Statement</v>
      </c>
      <c r="C52" s="211" t="str">
        <f>'Unit Data from Audit Worksheet'!D60</f>
        <v>Amount of the General Fund Balance appropriated in next year's budget. As reported on the General Fund Balance Sheet.</v>
      </c>
      <c r="D52" s="134"/>
      <c r="E52" s="231">
        <f>'Unit Data from Audit Worksheet'!F60</f>
        <v>0</v>
      </c>
      <c r="F52" s="224">
        <f t="shared" si="6"/>
        <v>0</v>
      </c>
      <c r="G52" s="226"/>
      <c r="H52" s="223"/>
      <c r="I52" s="32"/>
      <c r="J52" s="222">
        <v>540</v>
      </c>
      <c r="K52" s="221" t="s">
        <v>253</v>
      </c>
      <c r="L52" s="289">
        <f t="shared" ref="L52:L79" si="7">IF(D52="",E52,D52)</f>
        <v>0</v>
      </c>
      <c r="M52"/>
      <c r="P52" s="196"/>
      <c r="Q52" s="279"/>
      <c r="R52" s="3"/>
      <c r="S52" s="3"/>
      <c r="T52" s="3"/>
      <c r="U52" s="3"/>
      <c r="V52" s="3"/>
      <c r="W52" s="3"/>
      <c r="X52" s="552">
        <v>540</v>
      </c>
      <c r="Y52" s="286">
        <v>540</v>
      </c>
      <c r="Z52" s="3"/>
      <c r="AA52" s="386">
        <f t="shared" si="0"/>
        <v>0</v>
      </c>
      <c r="AB52" s="286">
        <f t="shared" si="1"/>
        <v>0</v>
      </c>
    </row>
    <row r="53" spans="1:28" s="18" customFormat="1" ht="73.5" customHeight="1" x14ac:dyDescent="0.3">
      <c r="A53" s="212">
        <f>'Unit Data from Audit Worksheet'!A61</f>
        <v>1052</v>
      </c>
      <c r="B53" s="225" t="str">
        <f>'Unit Data from Audit Worksheet'!C61</f>
        <v>General Fund-Rev, Exp. Change in Fund Balance</v>
      </c>
      <c r="C53" s="211" t="str">
        <f>'Unit Data from Audit Worksheet'!D61</f>
        <v>Mark to Market unrealized losses in the General Fund. (enter as a negative number)</v>
      </c>
      <c r="D53" s="134"/>
      <c r="E53" s="231">
        <f>'Unit Data from Audit Worksheet'!F61</f>
        <v>0</v>
      </c>
      <c r="F53" s="224"/>
      <c r="G53" s="226"/>
      <c r="H53" s="223"/>
      <c r="I53" s="32"/>
      <c r="J53" s="222">
        <v>1052</v>
      </c>
      <c r="K53" s="221" t="s">
        <v>1608</v>
      </c>
      <c r="L53" s="295">
        <f t="shared" si="7"/>
        <v>0</v>
      </c>
      <c r="M53"/>
      <c r="P53" s="196"/>
      <c r="Q53" s="279"/>
      <c r="R53" s="386"/>
      <c r="S53" s="386"/>
      <c r="T53" s="386"/>
      <c r="U53" s="386"/>
      <c r="V53" s="386"/>
      <c r="W53" s="386"/>
      <c r="X53" s="552"/>
      <c r="Y53" s="286"/>
      <c r="Z53" s="386"/>
      <c r="AA53" s="386">
        <f t="shared" si="0"/>
        <v>0</v>
      </c>
      <c r="AB53" s="286"/>
    </row>
    <row r="54" spans="1:28" s="18" customFormat="1" ht="73.5" customHeight="1" x14ac:dyDescent="0.3">
      <c r="A54" s="212">
        <f>'Unit Data from Audit Worksheet'!A63</f>
        <v>984</v>
      </c>
      <c r="B54" s="225" t="str">
        <f>'Unit Data from Audit Worksheet'!C63</f>
        <v>General Fund - Budget Actual Statement</v>
      </c>
      <c r="C54" s="211" t="str">
        <f>'Unit Data from Audit Worksheet'!D63</f>
        <v>Amount of Ad valorem tax collected (including motor vehicle and prior years) reported on budget actual statement</v>
      </c>
      <c r="D54" s="134"/>
      <c r="E54" s="231">
        <f>'Unit Data from Audit Worksheet'!F63</f>
        <v>0</v>
      </c>
      <c r="F54" s="224"/>
      <c r="G54" s="226"/>
      <c r="H54" s="223"/>
      <c r="I54" s="32"/>
      <c r="J54" s="222">
        <v>984</v>
      </c>
      <c r="K54" s="221" t="s">
        <v>601</v>
      </c>
      <c r="L54" s="295">
        <f t="shared" si="7"/>
        <v>0</v>
      </c>
      <c r="M54"/>
      <c r="P54" s="196"/>
      <c r="Q54" s="279"/>
      <c r="R54" s="3"/>
      <c r="S54" s="3"/>
      <c r="T54" s="3"/>
      <c r="U54" s="3"/>
      <c r="V54" s="3"/>
      <c r="W54" s="3"/>
      <c r="X54" s="552">
        <v>984</v>
      </c>
      <c r="Y54" s="286">
        <v>984</v>
      </c>
      <c r="Z54" s="3"/>
      <c r="AA54" s="386">
        <f t="shared" si="0"/>
        <v>0</v>
      </c>
      <c r="AB54" s="286">
        <f t="shared" si="1"/>
        <v>0</v>
      </c>
    </row>
    <row r="55" spans="1:28" s="18" customFormat="1" ht="73.5" customHeight="1" x14ac:dyDescent="0.3">
      <c r="A55" s="212">
        <f>'Unit Data from Audit Worksheet'!A64</f>
        <v>985</v>
      </c>
      <c r="B55" s="225" t="str">
        <f>'Unit Data from Audit Worksheet'!C64</f>
        <v>General Fund - Budget Actual Statement</v>
      </c>
      <c r="C55" s="211" t="str">
        <f>'Unit Data from Audit Worksheet'!D64</f>
        <v>Amount of Ad valorem tax budgeted (including motor vehicle and prior years) reported on budget actual statement</v>
      </c>
      <c r="D55" s="134"/>
      <c r="E55" s="231">
        <f>'Unit Data from Audit Worksheet'!F64</f>
        <v>0</v>
      </c>
      <c r="F55" s="224"/>
      <c r="G55" s="226"/>
      <c r="H55" s="223"/>
      <c r="I55" s="32"/>
      <c r="J55" s="222">
        <v>985</v>
      </c>
      <c r="K55" s="221" t="s">
        <v>602</v>
      </c>
      <c r="L55" s="295">
        <f t="shared" si="7"/>
        <v>0</v>
      </c>
      <c r="M55"/>
      <c r="P55" s="197"/>
      <c r="Q55" s="279"/>
      <c r="R55" s="3"/>
      <c r="S55" s="3"/>
      <c r="T55" s="3"/>
      <c r="U55" s="3"/>
      <c r="V55" s="3"/>
      <c r="W55" s="3"/>
      <c r="X55" s="552">
        <v>985</v>
      </c>
      <c r="Y55" s="286">
        <v>985</v>
      </c>
      <c r="Z55" s="3"/>
      <c r="AA55" s="386">
        <f t="shared" si="0"/>
        <v>0</v>
      </c>
      <c r="AB55" s="286">
        <f t="shared" si="1"/>
        <v>0</v>
      </c>
    </row>
    <row r="56" spans="1:28" ht="73.5" customHeight="1" x14ac:dyDescent="0.3">
      <c r="A56" s="212">
        <f>'Unit Data from Audit Worksheet'!A65</f>
        <v>369</v>
      </c>
      <c r="B56" s="225" t="str">
        <f>'Unit Data from Audit Worksheet'!C65</f>
        <v>General Fund-Rev, Exp. Change in Fund Balance</v>
      </c>
      <c r="C56" s="211" t="str">
        <f>'Unit Data from Audit Worksheet'!D65</f>
        <v>Total Intergovernmental revenue 
Include restricted and unrestricted revenues</v>
      </c>
      <c r="D56" s="134"/>
      <c r="E56" s="231">
        <f>'Unit Data from Audit Worksheet'!F65</f>
        <v>0</v>
      </c>
      <c r="F56" s="224"/>
      <c r="G56" s="226"/>
      <c r="H56" s="223"/>
      <c r="I56" s="32"/>
      <c r="J56" s="222">
        <v>369</v>
      </c>
      <c r="K56" s="221" t="s">
        <v>196</v>
      </c>
      <c r="L56" s="289">
        <f t="shared" si="7"/>
        <v>0</v>
      </c>
      <c r="P56" s="205"/>
      <c r="X56" s="552">
        <v>369</v>
      </c>
      <c r="Y56" s="294">
        <v>369</v>
      </c>
      <c r="AA56" s="386">
        <f t="shared" si="0"/>
        <v>0</v>
      </c>
      <c r="AB56" s="286">
        <f t="shared" si="1"/>
        <v>0</v>
      </c>
    </row>
    <row r="57" spans="1:28" ht="73.5" customHeight="1" x14ac:dyDescent="0.3">
      <c r="A57" s="212">
        <f>'Unit Data from Audit Worksheet'!A66</f>
        <v>16</v>
      </c>
      <c r="B57" s="225" t="str">
        <f>'Unit Data from Audit Worksheet'!C66</f>
        <v>General Fund-Rev, Exp. Change in Fund Balance</v>
      </c>
      <c r="C57" s="211" t="str">
        <f>'Unit Data from Audit Worksheet'!D66</f>
        <v>Total revenues</v>
      </c>
      <c r="D57" s="134"/>
      <c r="E57" s="231">
        <f>'Unit Data from Audit Worksheet'!F66</f>
        <v>0</v>
      </c>
      <c r="F57" s="224"/>
      <c r="G57" s="226"/>
      <c r="H57" s="223"/>
      <c r="I57" s="32"/>
      <c r="J57" s="222">
        <v>16</v>
      </c>
      <c r="K57" s="221" t="s">
        <v>197</v>
      </c>
      <c r="L57" s="289">
        <f t="shared" si="7"/>
        <v>0</v>
      </c>
      <c r="P57" s="205"/>
      <c r="X57" s="552">
        <v>16</v>
      </c>
      <c r="Y57" s="294">
        <v>16</v>
      </c>
      <c r="AA57" s="386">
        <f t="shared" si="0"/>
        <v>0</v>
      </c>
      <c r="AB57" s="286">
        <f t="shared" si="1"/>
        <v>0</v>
      </c>
    </row>
    <row r="58" spans="1:28" ht="73.5" customHeight="1" x14ac:dyDescent="0.3">
      <c r="A58" s="212">
        <f>'Unit Data from Audit Worksheet'!A67</f>
        <v>370</v>
      </c>
      <c r="B58" s="225" t="str">
        <f>'Unit Data from Audit Worksheet'!C67</f>
        <v>General Fund-Rev, Exp. Change in Fund Balance</v>
      </c>
      <c r="C58" s="211" t="str">
        <f>'Unit Data from Audit Worksheet'!D67</f>
        <v>Debt service expenditures. 
Include principal, interest paid, and bond/debt issuance costs on long-term debt</v>
      </c>
      <c r="D58" s="134"/>
      <c r="E58" s="231">
        <f>'Unit Data from Audit Worksheet'!F67</f>
        <v>0</v>
      </c>
      <c r="F58" s="224">
        <f t="shared" ref="F58:F65" si="8">IF(L58&lt;0,"Error: Enter as a positive.",)</f>
        <v>0</v>
      </c>
      <c r="G58" s="226"/>
      <c r="H58" s="223"/>
      <c r="I58" s="32"/>
      <c r="J58" s="222">
        <v>370</v>
      </c>
      <c r="K58" s="221" t="s">
        <v>198</v>
      </c>
      <c r="L58" s="289">
        <f t="shared" si="7"/>
        <v>0</v>
      </c>
      <c r="P58" s="205"/>
      <c r="X58" s="552">
        <v>370</v>
      </c>
      <c r="Y58" s="286">
        <v>370</v>
      </c>
      <c r="AA58" s="386">
        <f t="shared" si="0"/>
        <v>0</v>
      </c>
      <c r="AB58" s="286">
        <f t="shared" si="1"/>
        <v>0</v>
      </c>
    </row>
    <row r="59" spans="1:28" ht="73.5" customHeight="1" x14ac:dyDescent="0.3">
      <c r="A59" s="212">
        <f>'Unit Data from Audit Worksheet'!A68</f>
        <v>532</v>
      </c>
      <c r="B59" s="225" t="str">
        <f>'Unit Data from Audit Worksheet'!C68</f>
        <v>General Fund-Rev, Exp. Change in Fund Balance</v>
      </c>
      <c r="C59" s="211" t="str">
        <f>'Unit Data from Audit Worksheet'!D68</f>
        <v xml:space="preserve">Total expenditures  
Exclude expenditures in the "other financing sources (uses)" section.
</v>
      </c>
      <c r="D59" s="134"/>
      <c r="E59" s="231">
        <f>'Unit Data from Audit Worksheet'!F68</f>
        <v>0</v>
      </c>
      <c r="F59" s="224">
        <f t="shared" si="8"/>
        <v>0</v>
      </c>
      <c r="G59" s="226"/>
      <c r="H59" s="223"/>
      <c r="I59" s="32"/>
      <c r="J59" s="222">
        <v>532</v>
      </c>
      <c r="K59" s="307" t="s">
        <v>199</v>
      </c>
      <c r="L59" s="289">
        <f t="shared" si="7"/>
        <v>0</v>
      </c>
      <c r="P59" s="205"/>
      <c r="X59" s="552">
        <v>532</v>
      </c>
      <c r="Y59" s="286">
        <v>532</v>
      </c>
      <c r="AA59" s="386">
        <f t="shared" si="0"/>
        <v>0</v>
      </c>
      <c r="AB59" s="286">
        <f t="shared" si="1"/>
        <v>0</v>
      </c>
    </row>
    <row r="60" spans="1:28" s="386" customFormat="1" ht="73.5" customHeight="1" x14ac:dyDescent="0.3">
      <c r="A60" s="212">
        <f>'Unit Data from Audit Worksheet'!A69</f>
        <v>1050</v>
      </c>
      <c r="B60" s="225" t="str">
        <f>'Unit Data from Audit Worksheet'!C69</f>
        <v>General Fund-Rev, Exp. Change in Fund Balance</v>
      </c>
      <c r="C60" s="211" t="str">
        <f>'Unit Data from Audit Worksheet'!D69</f>
        <v>Amount expended for Powell Bill expenditures in the General Fund</v>
      </c>
      <c r="D60" s="134"/>
      <c r="E60" s="231">
        <f>'Unit Data from Audit Worksheet'!F69</f>
        <v>0</v>
      </c>
      <c r="F60" s="224"/>
      <c r="G60" s="226"/>
      <c r="H60" s="223"/>
      <c r="I60" s="32"/>
      <c r="J60" s="222">
        <v>1050</v>
      </c>
      <c r="K60" s="211" t="s">
        <v>1509</v>
      </c>
      <c r="L60" s="295">
        <f t="shared" si="7"/>
        <v>0</v>
      </c>
      <c r="M60"/>
      <c r="P60" s="205"/>
      <c r="Q60" s="279"/>
      <c r="X60" s="552"/>
      <c r="Y60" s="286"/>
      <c r="AA60" s="386">
        <f t="shared" si="0"/>
        <v>0</v>
      </c>
      <c r="AB60" s="286"/>
    </row>
    <row r="61" spans="1:28" ht="73.5" customHeight="1" x14ac:dyDescent="0.3">
      <c r="A61" s="212">
        <f>'Unit Data from Audit Worksheet'!A70</f>
        <v>17</v>
      </c>
      <c r="B61" s="225" t="str">
        <f>'Unit Data from Audit Worksheet'!C70</f>
        <v>General Fund-Rev, Exp. Change in Fund Balance</v>
      </c>
      <c r="C61" s="211" t="str">
        <f>'Unit Data from Audit Worksheet'!D70</f>
        <v>Total Transfers in    (Preference is that transfers-in  are not netted against transfers-out)</v>
      </c>
      <c r="D61" s="134"/>
      <c r="E61" s="231">
        <f>'Unit Data from Audit Worksheet'!F70</f>
        <v>0</v>
      </c>
      <c r="F61" s="224">
        <f t="shared" si="8"/>
        <v>0</v>
      </c>
      <c r="G61" s="226"/>
      <c r="H61" s="223"/>
      <c r="I61" s="32"/>
      <c r="J61" s="222">
        <v>17</v>
      </c>
      <c r="K61" s="221" t="s">
        <v>200</v>
      </c>
      <c r="L61" s="289">
        <f t="shared" si="7"/>
        <v>0</v>
      </c>
      <c r="P61" s="205"/>
      <c r="X61" s="552">
        <v>17</v>
      </c>
      <c r="Y61" s="286">
        <v>17</v>
      </c>
      <c r="AA61" s="386">
        <f t="shared" si="0"/>
        <v>0</v>
      </c>
      <c r="AB61" s="286">
        <f t="shared" si="1"/>
        <v>0</v>
      </c>
    </row>
    <row r="62" spans="1:28" ht="54.75" customHeight="1" x14ac:dyDescent="0.3">
      <c r="A62" s="212">
        <f>'Unit Data from Audit Worksheet'!A71</f>
        <v>20</v>
      </c>
      <c r="B62" s="225" t="str">
        <f>'Unit Data from Audit Worksheet'!C71</f>
        <v>General Fund-Rev, Exp. Change in Fund Balance</v>
      </c>
      <c r="C62" s="211" t="str">
        <f>'Unit Data from Audit Worksheet'!D71</f>
        <v>Total Transfers out    (Preference is that transfers-in  are not netted against transfers-out)</v>
      </c>
      <c r="D62" s="134"/>
      <c r="E62" s="231">
        <f>'Unit Data from Audit Worksheet'!F71</f>
        <v>0</v>
      </c>
      <c r="F62" s="224">
        <f t="shared" si="8"/>
        <v>0</v>
      </c>
      <c r="G62" s="226"/>
      <c r="H62" s="223"/>
      <c r="I62" s="32"/>
      <c r="J62" s="222">
        <v>20</v>
      </c>
      <c r="K62" s="221" t="s">
        <v>201</v>
      </c>
      <c r="L62" s="289">
        <f t="shared" si="7"/>
        <v>0</v>
      </c>
      <c r="P62" s="205"/>
      <c r="X62" s="552">
        <v>20</v>
      </c>
      <c r="Y62" s="286">
        <v>20</v>
      </c>
      <c r="AA62" s="386">
        <f t="shared" si="0"/>
        <v>0</v>
      </c>
      <c r="AB62" s="286">
        <f t="shared" si="1"/>
        <v>0</v>
      </c>
    </row>
    <row r="63" spans="1:28" ht="54.75" customHeight="1" x14ac:dyDescent="0.3">
      <c r="A63" s="212">
        <f>'Unit Data from Audit Worksheet'!A72</f>
        <v>533</v>
      </c>
      <c r="B63" s="225" t="str">
        <f>'Unit Data from Audit Worksheet'!C72</f>
        <v>General Fund-Rev, Exp. Change in Fund Balance</v>
      </c>
      <c r="C63" s="211" t="str">
        <f>'Unit Data from Audit Worksheet'!D72</f>
        <v>Total Proceeds from all long-term debt issuances 
Exclude proceeds from refundings</v>
      </c>
      <c r="D63" s="134"/>
      <c r="E63" s="231">
        <f>'Unit Data from Audit Worksheet'!F72</f>
        <v>0</v>
      </c>
      <c r="F63" s="224">
        <f t="shared" si="8"/>
        <v>0</v>
      </c>
      <c r="G63" s="226"/>
      <c r="H63" s="223"/>
      <c r="I63" s="32"/>
      <c r="J63" s="222">
        <v>533</v>
      </c>
      <c r="K63" s="307" t="s">
        <v>202</v>
      </c>
      <c r="L63" s="289">
        <f t="shared" si="7"/>
        <v>0</v>
      </c>
      <c r="P63" s="205"/>
      <c r="X63" s="552">
        <v>533</v>
      </c>
      <c r="Y63" s="286">
        <v>533</v>
      </c>
      <c r="AA63" s="386">
        <f t="shared" si="0"/>
        <v>0</v>
      </c>
      <c r="AB63" s="286">
        <f t="shared" si="1"/>
        <v>0</v>
      </c>
    </row>
    <row r="64" spans="1:28" ht="54.75" customHeight="1" x14ac:dyDescent="0.3">
      <c r="A64" s="212">
        <f>'Unit Data from Audit Worksheet'!A73</f>
        <v>508</v>
      </c>
      <c r="B64" s="225" t="str">
        <f>'Unit Data from Audit Worksheet'!C73</f>
        <v>General Fund-Rev, Exp. Change in Fund Balance</v>
      </c>
      <c r="C64" s="211" t="str">
        <f>'Unit Data from Audit Worksheet'!D73</f>
        <v>Debt Refunding - Net refunding proceeds against debt payoff and if positive place results on this line.</v>
      </c>
      <c r="D64" s="134"/>
      <c r="E64" s="231">
        <f>'Unit Data from Audit Worksheet'!F73</f>
        <v>0</v>
      </c>
      <c r="F64" s="224">
        <f t="shared" si="8"/>
        <v>0</v>
      </c>
      <c r="G64" s="226"/>
      <c r="H64" s="223"/>
      <c r="I64" s="32"/>
      <c r="J64" s="222">
        <v>508</v>
      </c>
      <c r="K64" s="221" t="s">
        <v>204</v>
      </c>
      <c r="L64" s="289">
        <f t="shared" si="7"/>
        <v>0</v>
      </c>
      <c r="N64" s="575"/>
      <c r="P64" s="198"/>
      <c r="X64" s="552">
        <v>508</v>
      </c>
      <c r="Y64" s="286">
        <v>508</v>
      </c>
      <c r="AA64" s="386">
        <f t="shared" si="0"/>
        <v>0</v>
      </c>
      <c r="AB64" s="286">
        <f t="shared" si="1"/>
        <v>0</v>
      </c>
    </row>
    <row r="65" spans="1:28" ht="54.75" customHeight="1" x14ac:dyDescent="0.3">
      <c r="A65" s="212">
        <f>'Unit Data from Audit Worksheet'!A74</f>
        <v>509</v>
      </c>
      <c r="B65" s="225" t="str">
        <f>'Unit Data from Audit Worksheet'!C74</f>
        <v>General Fund-Rev, Exp. Change in Fund Balance</v>
      </c>
      <c r="C65" s="211" t="str">
        <f>'Unit Data from Audit Worksheet'!D74</f>
        <v>Debt Refunding - Net refunding proceeds against debt payoff and if negative place results on this line.</v>
      </c>
      <c r="D65" s="134"/>
      <c r="E65" s="231">
        <f>'Unit Data from Audit Worksheet'!F74</f>
        <v>0</v>
      </c>
      <c r="F65" s="224">
        <f t="shared" si="8"/>
        <v>0</v>
      </c>
      <c r="G65" s="226"/>
      <c r="H65" s="223"/>
      <c r="I65" s="32"/>
      <c r="J65" s="222">
        <v>509</v>
      </c>
      <c r="K65" s="221" t="s">
        <v>205</v>
      </c>
      <c r="L65" s="289">
        <f>IF(D65="",E65,D65)</f>
        <v>0</v>
      </c>
      <c r="N65" s="576"/>
      <c r="P65" s="205"/>
      <c r="Q65" s="293"/>
      <c r="S65" s="292"/>
      <c r="T65" s="292"/>
      <c r="U65" s="292"/>
      <c r="V65" s="292"/>
      <c r="W65" s="18"/>
      <c r="X65" s="552">
        <v>509</v>
      </c>
      <c r="Y65" s="286">
        <v>509</v>
      </c>
      <c r="Z65" s="18"/>
      <c r="AA65" s="386">
        <f t="shared" si="0"/>
        <v>0</v>
      </c>
      <c r="AB65" s="286">
        <f t="shared" si="1"/>
        <v>0</v>
      </c>
    </row>
    <row r="66" spans="1:28" ht="84.75" customHeight="1" x14ac:dyDescent="0.3">
      <c r="A66" s="212">
        <f>'Unit Data from Audit Worksheet'!A75</f>
        <v>22</v>
      </c>
      <c r="B66" s="225" t="str">
        <f>'Unit Data from Audit Worksheet'!C75</f>
        <v>General Fund-Rev, Exp. Change in Fund Balance</v>
      </c>
      <c r="C66" s="211" t="str">
        <f>'Unit Data from Audit Worksheet'!D75</f>
        <v xml:space="preserve">All other items on this statement that were not included in total revenues, total expenditures, transfers in or out, or proceeds from long-term debt above.  </v>
      </c>
      <c r="D66" s="134"/>
      <c r="E66" s="231">
        <f>'Unit Data from Audit Worksheet'!F75</f>
        <v>0</v>
      </c>
      <c r="F66" s="224"/>
      <c r="G66" s="226"/>
      <c r="H66" s="223"/>
      <c r="I66" s="32"/>
      <c r="J66" s="222">
        <v>22</v>
      </c>
      <c r="K66" s="221" t="s">
        <v>203</v>
      </c>
      <c r="L66" s="289">
        <f t="shared" si="7"/>
        <v>0</v>
      </c>
      <c r="N66" s="576"/>
      <c r="P66" s="195"/>
      <c r="Q66" s="310"/>
      <c r="S66" s="309"/>
      <c r="T66" s="309"/>
      <c r="U66" s="309"/>
      <c r="V66" s="309"/>
      <c r="W66" s="309"/>
      <c r="X66" s="552">
        <v>22</v>
      </c>
      <c r="Y66" s="286">
        <v>22</v>
      </c>
      <c r="Z66" s="18"/>
      <c r="AA66" s="386">
        <f t="shared" si="0"/>
        <v>0</v>
      </c>
      <c r="AB66" s="286">
        <f t="shared" si="1"/>
        <v>0</v>
      </c>
    </row>
    <row r="67" spans="1:28" ht="74.25" customHeight="1" x14ac:dyDescent="0.3">
      <c r="A67" s="212">
        <f>'Unit Data from Audit Worksheet'!A76</f>
        <v>23</v>
      </c>
      <c r="B67" s="225" t="str">
        <f>'Unit Data from Audit Worksheet'!C76</f>
        <v>General Fund-Rev, Exp. Change in Fund Balance</v>
      </c>
      <c r="C67" s="211" t="str">
        <f>'Unit Data from Audit Worksheet'!D76</f>
        <v>Change in fund balance - (Increase in Fund balance is recorded as a positive and a decrease in fund balance is recorded as a negative)</v>
      </c>
      <c r="D67" s="134"/>
      <c r="E67" s="231">
        <f>'Unit Data from Audit Worksheet'!F76</f>
        <v>0</v>
      </c>
      <c r="F67" s="224">
        <f>IF(+L57-L59+L61-L62+L63+L64-L65+L66-L67=0,,"Error:Total revenues less toal Expenditures do not equal change in fund balance")</f>
        <v>0</v>
      </c>
      <c r="G67" s="84">
        <f>+L57-L59+L61-L62+L63+L66+L64-L65-L67</f>
        <v>0</v>
      </c>
      <c r="H67" s="223"/>
      <c r="I67" s="32"/>
      <c r="J67" s="222">
        <v>23</v>
      </c>
      <c r="K67" s="221" t="s">
        <v>206</v>
      </c>
      <c r="L67" s="289">
        <f t="shared" si="7"/>
        <v>0</v>
      </c>
      <c r="P67" s="195"/>
      <c r="X67" s="552">
        <v>23</v>
      </c>
      <c r="Y67" s="286">
        <v>23</v>
      </c>
      <c r="AA67" s="386">
        <f t="shared" si="0"/>
        <v>0</v>
      </c>
      <c r="AB67" s="286">
        <f t="shared" si="1"/>
        <v>0</v>
      </c>
    </row>
    <row r="68" spans="1:28" ht="123" customHeight="1" x14ac:dyDescent="0.3">
      <c r="A68" s="300">
        <f>'Unit Data from Audit Worksheet'!A78</f>
        <v>507</v>
      </c>
      <c r="B68" s="109" t="str">
        <f>'Unit Data from Audit Worksheet'!C78</f>
        <v>General Fund-Rev, Exp. Change in Fund Balance</v>
      </c>
      <c r="C68" s="206" t="str">
        <f>'Unit Data from Audit Worksheet'!D78</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Worksheet'!F78</f>
        <v>0</v>
      </c>
      <c r="F68" s="103" t="e">
        <f>IF(+L51-L67-L68=O51,,"Error: Beginning Fund Bal does not equal our records Accts 9-23-507= PY9")</f>
        <v>#N/A</v>
      </c>
      <c r="G68" s="114" t="e">
        <f>L51-L67-L68-O51</f>
        <v>#N/A</v>
      </c>
      <c r="H68" s="105" t="e">
        <f>'Unit Data from Audit Worksheet'!I78</f>
        <v>#N/A</v>
      </c>
      <c r="I68" s="32"/>
      <c r="J68" s="97">
        <v>507</v>
      </c>
      <c r="K68" s="38" t="s">
        <v>207</v>
      </c>
      <c r="L68" s="289">
        <f t="shared" si="7"/>
        <v>0</v>
      </c>
      <c r="N68" s="297"/>
      <c r="O68" s="296"/>
      <c r="P68" s="195"/>
      <c r="R68" s="386"/>
      <c r="S68" s="386"/>
      <c r="T68" s="386"/>
      <c r="U68" s="386"/>
      <c r="V68" s="386"/>
      <c r="W68" s="309"/>
      <c r="X68" s="552">
        <v>507</v>
      </c>
      <c r="Y68" s="286">
        <v>507</v>
      </c>
      <c r="Z68" s="386"/>
      <c r="AA68" s="386">
        <f t="shared" si="0"/>
        <v>0</v>
      </c>
      <c r="AB68" s="286">
        <f t="shared" si="1"/>
        <v>0</v>
      </c>
    </row>
    <row r="69" spans="1:28" s="18" customFormat="1" ht="40.5" customHeight="1" x14ac:dyDescent="0.3">
      <c r="A69" s="190">
        <f>'Unit Data from Audit Worksheet'!A79</f>
        <v>647</v>
      </c>
      <c r="B69" s="235" t="str">
        <f>'Unit Data from Audit Worksheet'!C79</f>
        <v>Debt Service Fund</v>
      </c>
      <c r="C69" s="190" t="str">
        <f>'Unit Data from Audit Worksheet'!D79</f>
        <v>Please enter the Total Fund Balance for any Debt Service Funds from the Budgeted to Actual statement</v>
      </c>
      <c r="D69" s="108"/>
      <c r="E69" s="234">
        <f>'Unit Data from Audit Worksheet'!F79</f>
        <v>0</v>
      </c>
      <c r="F69" s="219"/>
      <c r="G69" s="215"/>
      <c r="H69" s="219"/>
      <c r="I69" s="301"/>
      <c r="J69" s="218">
        <v>647</v>
      </c>
      <c r="K69" s="193" t="s">
        <v>809</v>
      </c>
      <c r="L69" s="302">
        <f>IF(D69="",E69,D69)</f>
        <v>0</v>
      </c>
      <c r="M69"/>
      <c r="N69" s="292"/>
      <c r="O69" s="308"/>
      <c r="P69" s="195"/>
      <c r="Q69" s="279"/>
      <c r="R69" s="3"/>
      <c r="S69" s="3"/>
      <c r="T69" s="3"/>
      <c r="U69" s="3"/>
      <c r="V69" s="3"/>
      <c r="W69" s="3"/>
      <c r="X69" s="552">
        <v>647</v>
      </c>
      <c r="Y69" s="286">
        <v>647</v>
      </c>
      <c r="Z69" s="3"/>
      <c r="AA69" s="386">
        <f t="shared" si="0"/>
        <v>0</v>
      </c>
      <c r="AB69" s="286">
        <f t="shared" si="1"/>
        <v>0</v>
      </c>
    </row>
    <row r="70" spans="1:28" ht="60" customHeight="1" x14ac:dyDescent="0.3">
      <c r="A70" s="287">
        <f>'Unit Data from Audit Worksheet'!A81</f>
        <v>171</v>
      </c>
      <c r="B70" s="48" t="str">
        <f>'Unit Data from Audit Worksheet'!C81</f>
        <v>Fund Statements - all Governmental Funds</v>
      </c>
      <c r="C70" s="288" t="str">
        <f>'Unit Data from Audit Worksheet'!D81</f>
        <v>Debt service expenditures from all governmental funds.  Include principal, interest paid, and debt issuance costs on long-term debt.</v>
      </c>
      <c r="D70" s="230"/>
      <c r="E70" s="142">
        <f>'Unit Data from Audit Worksheet'!F81</f>
        <v>0</v>
      </c>
      <c r="F70" s="41">
        <f>IF(L70&lt;0,"Error: Enter as a positive.",)</f>
        <v>0</v>
      </c>
      <c r="G70" s="65"/>
      <c r="H70" s="223"/>
      <c r="I70" s="32"/>
      <c r="J70" s="36">
        <v>171</v>
      </c>
      <c r="K70" s="45" t="s">
        <v>208</v>
      </c>
      <c r="L70" s="289">
        <f t="shared" si="7"/>
        <v>0</v>
      </c>
      <c r="P70" s="195"/>
      <c r="X70" s="552">
        <v>171</v>
      </c>
      <c r="Y70" s="286">
        <v>171</v>
      </c>
      <c r="AA70" s="386">
        <f t="shared" si="0"/>
        <v>0</v>
      </c>
      <c r="AB70" s="286">
        <f t="shared" si="1"/>
        <v>0</v>
      </c>
    </row>
    <row r="71" spans="1:28" ht="69" customHeight="1" x14ac:dyDescent="0.3">
      <c r="A71" s="212">
        <f>'Unit Data from Audit Worksheet'!A85</f>
        <v>596</v>
      </c>
      <c r="B71" s="225"/>
      <c r="C71" s="211" t="str">
        <f>'Unit Data from Audit Worksheet'!D85</f>
        <v>Indicate if your water/sewer system:
50 - Became Operational
51 - Ceased Operations
52 - No Change
Select from drop down.</v>
      </c>
      <c r="D71" s="134"/>
      <c r="E71" s="231">
        <f>'Unit Data from Audit Worksheet'!F85</f>
        <v>0</v>
      </c>
      <c r="F71" s="224"/>
      <c r="G71" s="224" t="str">
        <f>'Unit Data from Audit Worksheet'!G85</f>
        <v>Please do not answer this question unless the unit has a  water and/or sewer fund</v>
      </c>
      <c r="H71" s="223"/>
      <c r="I71" s="32"/>
      <c r="J71" s="222">
        <v>596</v>
      </c>
      <c r="K71" s="221" t="s">
        <v>335</v>
      </c>
      <c r="L71" s="289">
        <f t="shared" si="7"/>
        <v>0</v>
      </c>
      <c r="P71" s="196"/>
      <c r="X71" s="552">
        <v>596</v>
      </c>
      <c r="Y71" s="286">
        <v>596</v>
      </c>
      <c r="AA71" s="386">
        <f t="shared" si="0"/>
        <v>0</v>
      </c>
      <c r="AB71" s="286">
        <f t="shared" si="1"/>
        <v>0</v>
      </c>
    </row>
    <row r="72" spans="1:28" ht="82.2" customHeight="1" x14ac:dyDescent="0.3">
      <c r="A72" s="212">
        <f>'Unit Data from Audit Worksheet'!A86</f>
        <v>80</v>
      </c>
      <c r="B72" s="225" t="str">
        <f>'Unit Data from Audit Worksheet'!C86</f>
        <v>Water Sewer Net Position Statement</v>
      </c>
      <c r="C72" s="211" t="str">
        <f>'Unit Data from Audit Worksheet'!D86</f>
        <v>Unrestricted Cash and investments 
Exclude restricted cash and/or restricted investments.</v>
      </c>
      <c r="D72" s="134"/>
      <c r="E72" s="231">
        <f>'Unit Data from Audit Worksheet'!F86</f>
        <v>0</v>
      </c>
      <c r="F72" s="224">
        <f>IF(L72&lt;0,"Error: Number is normally positive.",)</f>
        <v>0</v>
      </c>
      <c r="G72" s="224" t="e">
        <f>'Unit Data from Audit Worksheet'!G86</f>
        <v>#N/A</v>
      </c>
      <c r="H72" s="223"/>
      <c r="I72" s="32"/>
      <c r="J72" s="222">
        <v>80</v>
      </c>
      <c r="K72" s="221" t="s">
        <v>209</v>
      </c>
      <c r="L72" s="289">
        <f t="shared" si="7"/>
        <v>0</v>
      </c>
      <c r="P72" s="196"/>
      <c r="X72" s="552">
        <v>80</v>
      </c>
      <c r="Y72" s="286">
        <v>80</v>
      </c>
      <c r="AA72" s="386">
        <f t="shared" ref="AA72:AA137" si="9">A72-J72</f>
        <v>0</v>
      </c>
      <c r="AB72" s="286">
        <f t="shared" ref="AB72:AB137" si="10">E72-L72</f>
        <v>0</v>
      </c>
    </row>
    <row r="73" spans="1:28" ht="43.2" x14ac:dyDescent="0.3">
      <c r="A73" s="212">
        <f>'Unit Data from Audit Worksheet'!A87</f>
        <v>81</v>
      </c>
      <c r="B73" s="225" t="str">
        <f>'Unit Data from Audit Worksheet'!C87</f>
        <v>Water Sewer Net Position Statement</v>
      </c>
      <c r="C73" s="211" t="str">
        <f>'Unit Data from Audit Worksheet'!D87</f>
        <v>Customer accounts receivable (net of allowance accounts). 
Include both billed and unbilled amounts.</v>
      </c>
      <c r="D73" s="134"/>
      <c r="E73" s="231">
        <f>'Unit Data from Audit Worksheet'!F87</f>
        <v>0</v>
      </c>
      <c r="F73" s="224">
        <f>IF(L73&lt;0,"Error: Number is normally positive.",)</f>
        <v>0</v>
      </c>
      <c r="G73" s="226"/>
      <c r="H73" s="223"/>
      <c r="I73" s="32"/>
      <c r="J73" s="222">
        <v>81</v>
      </c>
      <c r="K73" s="221" t="s">
        <v>210</v>
      </c>
      <c r="L73" s="289">
        <f t="shared" si="7"/>
        <v>0</v>
      </c>
      <c r="P73" s="196"/>
      <c r="X73" s="552">
        <v>81</v>
      </c>
      <c r="Y73" s="286">
        <v>81</v>
      </c>
      <c r="AA73" s="386">
        <f t="shared" si="9"/>
        <v>0</v>
      </c>
      <c r="AB73" s="286">
        <f t="shared" si="10"/>
        <v>0</v>
      </c>
    </row>
    <row r="74" spans="1:28" ht="68.25" customHeight="1" x14ac:dyDescent="0.3">
      <c r="A74" s="212">
        <f>'Unit Data from Audit Worksheet'!A88</f>
        <v>579</v>
      </c>
      <c r="B74" s="225" t="str">
        <f>'Unit Data from Audit Worksheet'!C88</f>
        <v>Water Sewer Net Position Statement</v>
      </c>
      <c r="C74" s="211" t="str">
        <f>'Unit Data from Audit Worksheet'!D88</f>
        <v>Water Sewer - Advance To:
Interfund loan receivable-portion of repayment plan longer than 12 months</v>
      </c>
      <c r="D74" s="134"/>
      <c r="E74" s="231">
        <f>'Unit Data from Audit Worksheet'!F88</f>
        <v>0</v>
      </c>
      <c r="F74" s="224"/>
      <c r="G74" s="226"/>
      <c r="H74" s="223"/>
      <c r="I74" s="32"/>
      <c r="J74" s="222">
        <v>579</v>
      </c>
      <c r="K74" s="221" t="s">
        <v>316</v>
      </c>
      <c r="L74" s="289">
        <f t="shared" si="7"/>
        <v>0</v>
      </c>
      <c r="N74" s="311"/>
      <c r="P74" s="196"/>
      <c r="X74" s="552">
        <v>579</v>
      </c>
      <c r="Y74" s="286">
        <v>579</v>
      </c>
      <c r="AA74" s="386">
        <f t="shared" si="9"/>
        <v>0</v>
      </c>
      <c r="AB74" s="286">
        <f t="shared" si="10"/>
        <v>0</v>
      </c>
    </row>
    <row r="75" spans="1:28" ht="47.25" customHeight="1" x14ac:dyDescent="0.3">
      <c r="A75" s="212">
        <f>'Unit Data from Audit Worksheet'!A89</f>
        <v>510</v>
      </c>
      <c r="B75" s="225" t="str">
        <f>'Unit Data from Audit Worksheet'!C89</f>
        <v>Water Sewer Net Position Statement</v>
      </c>
      <c r="C75" s="211" t="str">
        <f>'Unit Data from Audit Worksheet'!D89</f>
        <v>Amount of Inventories and Prepaid expenses in current assets</v>
      </c>
      <c r="D75" s="134"/>
      <c r="E75" s="231">
        <f>'Unit Data from Audit Worksheet'!F89</f>
        <v>0</v>
      </c>
      <c r="F75" s="224"/>
      <c r="G75" s="226"/>
      <c r="H75" s="223"/>
      <c r="I75" s="32"/>
      <c r="J75" s="222">
        <v>510</v>
      </c>
      <c r="K75" s="221" t="s">
        <v>211</v>
      </c>
      <c r="L75" s="289">
        <f t="shared" si="7"/>
        <v>0</v>
      </c>
      <c r="P75" s="196"/>
      <c r="X75" s="552">
        <v>510</v>
      </c>
      <c r="Y75" s="286">
        <v>510</v>
      </c>
      <c r="AA75" s="386">
        <f t="shared" si="9"/>
        <v>0</v>
      </c>
      <c r="AB75" s="286">
        <f t="shared" si="10"/>
        <v>0</v>
      </c>
    </row>
    <row r="76" spans="1:28" ht="43.2" x14ac:dyDescent="0.3">
      <c r="A76" s="212">
        <f>'Unit Data from Audit Worksheet'!A90</f>
        <v>654</v>
      </c>
      <c r="B76" s="225" t="str">
        <f>'Unit Data from Audit Worksheet'!C90</f>
        <v>Water Sewer Net Position Statement</v>
      </c>
      <c r="C76" s="211" t="str">
        <f>'Unit Data from Audit Worksheet'!D90</f>
        <v xml:space="preserve">Total Current assets as listed on the WS Net Position Statement.  
</v>
      </c>
      <c r="D76" s="134"/>
      <c r="E76" s="231">
        <f>'Unit Data from Audit Worksheet'!F90</f>
        <v>0</v>
      </c>
      <c r="F76" s="224">
        <f>IF((+L72+L73+L75)&gt;L76,"Please review components of current assets above Acct. (80+81+510&gt;654",)</f>
        <v>0</v>
      </c>
      <c r="G76" s="226"/>
      <c r="H76" s="223"/>
      <c r="I76" s="32"/>
      <c r="J76" s="222">
        <v>654</v>
      </c>
      <c r="K76" s="228" t="s">
        <v>416</v>
      </c>
      <c r="L76" s="289">
        <f t="shared" si="7"/>
        <v>0</v>
      </c>
      <c r="P76" s="196"/>
      <c r="X76" s="552">
        <v>654</v>
      </c>
      <c r="Y76" s="286">
        <v>654</v>
      </c>
      <c r="AA76" s="386">
        <f t="shared" si="9"/>
        <v>0</v>
      </c>
      <c r="AB76" s="286">
        <f t="shared" si="10"/>
        <v>0</v>
      </c>
    </row>
    <row r="77" spans="1:28" ht="43.2" x14ac:dyDescent="0.3">
      <c r="A77" s="212">
        <f>'Unit Data from Audit Worksheet'!A91</f>
        <v>655</v>
      </c>
      <c r="B77" s="225" t="str">
        <f>'Unit Data from Audit Worksheet'!C91</f>
        <v>Water Sewer Net Position Statement</v>
      </c>
      <c r="C77" s="211" t="str">
        <f>'Unit Data from Audit Worksheet'!D91</f>
        <v>WS-Any current assets that are restricted (Cash, Accounts Rec., etc..) and included in account 654 above</v>
      </c>
      <c r="D77" s="134"/>
      <c r="E77" s="231">
        <f>'Unit Data from Audit Worksheet'!F91</f>
        <v>0</v>
      </c>
      <c r="F77" s="224"/>
      <c r="G77" s="226"/>
      <c r="H77" s="223"/>
      <c r="I77" s="32"/>
      <c r="J77" s="222">
        <v>655</v>
      </c>
      <c r="K77" s="228" t="s">
        <v>448</v>
      </c>
      <c r="L77" s="289">
        <f t="shared" si="7"/>
        <v>0</v>
      </c>
      <c r="P77" s="196"/>
      <c r="X77" s="552">
        <v>655</v>
      </c>
      <c r="Y77" s="286">
        <v>655</v>
      </c>
      <c r="AA77" s="386">
        <f t="shared" si="9"/>
        <v>0</v>
      </c>
      <c r="AB77" s="286">
        <f t="shared" si="10"/>
        <v>0</v>
      </c>
    </row>
    <row r="78" spans="1:28" ht="42.75" customHeight="1" x14ac:dyDescent="0.3">
      <c r="A78" s="212">
        <f>'Unit Data from Audit Worksheet'!A92</f>
        <v>381</v>
      </c>
      <c r="B78" s="225" t="str">
        <f>'Unit Data from Audit Worksheet'!C92</f>
        <v>Water Sewer Net Position Statement</v>
      </c>
      <c r="C78" s="211" t="str">
        <f>'Unit Data from Audit Worksheet'!D92</f>
        <v>Total Assets and deferred outflows</v>
      </c>
      <c r="D78" s="134"/>
      <c r="E78" s="231">
        <f>'Unit Data from Audit Worksheet'!F92</f>
        <v>0</v>
      </c>
      <c r="F78" s="224" t="str">
        <f>IF(L78&lt;L76,"Please review components of current assets above acct. 381&lt;654"," ")</f>
        <v xml:space="preserve"> </v>
      </c>
      <c r="G78" s="226"/>
      <c r="H78" s="223"/>
      <c r="I78" s="32"/>
      <c r="J78" s="222">
        <v>381</v>
      </c>
      <c r="K78" s="221" t="s">
        <v>105</v>
      </c>
      <c r="L78" s="289">
        <f t="shared" si="7"/>
        <v>0</v>
      </c>
      <c r="P78" s="196"/>
      <c r="X78" s="552">
        <v>381</v>
      </c>
      <c r="Y78" s="286">
        <v>381</v>
      </c>
      <c r="AA78" s="386">
        <f t="shared" si="9"/>
        <v>0</v>
      </c>
      <c r="AB78" s="286">
        <f t="shared" si="10"/>
        <v>0</v>
      </c>
    </row>
    <row r="79" spans="1:28" ht="60.75" customHeight="1" x14ac:dyDescent="0.3">
      <c r="A79" s="300">
        <f>'Unit Data from Audit Worksheet'!A93</f>
        <v>578</v>
      </c>
      <c r="B79" s="109" t="str">
        <f>'Unit Data from Audit Worksheet'!C93</f>
        <v>Water Sewer Net Position Statement</v>
      </c>
      <c r="C79" s="291" t="str">
        <f>'Unit Data from Audit Worksheet'!D93</f>
        <v>Water Sewer - Advance From: 
Interfund loan Payable-portion of repayment plan longer than 12 months</v>
      </c>
      <c r="D79" s="102"/>
      <c r="E79" s="145">
        <f>'Unit Data from Audit Worksheet'!F93</f>
        <v>0</v>
      </c>
      <c r="F79" s="103"/>
      <c r="G79" s="104"/>
      <c r="H79" s="105"/>
      <c r="I79" s="32"/>
      <c r="J79" s="97">
        <v>578</v>
      </c>
      <c r="K79" s="38" t="s">
        <v>317</v>
      </c>
      <c r="L79" s="289">
        <f t="shared" si="7"/>
        <v>0</v>
      </c>
      <c r="P79" s="196"/>
      <c r="X79" s="552">
        <v>578</v>
      </c>
      <c r="Y79" s="286">
        <v>578</v>
      </c>
      <c r="AA79" s="386">
        <f t="shared" si="9"/>
        <v>0</v>
      </c>
      <c r="AB79" s="286">
        <f t="shared" si="10"/>
        <v>0</v>
      </c>
    </row>
    <row r="80" spans="1:28" s="18" customFormat="1" ht="169.95" customHeight="1" x14ac:dyDescent="0.3">
      <c r="A80" s="190">
        <v>633</v>
      </c>
      <c r="B80" s="235" t="str">
        <f>'Unit Data from Audit Worksheet'!C94</f>
        <v>Water Sewer Net Position Statement</v>
      </c>
      <c r="C80" s="190" t="str">
        <f>'Unit Data from Audit Worksheet'!D94</f>
        <v>Current liabilities (as reported on the Statement of Fund Net Position)
Include:   Current liabilities including current portion of long-term debt.  Deferred inflows should not be included in Current Liabilities  
Enter as positive</v>
      </c>
      <c r="D80" s="102"/>
      <c r="E80" s="669">
        <f>'Unit Data from Audit Worksheet'!F94</f>
        <v>0</v>
      </c>
      <c r="F80"/>
      <c r="G80"/>
      <c r="H80"/>
      <c r="I80" s="666"/>
      <c r="J80" s="218">
        <v>633</v>
      </c>
      <c r="K80" s="193" t="s">
        <v>373</v>
      </c>
      <c r="L80" s="302">
        <f>IF(D80="",E80,D80)</f>
        <v>0</v>
      </c>
      <c r="M80"/>
      <c r="N80" s="292"/>
      <c r="O80" s="292"/>
      <c r="P80" s="196"/>
      <c r="Q80" s="279"/>
      <c r="R80" s="3"/>
      <c r="X80" s="552">
        <v>633</v>
      </c>
      <c r="Y80" s="286">
        <v>633</v>
      </c>
      <c r="AA80" s="386">
        <f t="shared" si="9"/>
        <v>0</v>
      </c>
      <c r="AB80" s="286">
        <f t="shared" si="10"/>
        <v>0</v>
      </c>
    </row>
    <row r="81" spans="1:28" s="18" customFormat="1" ht="130.5" customHeight="1" x14ac:dyDescent="0.3">
      <c r="A81" s="190">
        <v>634</v>
      </c>
      <c r="B81" s="235" t="str">
        <f>'Unit Data from Audit Worksheet'!C95</f>
        <v>Water Sewer Net Position Statement</v>
      </c>
      <c r="C81" s="190" t="str">
        <f>'Unit Data from Audit Worksheet'!D95</f>
        <v>Please enter any bond anticipation notes that are classified as current liabilities and included in account 633 above (amounts entered should agree to the current amount included in the changes to long-term debt note)
Enter as positive</v>
      </c>
      <c r="D81" s="102"/>
      <c r="E81" s="234">
        <f>'Unit Data from Audit Worksheet'!F95</f>
        <v>0</v>
      </c>
      <c r="F81" s="668"/>
      <c r="G81" s="667"/>
      <c r="H81" s="668"/>
      <c r="I81" s="301"/>
      <c r="J81" s="218">
        <v>634</v>
      </c>
      <c r="K81" s="193" t="s">
        <v>374</v>
      </c>
      <c r="L81" s="302">
        <f>IF(D81="",E81,D81)</f>
        <v>0</v>
      </c>
      <c r="M81"/>
      <c r="N81" s="292"/>
      <c r="O81" s="292"/>
      <c r="P81" s="196"/>
      <c r="Q81" s="279"/>
      <c r="R81" s="3"/>
      <c r="X81" s="552">
        <v>634</v>
      </c>
      <c r="Y81" s="286">
        <v>634</v>
      </c>
      <c r="AA81" s="386">
        <f t="shared" si="9"/>
        <v>0</v>
      </c>
      <c r="AB81" s="286">
        <f t="shared" si="10"/>
        <v>0</v>
      </c>
    </row>
    <row r="82" spans="1:28" s="18" customFormat="1" ht="105.75" customHeight="1" x14ac:dyDescent="0.3">
      <c r="A82" s="190">
        <v>635</v>
      </c>
      <c r="B82" s="235" t="str">
        <f>'Unit Data from Audit Worksheet'!C96</f>
        <v>Water Sewer Net Position Statement</v>
      </c>
      <c r="C82" s="190" t="str">
        <f>'Unit Data from Audit Worksheet'!D96</f>
        <v>Please enter any compensated absences that are classified as current liabilities and included in account 633 above (amounts entered should agree to the current amount included in the changes to long-term debt note)
Enter as positive</v>
      </c>
      <c r="D82" s="102"/>
      <c r="E82" s="234">
        <f>'Unit Data from Audit Worksheet'!F96</f>
        <v>0</v>
      </c>
      <c r="F82" s="219"/>
      <c r="G82" s="207"/>
      <c r="H82" s="219"/>
      <c r="I82" s="301"/>
      <c r="J82" s="218">
        <v>635</v>
      </c>
      <c r="K82" s="193" t="s">
        <v>375</v>
      </c>
      <c r="L82" s="302">
        <f>IF(D82="",E82,D82)</f>
        <v>0</v>
      </c>
      <c r="M82"/>
      <c r="N82" s="292"/>
      <c r="O82" s="292"/>
      <c r="P82" s="196"/>
      <c r="Q82" s="279"/>
      <c r="R82" s="3"/>
      <c r="X82" s="552">
        <v>635</v>
      </c>
      <c r="Y82" s="286">
        <v>635</v>
      </c>
      <c r="AA82" s="386">
        <f t="shared" si="9"/>
        <v>0</v>
      </c>
      <c r="AB82" s="286">
        <f t="shared" si="10"/>
        <v>0</v>
      </c>
    </row>
    <row r="83" spans="1:28" s="18" customFormat="1" ht="105.75" customHeight="1" x14ac:dyDescent="0.3">
      <c r="A83" s="190">
        <v>636</v>
      </c>
      <c r="B83" s="235" t="str">
        <f>'Unit Data from Audit Worksheet'!C97</f>
        <v>Water Sewer Net Position Statement</v>
      </c>
      <c r="C83" s="190" t="str">
        <f>'Unit Data from Audit Worksheet'!D97</f>
        <v>Please enter any pension liabilities that are classified as current liabilities and included in account 633 above (amounts entered should agree to the current amount included in the changes to long-term debt note)
Enter as positive</v>
      </c>
      <c r="D83" s="102"/>
      <c r="E83" s="234">
        <f>'Unit Data from Audit Worksheet'!F97</f>
        <v>0</v>
      </c>
      <c r="F83" s="219"/>
      <c r="G83" s="207"/>
      <c r="H83" s="219"/>
      <c r="I83" s="301"/>
      <c r="J83" s="218">
        <v>636</v>
      </c>
      <c r="K83" s="193" t="s">
        <v>370</v>
      </c>
      <c r="L83" s="302">
        <f t="shared" ref="L83:L93" si="11">IF(D83="",E83,D83)</f>
        <v>0</v>
      </c>
      <c r="M83"/>
      <c r="N83" s="292"/>
      <c r="O83" s="292"/>
      <c r="P83" s="196"/>
      <c r="Q83" s="279"/>
      <c r="R83" s="3"/>
      <c r="X83" s="552">
        <v>636</v>
      </c>
      <c r="Y83" s="286">
        <v>636</v>
      </c>
      <c r="AA83" s="386">
        <f t="shared" si="9"/>
        <v>0</v>
      </c>
      <c r="AB83" s="286">
        <f t="shared" si="10"/>
        <v>0</v>
      </c>
    </row>
    <row r="84" spans="1:28" s="18" customFormat="1" ht="59.25" customHeight="1" x14ac:dyDescent="0.3">
      <c r="A84" s="190">
        <v>637</v>
      </c>
      <c r="B84" s="235" t="str">
        <f>'Unit Data from Audit Worksheet'!C98</f>
        <v>Water Sewer Net Position Statement</v>
      </c>
      <c r="C84" s="190" t="str">
        <f>'Unit Data from Audit Worksheet'!D98</f>
        <v>Please enter any current liabilities that are payable from restricted assets and included in account 633 above.
Enter as positive</v>
      </c>
      <c r="D84" s="102"/>
      <c r="E84" s="234">
        <f>'Unit Data from Audit Worksheet'!F98</f>
        <v>0</v>
      </c>
      <c r="F84" s="219"/>
      <c r="G84" s="207"/>
      <c r="H84" s="219"/>
      <c r="I84" s="301"/>
      <c r="J84" s="218">
        <v>637</v>
      </c>
      <c r="K84" s="193" t="s">
        <v>371</v>
      </c>
      <c r="L84" s="302">
        <f t="shared" si="11"/>
        <v>0</v>
      </c>
      <c r="M84"/>
      <c r="N84" s="292"/>
      <c r="O84" s="292"/>
      <c r="P84" s="199"/>
      <c r="Q84" s="279"/>
      <c r="R84" s="3"/>
      <c r="X84" s="552">
        <v>637</v>
      </c>
      <c r="Y84" s="286">
        <v>637</v>
      </c>
      <c r="AA84" s="386">
        <f t="shared" si="9"/>
        <v>0</v>
      </c>
      <c r="AB84" s="286">
        <f t="shared" si="10"/>
        <v>0</v>
      </c>
    </row>
    <row r="85" spans="1:28" s="18" customFormat="1" ht="115.95" customHeight="1" x14ac:dyDescent="0.3">
      <c r="A85" s="190">
        <v>638</v>
      </c>
      <c r="B85" s="235" t="str">
        <f>'Unit Data from Audit Worksheet'!C99</f>
        <v>Water Sewer Net Position Statement</v>
      </c>
      <c r="C85" s="190" t="str">
        <f>'Unit Data from Audit Worksheet'!D99</f>
        <v>Please enter any OPEB liabilities that are classified as current liabilities and included in account 633 above (amounts entered should agree to the current amount included in the changes to long-term debt note)
Enter as positive</v>
      </c>
      <c r="D85" s="102"/>
      <c r="E85" s="234">
        <f>'Unit Data from Audit Worksheet'!F99</f>
        <v>0</v>
      </c>
      <c r="F85" s="219"/>
      <c r="G85" s="207"/>
      <c r="H85" s="219"/>
      <c r="I85" s="301"/>
      <c r="J85" s="218">
        <v>638</v>
      </c>
      <c r="K85" s="193" t="s">
        <v>376</v>
      </c>
      <c r="L85" s="302">
        <f t="shared" si="11"/>
        <v>0</v>
      </c>
      <c r="M85"/>
      <c r="N85" s="292"/>
      <c r="O85" s="292"/>
      <c r="P85" s="196"/>
      <c r="Q85" s="279"/>
      <c r="R85" s="3"/>
      <c r="X85" s="552">
        <v>638</v>
      </c>
      <c r="Y85" s="286">
        <v>638</v>
      </c>
      <c r="AA85" s="386">
        <f t="shared" si="9"/>
        <v>0</v>
      </c>
      <c r="AB85" s="286">
        <f t="shared" si="10"/>
        <v>0</v>
      </c>
    </row>
    <row r="86" spans="1:28" ht="76.5" customHeight="1" x14ac:dyDescent="0.3">
      <c r="A86" s="287">
        <f>'Unit Data from Audit Worksheet'!A100</f>
        <v>383</v>
      </c>
      <c r="B86" s="48" t="str">
        <f>'Unit Data from Audit Worksheet'!C100</f>
        <v>Water Sewer Net Position Statement</v>
      </c>
      <c r="C86" s="288" t="str">
        <f>'Unit Data from Audit Worksheet'!D100</f>
        <v>Unearned revenue (arising from cash receipts) that were included in Current Liabilities in the question in account 633 above.
Enter as positive</v>
      </c>
      <c r="D86" s="134"/>
      <c r="E86" s="142">
        <f>'Unit Data from Audit Worksheet'!F100</f>
        <v>0</v>
      </c>
      <c r="F86" s="41">
        <f>IF(L86&lt;0,"Error: Enter as a positive.",)</f>
        <v>0</v>
      </c>
      <c r="G86" s="65"/>
      <c r="H86" s="223"/>
      <c r="I86" s="32"/>
      <c r="J86" s="36">
        <v>383</v>
      </c>
      <c r="K86" s="45" t="s">
        <v>212</v>
      </c>
      <c r="L86" s="289">
        <f t="shared" si="11"/>
        <v>0</v>
      </c>
      <c r="P86" s="196"/>
      <c r="X86" s="552">
        <v>383</v>
      </c>
      <c r="Y86" s="286">
        <v>383</v>
      </c>
      <c r="AA86" s="386">
        <f t="shared" si="9"/>
        <v>0</v>
      </c>
      <c r="AB86" s="286">
        <f t="shared" si="10"/>
        <v>0</v>
      </c>
    </row>
    <row r="87" spans="1:28" ht="54" customHeight="1" x14ac:dyDescent="0.3">
      <c r="A87" s="212">
        <f>'Unit Data from Audit Worksheet'!A101</f>
        <v>349</v>
      </c>
      <c r="B87" s="225" t="str">
        <f>'Unit Data from Audit Worksheet'!C101</f>
        <v>Water Sewer Net Position Statement</v>
      </c>
      <c r="C87" s="211" t="str">
        <f>'Unit Data from Audit Worksheet'!D101</f>
        <v>Total Liabilities and deferred inflows</v>
      </c>
      <c r="D87" s="134"/>
      <c r="E87" s="231">
        <f>'Unit Data from Audit Worksheet'!F101</f>
        <v>0</v>
      </c>
      <c r="F87" s="224">
        <f>IF(L80&gt;L87,"Error: Please review accts 633&gt;349",)</f>
        <v>0</v>
      </c>
      <c r="G87" s="226"/>
      <c r="H87" s="223"/>
      <c r="I87" s="32"/>
      <c r="J87" s="222">
        <v>349</v>
      </c>
      <c r="K87" s="221" t="s">
        <v>114</v>
      </c>
      <c r="L87" s="289">
        <f t="shared" si="11"/>
        <v>0</v>
      </c>
      <c r="P87" s="196"/>
      <c r="X87" s="552">
        <v>349</v>
      </c>
      <c r="Y87" s="286">
        <v>349</v>
      </c>
      <c r="AA87" s="386">
        <f t="shared" si="9"/>
        <v>0</v>
      </c>
      <c r="AB87" s="286">
        <f t="shared" si="10"/>
        <v>0</v>
      </c>
    </row>
    <row r="88" spans="1:28" ht="56.25" customHeight="1" x14ac:dyDescent="0.3">
      <c r="A88" s="212">
        <f>'Unit Data from Audit Worksheet'!A102</f>
        <v>375</v>
      </c>
      <c r="B88" s="225" t="str">
        <f>'Unit Data from Audit Worksheet'!C102</f>
        <v>Water Sewer Net Position Statement</v>
      </c>
      <c r="C88" s="211" t="str">
        <f>'Unit Data from Audit Worksheet'!D102</f>
        <v>Total Net position, Unrestricted - enter negative unrestricted net position as a negative</v>
      </c>
      <c r="D88" s="134"/>
      <c r="E88" s="231">
        <f>'Unit Data from Audit Worksheet'!F102</f>
        <v>0</v>
      </c>
      <c r="F88" s="224"/>
      <c r="G88" s="226"/>
      <c r="H88" s="223"/>
      <c r="I88" s="32"/>
      <c r="J88" s="222">
        <v>375</v>
      </c>
      <c r="K88" s="221" t="s">
        <v>213</v>
      </c>
      <c r="L88" s="289">
        <f t="shared" si="11"/>
        <v>0</v>
      </c>
      <c r="P88" s="196"/>
      <c r="X88" s="552">
        <v>375</v>
      </c>
      <c r="Y88" s="286">
        <v>375</v>
      </c>
      <c r="AA88" s="386">
        <f t="shared" si="9"/>
        <v>0</v>
      </c>
      <c r="AB88" s="286">
        <f t="shared" si="10"/>
        <v>0</v>
      </c>
    </row>
    <row r="89" spans="1:28" ht="56.25" customHeight="1" x14ac:dyDescent="0.3">
      <c r="A89" s="212">
        <f>'Unit Data from Audit Worksheet'!A103</f>
        <v>83</v>
      </c>
      <c r="B89" s="225" t="str">
        <f>'Unit Data from Audit Worksheet'!C103</f>
        <v>Water Sewer Net Position Statement</v>
      </c>
      <c r="C89" s="211" t="str">
        <f>'Unit Data from Audit Worksheet'!D103</f>
        <v>Total Net position</v>
      </c>
      <c r="D89" s="134"/>
      <c r="E89" s="231">
        <f>'Unit Data from Audit Worksheet'!F103</f>
        <v>0</v>
      </c>
      <c r="F89" s="224">
        <f>IF(+L78-L87-L89=0,,"Error: Total assets less total liabilities do not equal net position acct 381-349-83=0")</f>
        <v>0</v>
      </c>
      <c r="G89" s="84">
        <f>L78-L87-L89</f>
        <v>0</v>
      </c>
      <c r="H89" s="223"/>
      <c r="I89" s="32"/>
      <c r="J89" s="222">
        <v>83</v>
      </c>
      <c r="K89" s="221" t="s">
        <v>94</v>
      </c>
      <c r="L89" s="289">
        <f t="shared" si="11"/>
        <v>0</v>
      </c>
      <c r="O89" s="296" t="e">
        <f>'Unit Data from Audit Worksheet'!E103</f>
        <v>#N/A</v>
      </c>
      <c r="P89" s="196"/>
      <c r="Q89" s="227"/>
      <c r="X89" s="552">
        <v>83</v>
      </c>
      <c r="Y89" s="286">
        <v>83</v>
      </c>
      <c r="AA89" s="386">
        <f t="shared" si="9"/>
        <v>0</v>
      </c>
      <c r="AB89" s="286">
        <f t="shared" si="10"/>
        <v>0</v>
      </c>
    </row>
    <row r="90" spans="1:28" ht="56.25" customHeight="1" x14ac:dyDescent="0.3">
      <c r="A90" s="212">
        <f>'Unit Data from Audit Worksheet'!A105</f>
        <v>90</v>
      </c>
      <c r="B90" s="225" t="str">
        <f>'Unit Data from Audit Worksheet'!C105</f>
        <v>Electric Fund Net Position Statement</v>
      </c>
      <c r="C90" s="211" t="str">
        <f>'Unit Data from Audit Worksheet'!D105</f>
        <v>All Unrestricted Cash and Investments.  
Exclude any restricted cash and investments.</v>
      </c>
      <c r="D90" s="134"/>
      <c r="E90" s="231">
        <f>'Unit Data from Audit Worksheet'!F105</f>
        <v>0</v>
      </c>
      <c r="F90" s="224">
        <f>IF(L90&lt;0,"Error: Number is normally positive.",)</f>
        <v>0</v>
      </c>
      <c r="G90" s="226"/>
      <c r="H90" s="223"/>
      <c r="I90" s="32"/>
      <c r="J90" s="222">
        <v>90</v>
      </c>
      <c r="K90" s="221" t="s">
        <v>214</v>
      </c>
      <c r="L90" s="289">
        <f t="shared" si="11"/>
        <v>0</v>
      </c>
      <c r="P90" s="196"/>
      <c r="X90" s="552">
        <v>90</v>
      </c>
      <c r="Y90" s="286">
        <v>90</v>
      </c>
      <c r="AA90" s="386">
        <f t="shared" si="9"/>
        <v>0</v>
      </c>
      <c r="AB90" s="286">
        <f t="shared" si="10"/>
        <v>0</v>
      </c>
    </row>
    <row r="91" spans="1:28" ht="56.25" customHeight="1" x14ac:dyDescent="0.3">
      <c r="A91" s="212">
        <f>'Unit Data from Audit Worksheet'!A106</f>
        <v>91</v>
      </c>
      <c r="B91" s="225" t="str">
        <f>'Unit Data from Audit Worksheet'!C106</f>
        <v>Electric Fund Net Position Statement</v>
      </c>
      <c r="C91" s="211" t="str">
        <f>'Unit Data from Audit Worksheet'!D106</f>
        <v xml:space="preserve">Customer accounts receivable (net of allowance accounts)
Include billed and unbilled amounts </v>
      </c>
      <c r="D91" s="134"/>
      <c r="E91" s="231">
        <f>'Unit Data from Audit Worksheet'!F106</f>
        <v>0</v>
      </c>
      <c r="F91" s="224">
        <f>IF(L91&lt;0,"Error: Number is normally positive.",)</f>
        <v>0</v>
      </c>
      <c r="G91" s="226"/>
      <c r="H91" s="223"/>
      <c r="I91" s="32"/>
      <c r="J91" s="222">
        <v>91</v>
      </c>
      <c r="K91" s="221" t="s">
        <v>215</v>
      </c>
      <c r="L91" s="289">
        <f t="shared" si="11"/>
        <v>0</v>
      </c>
      <c r="P91" s="196"/>
      <c r="X91" s="552">
        <v>91</v>
      </c>
      <c r="Y91" s="286">
        <v>91</v>
      </c>
      <c r="AA91" s="386">
        <f t="shared" si="9"/>
        <v>0</v>
      </c>
      <c r="AB91" s="286">
        <f t="shared" si="10"/>
        <v>0</v>
      </c>
    </row>
    <row r="92" spans="1:28" ht="56.25" customHeight="1" x14ac:dyDescent="0.3">
      <c r="A92" s="212">
        <f>'Unit Data from Audit Worksheet'!A107</f>
        <v>581</v>
      </c>
      <c r="B92" s="225" t="str">
        <f>'Unit Data from Audit Worksheet'!C107</f>
        <v>Electric Fund Net Position Statement</v>
      </c>
      <c r="C92" s="211" t="str">
        <f>'Unit Data from Audit Worksheet'!D107</f>
        <v>Electric Fund - Advance To:
Interfund loan receivable-portion of repayment plan longer than 12 months</v>
      </c>
      <c r="D92" s="134"/>
      <c r="E92" s="231">
        <f>'Unit Data from Audit Worksheet'!F107</f>
        <v>0</v>
      </c>
      <c r="F92" s="224"/>
      <c r="G92" s="226"/>
      <c r="H92" s="223"/>
      <c r="I92" s="32"/>
      <c r="J92" s="222">
        <v>581</v>
      </c>
      <c r="K92" s="221" t="s">
        <v>318</v>
      </c>
      <c r="L92" s="289">
        <f t="shared" si="11"/>
        <v>0</v>
      </c>
      <c r="P92" s="196"/>
      <c r="X92" s="552">
        <v>581</v>
      </c>
      <c r="Y92" s="286">
        <v>581</v>
      </c>
      <c r="AA92" s="386">
        <f t="shared" si="9"/>
        <v>0</v>
      </c>
      <c r="AB92" s="286">
        <f t="shared" si="10"/>
        <v>0</v>
      </c>
    </row>
    <row r="93" spans="1:28" ht="56.25" customHeight="1" x14ac:dyDescent="0.3">
      <c r="A93" s="212">
        <f>'Unit Data from Audit Worksheet'!A108</f>
        <v>511</v>
      </c>
      <c r="B93" s="225" t="str">
        <f>'Unit Data from Audit Worksheet'!C108</f>
        <v>Electric Fund Net Position Statement</v>
      </c>
      <c r="C93" s="211" t="str">
        <f>'Unit Data from Audit Worksheet'!D108</f>
        <v>Amount of inventories and prepaids</v>
      </c>
      <c r="D93" s="134"/>
      <c r="E93" s="231">
        <f>'Unit Data from Audit Worksheet'!F108</f>
        <v>0</v>
      </c>
      <c r="F93" s="224">
        <f t="shared" ref="F93:F98" si="12">IF(L93&lt;0,"Error: Number is normally positive.",)</f>
        <v>0</v>
      </c>
      <c r="G93" s="226"/>
      <c r="H93" s="223"/>
      <c r="I93" s="32"/>
      <c r="J93" s="222">
        <v>511</v>
      </c>
      <c r="K93" s="221" t="s">
        <v>216</v>
      </c>
      <c r="L93" s="289">
        <f t="shared" si="11"/>
        <v>0</v>
      </c>
      <c r="P93" s="196"/>
      <c r="X93" s="552">
        <v>511</v>
      </c>
      <c r="Y93" s="286">
        <v>511</v>
      </c>
      <c r="AA93" s="386">
        <f t="shared" si="9"/>
        <v>0</v>
      </c>
      <c r="AB93" s="286">
        <f t="shared" si="10"/>
        <v>0</v>
      </c>
    </row>
    <row r="94" spans="1:28" ht="62.25" customHeight="1" x14ac:dyDescent="0.3">
      <c r="A94" s="212">
        <f>'Unit Data from Audit Worksheet'!A109</f>
        <v>657</v>
      </c>
      <c r="B94" s="225" t="str">
        <f>'Unit Data from Audit Worksheet'!C109</f>
        <v>Electric Fund Net Position Statement</v>
      </c>
      <c r="C94" s="211" t="str">
        <f>'Unit Data from Audit Worksheet'!D109</f>
        <v xml:space="preserve">Total Current assets as listed on the Electric Net Position Statement.  
</v>
      </c>
      <c r="D94" s="134"/>
      <c r="E94" s="231">
        <f>'Unit Data from Audit Worksheet'!F109</f>
        <v>0</v>
      </c>
      <c r="F94" s="224">
        <f t="shared" si="12"/>
        <v>0</v>
      </c>
      <c r="G94" s="226"/>
      <c r="H94" s="223"/>
      <c r="I94" s="32"/>
      <c r="J94" s="222">
        <v>657</v>
      </c>
      <c r="K94" s="221" t="s">
        <v>420</v>
      </c>
      <c r="L94" s="302">
        <f>IF(D94="",E94,D94)</f>
        <v>0</v>
      </c>
      <c r="P94" s="196"/>
      <c r="X94" s="552">
        <v>657</v>
      </c>
      <c r="Y94" s="286">
        <v>657</v>
      </c>
      <c r="AA94" s="386">
        <f t="shared" si="9"/>
        <v>0</v>
      </c>
      <c r="AB94" s="286">
        <f t="shared" si="10"/>
        <v>0</v>
      </c>
    </row>
    <row r="95" spans="1:28" ht="62.25" customHeight="1" x14ac:dyDescent="0.3">
      <c r="A95" s="212">
        <f>'Unit Data from Audit Worksheet'!A110</f>
        <v>658</v>
      </c>
      <c r="B95" s="225" t="str">
        <f>'Unit Data from Audit Worksheet'!C110</f>
        <v>Electric Fund Net Position Statement</v>
      </c>
      <c r="C95" s="211" t="str">
        <f>'Unit Data from Audit Worksheet'!D110</f>
        <v>Electric-Any current assets that are restricted (Cash, Accounts Rec., etc..) and included in account 657 above</v>
      </c>
      <c r="D95" s="134"/>
      <c r="E95" s="231">
        <f>'Unit Data from Audit Worksheet'!F110</f>
        <v>0</v>
      </c>
      <c r="F95" s="224">
        <f t="shared" si="12"/>
        <v>0</v>
      </c>
      <c r="G95" s="226"/>
      <c r="H95" s="223"/>
      <c r="I95" s="32"/>
      <c r="J95" s="222">
        <v>658</v>
      </c>
      <c r="K95" s="221" t="s">
        <v>447</v>
      </c>
      <c r="L95" s="302">
        <f>IF(D95="",E95,D95)</f>
        <v>0</v>
      </c>
      <c r="P95" s="196"/>
      <c r="X95" s="552">
        <v>658</v>
      </c>
      <c r="Y95" s="286">
        <v>658</v>
      </c>
      <c r="AA95" s="386">
        <f t="shared" si="9"/>
        <v>0</v>
      </c>
      <c r="AB95" s="286">
        <f t="shared" si="10"/>
        <v>0</v>
      </c>
    </row>
    <row r="96" spans="1:28" ht="39.75" customHeight="1" x14ac:dyDescent="0.3">
      <c r="A96" s="212">
        <f>'Unit Data from Audit Worksheet'!A111</f>
        <v>382</v>
      </c>
      <c r="B96" s="225" t="str">
        <f>'Unit Data from Audit Worksheet'!C111</f>
        <v>Electric Fund Net Position Statement</v>
      </c>
      <c r="C96" s="211" t="str">
        <f>'Unit Data from Audit Worksheet'!D111</f>
        <v>Total Assets and deferred outflows</v>
      </c>
      <c r="D96" s="134"/>
      <c r="E96" s="231">
        <f>'Unit Data from Audit Worksheet'!F111</f>
        <v>0</v>
      </c>
      <c r="F96" s="224">
        <f t="shared" si="12"/>
        <v>0</v>
      </c>
      <c r="G96" s="226"/>
      <c r="H96" s="223"/>
      <c r="I96" s="32"/>
      <c r="J96" s="222">
        <v>382</v>
      </c>
      <c r="K96" s="221" t="s">
        <v>106</v>
      </c>
      <c r="L96" s="289">
        <f>IF(D96="",E96,D96)</f>
        <v>0</v>
      </c>
      <c r="P96" s="196"/>
      <c r="X96" s="552">
        <v>382</v>
      </c>
      <c r="Y96" s="286">
        <v>382</v>
      </c>
      <c r="AA96" s="386">
        <f t="shared" si="9"/>
        <v>0</v>
      </c>
      <c r="AB96" s="286">
        <f t="shared" si="10"/>
        <v>0</v>
      </c>
    </row>
    <row r="97" spans="1:28" ht="39.75" customHeight="1" x14ac:dyDescent="0.3">
      <c r="A97" s="212">
        <f>'Unit Data from Audit Worksheet'!A112</f>
        <v>360</v>
      </c>
      <c r="B97" s="225" t="str">
        <f>'Unit Data from Audit Worksheet'!C112</f>
        <v>Electric Fund Net Position Statement</v>
      </c>
      <c r="C97" s="211" t="str">
        <f>'Unit Data from Audit Worksheet'!D112</f>
        <v>Total liabilities and total deferred inflows</v>
      </c>
      <c r="D97" s="134"/>
      <c r="E97" s="231">
        <f>'Unit Data from Audit Worksheet'!F112</f>
        <v>0</v>
      </c>
      <c r="F97" s="224">
        <f t="shared" si="12"/>
        <v>0</v>
      </c>
      <c r="G97" s="226"/>
      <c r="H97" s="223"/>
      <c r="I97" s="32"/>
      <c r="J97" s="222">
        <v>360</v>
      </c>
      <c r="K97" s="101" t="s">
        <v>117</v>
      </c>
      <c r="L97" s="289">
        <f>IF(D97="",E97,D97)</f>
        <v>0</v>
      </c>
      <c r="P97" s="196"/>
      <c r="X97" s="552">
        <v>360</v>
      </c>
      <c r="Y97" s="286">
        <v>360</v>
      </c>
      <c r="AA97" s="386">
        <f t="shared" si="9"/>
        <v>0</v>
      </c>
      <c r="AB97" s="286">
        <f t="shared" si="10"/>
        <v>0</v>
      </c>
    </row>
    <row r="98" spans="1:28" ht="58.5" customHeight="1" x14ac:dyDescent="0.3">
      <c r="A98" s="212">
        <f>'Unit Data from Audit Worksheet'!A113</f>
        <v>580</v>
      </c>
      <c r="B98" s="225" t="str">
        <f>'Unit Data from Audit Worksheet'!C113</f>
        <v>Electric Fund Net Position Statement</v>
      </c>
      <c r="C98" s="211" t="str">
        <f>'Unit Data from Audit Worksheet'!D113</f>
        <v>Electric Fund - Advance From:
Interfund loans payable-portion of repayment plan longer than 12 months</v>
      </c>
      <c r="D98" s="134"/>
      <c r="E98" s="231">
        <f>'Unit Data from Audit Worksheet'!F113</f>
        <v>0</v>
      </c>
      <c r="F98" s="103">
        <f t="shared" si="12"/>
        <v>0</v>
      </c>
      <c r="G98" s="104"/>
      <c r="H98" s="105"/>
      <c r="I98" s="32"/>
      <c r="J98" s="222">
        <v>580</v>
      </c>
      <c r="K98" s="101" t="s">
        <v>319</v>
      </c>
      <c r="L98" s="289">
        <f>IF(D98="",E98,D98)</f>
        <v>0</v>
      </c>
      <c r="N98" s="297"/>
      <c r="P98" s="200"/>
      <c r="X98" s="552">
        <v>580</v>
      </c>
      <c r="Y98" s="286">
        <v>580</v>
      </c>
      <c r="AA98" s="386">
        <f t="shared" si="9"/>
        <v>0</v>
      </c>
      <c r="AB98" s="286">
        <f t="shared" si="10"/>
        <v>0</v>
      </c>
    </row>
    <row r="99" spans="1:28" s="18" customFormat="1" ht="128.4" customHeight="1" x14ac:dyDescent="0.3">
      <c r="A99" s="212">
        <f>'Unit Data from Audit Worksheet'!A114</f>
        <v>639</v>
      </c>
      <c r="B99" s="225" t="str">
        <f>'Unit Data from Audit Worksheet'!C114</f>
        <v>Electric Fund Net Position Statement</v>
      </c>
      <c r="C99" s="211" t="str">
        <f>'Unit Data from Audit Worksheet'!D114</f>
        <v>Current liabilities (as reported on the Statement of Fund Net Position)
Include:   Current liabilities including current portion of long-term debt.  Deferred inflows should not be included in Current Liabilities   
Enter as a positive</v>
      </c>
      <c r="D99" s="134"/>
      <c r="E99" s="670">
        <f>'Unit Data from Audit Worksheet'!F114</f>
        <v>0</v>
      </c>
      <c r="F99"/>
      <c r="G99"/>
      <c r="H99"/>
      <c r="I99" s="32"/>
      <c r="J99" s="222">
        <v>639</v>
      </c>
      <c r="K99" s="221" t="s">
        <v>377</v>
      </c>
      <c r="L99" s="302">
        <f t="shared" ref="L99:L123" si="13">IF(D99="",E99,D99)</f>
        <v>0</v>
      </c>
      <c r="M99"/>
      <c r="P99" s="196"/>
      <c r="Q99" s="279"/>
      <c r="R99" s="3"/>
      <c r="S99" s="3"/>
      <c r="T99" s="3"/>
      <c r="U99" s="3"/>
      <c r="V99" s="3"/>
      <c r="W99" s="3"/>
      <c r="X99" s="552">
        <v>639</v>
      </c>
      <c r="Y99" s="286">
        <v>639</v>
      </c>
      <c r="Z99" s="3"/>
      <c r="AA99" s="386">
        <f t="shared" si="9"/>
        <v>0</v>
      </c>
      <c r="AB99" s="286">
        <f t="shared" si="10"/>
        <v>0</v>
      </c>
    </row>
    <row r="100" spans="1:28" s="18" customFormat="1" ht="132" customHeight="1" x14ac:dyDescent="0.3">
      <c r="A100" s="212">
        <f>'Unit Data from Audit Worksheet'!A115</f>
        <v>640</v>
      </c>
      <c r="B100" s="225" t="str">
        <f>'Unit Data from Audit Worksheet'!C115</f>
        <v>Electric Fund Net Position Statement</v>
      </c>
      <c r="C100" s="211" t="str">
        <f>'Unit Data from Audit Worksheet'!D115</f>
        <v>Please enter any bond anticipation notes that are classified as current liabilities and included in account 639 above (amounts entered should agree to the current amount included in the changes to long-term debt note)
Enter as a positive</v>
      </c>
      <c r="D100" s="134"/>
      <c r="E100" s="231">
        <f>'Unit Data from Audit Worksheet'!F115</f>
        <v>0</v>
      </c>
      <c r="F100" s="41">
        <f t="shared" ref="F100:F105" si="14">IF(L100&lt;0,"Error: Number is normally positive.",)</f>
        <v>0</v>
      </c>
      <c r="G100" s="65"/>
      <c r="H100" s="223"/>
      <c r="I100" s="32"/>
      <c r="J100" s="222">
        <v>640</v>
      </c>
      <c r="K100" s="221" t="s">
        <v>378</v>
      </c>
      <c r="L100" s="302">
        <f t="shared" si="13"/>
        <v>0</v>
      </c>
      <c r="M100"/>
      <c r="P100" s="196"/>
      <c r="Q100" s="279"/>
      <c r="R100" s="3"/>
      <c r="S100" s="3"/>
      <c r="T100" s="3"/>
      <c r="U100" s="3"/>
      <c r="V100" s="3"/>
      <c r="W100" s="3"/>
      <c r="X100" s="552">
        <v>640</v>
      </c>
      <c r="Y100" s="286">
        <v>640</v>
      </c>
      <c r="Z100" s="3"/>
      <c r="AA100" s="386">
        <f t="shared" si="9"/>
        <v>0</v>
      </c>
      <c r="AB100" s="286">
        <f t="shared" si="10"/>
        <v>0</v>
      </c>
    </row>
    <row r="101" spans="1:28" s="18" customFormat="1" ht="128.4" customHeight="1" x14ac:dyDescent="0.3">
      <c r="A101" s="212">
        <f>'Unit Data from Audit Worksheet'!A116</f>
        <v>641</v>
      </c>
      <c r="B101" s="225" t="str">
        <f>'Unit Data from Audit Worksheet'!C116</f>
        <v>Electric Fund Net Position Statement</v>
      </c>
      <c r="C101" s="211" t="str">
        <f>'Unit Data from Audit Worksheet'!D116</f>
        <v>Please enter any compensated absences that are classified as current liabilities and included in account 639 above (amounts entered should agree to the current amount included in the changes to long-term debt note)
Enter as a positive</v>
      </c>
      <c r="D101" s="134"/>
      <c r="E101" s="231">
        <f>'Unit Data from Audit Worksheet'!F116</f>
        <v>0</v>
      </c>
      <c r="F101" s="224">
        <f t="shared" si="14"/>
        <v>0</v>
      </c>
      <c r="G101" s="226"/>
      <c r="H101" s="223"/>
      <c r="I101" s="32"/>
      <c r="J101" s="222">
        <v>641</v>
      </c>
      <c r="K101" s="221" t="s">
        <v>379</v>
      </c>
      <c r="L101" s="302">
        <f t="shared" si="13"/>
        <v>0</v>
      </c>
      <c r="M101"/>
      <c r="P101" s="201"/>
      <c r="Q101" s="279"/>
      <c r="R101" s="3"/>
      <c r="S101" s="3"/>
      <c r="T101" s="3"/>
      <c r="U101" s="3"/>
      <c r="V101" s="3"/>
      <c r="W101" s="3"/>
      <c r="X101" s="552">
        <v>641</v>
      </c>
      <c r="Y101" s="286">
        <v>641</v>
      </c>
      <c r="Z101" s="3"/>
      <c r="AA101" s="386">
        <f t="shared" si="9"/>
        <v>0</v>
      </c>
      <c r="AB101" s="286">
        <f t="shared" si="10"/>
        <v>0</v>
      </c>
    </row>
    <row r="102" spans="1:28" s="18" customFormat="1" ht="104.25" customHeight="1" x14ac:dyDescent="0.3">
      <c r="A102" s="212">
        <f>'Unit Data from Audit Worksheet'!A117</f>
        <v>642</v>
      </c>
      <c r="B102" s="225" t="str">
        <f>'Unit Data from Audit Worksheet'!C117</f>
        <v>Electric Fund Net Position Statement</v>
      </c>
      <c r="C102" s="211" t="str">
        <f>'Unit Data from Audit Worksheet'!D117</f>
        <v>Please enter any pension liabilities that are classified as current liabilities and included account in 639 above (amounts entered should agree to the current amount included in the changes to long-term debt note)
Enter as a positive</v>
      </c>
      <c r="D102" s="134"/>
      <c r="E102" s="231">
        <f>'Unit Data from Audit Worksheet'!F117</f>
        <v>0</v>
      </c>
      <c r="F102" s="224">
        <f t="shared" si="14"/>
        <v>0</v>
      </c>
      <c r="G102" s="226"/>
      <c r="H102" s="223"/>
      <c r="I102" s="32"/>
      <c r="J102" s="222">
        <v>642</v>
      </c>
      <c r="K102" s="221" t="s">
        <v>380</v>
      </c>
      <c r="L102" s="302">
        <f t="shared" si="13"/>
        <v>0</v>
      </c>
      <c r="M102"/>
      <c r="P102" s="201"/>
      <c r="Q102" s="279"/>
      <c r="R102" s="3"/>
      <c r="S102" s="3"/>
      <c r="T102" s="3"/>
      <c r="U102" s="3"/>
      <c r="V102" s="3"/>
      <c r="W102" s="3"/>
      <c r="X102" s="552">
        <v>642</v>
      </c>
      <c r="Y102" s="286">
        <v>642</v>
      </c>
      <c r="Z102" s="3"/>
      <c r="AA102" s="386">
        <f t="shared" si="9"/>
        <v>0</v>
      </c>
      <c r="AB102" s="286">
        <f t="shared" si="10"/>
        <v>0</v>
      </c>
    </row>
    <row r="103" spans="1:28" s="18" customFormat="1" ht="97.95" customHeight="1" x14ac:dyDescent="0.3">
      <c r="A103" s="212">
        <f>'Unit Data from Audit Worksheet'!A118</f>
        <v>643</v>
      </c>
      <c r="B103" s="225" t="str">
        <f>'Unit Data from Audit Worksheet'!C118</f>
        <v>Electric Fund Net Position Statement</v>
      </c>
      <c r="C103" s="211" t="str">
        <f>'Unit Data from Audit Worksheet'!D118</f>
        <v>Please enter any current liabilities that are payable from restricted assets and included in account 639 above. 
Enter as a positive</v>
      </c>
      <c r="D103" s="134"/>
      <c r="E103" s="231">
        <f>'Unit Data from Audit Worksheet'!F118</f>
        <v>0</v>
      </c>
      <c r="F103" s="224">
        <f t="shared" si="14"/>
        <v>0</v>
      </c>
      <c r="G103" s="226"/>
      <c r="H103" s="223"/>
      <c r="I103" s="32"/>
      <c r="J103" s="222">
        <v>643</v>
      </c>
      <c r="K103" s="221" t="s">
        <v>381</v>
      </c>
      <c r="L103" s="302">
        <f t="shared" si="13"/>
        <v>0</v>
      </c>
      <c r="M103"/>
      <c r="P103" s="196"/>
      <c r="Q103" s="279"/>
      <c r="R103" s="3"/>
      <c r="S103" s="3"/>
      <c r="T103" s="3"/>
      <c r="U103" s="3"/>
      <c r="V103" s="3"/>
      <c r="W103" s="3"/>
      <c r="X103" s="552">
        <v>643</v>
      </c>
      <c r="Y103" s="286">
        <v>643</v>
      </c>
      <c r="Z103" s="3"/>
      <c r="AA103" s="386">
        <f t="shared" si="9"/>
        <v>0</v>
      </c>
      <c r="AB103" s="286">
        <f t="shared" si="10"/>
        <v>0</v>
      </c>
    </row>
    <row r="104" spans="1:28" s="18" customFormat="1" ht="102" customHeight="1" x14ac:dyDescent="0.3">
      <c r="A104" s="212">
        <f>'Unit Data from Audit Worksheet'!A119</f>
        <v>644</v>
      </c>
      <c r="B104" s="225" t="str">
        <f>'Unit Data from Audit Worksheet'!C119</f>
        <v>Electric Fund Net Position Statement</v>
      </c>
      <c r="C104" s="211" t="str">
        <f>'Unit Data from Audit Worksheet'!D119</f>
        <v>Please enter any OPEB liabilities that are classified as current liabilities and included in account 639 above (amounts entered should agree to the current amount included in the changes to long-term debt note)
Enter as a positive</v>
      </c>
      <c r="D104" s="134"/>
      <c r="E104" s="231">
        <f>'Unit Data from Audit Worksheet'!F119</f>
        <v>0</v>
      </c>
      <c r="F104" s="224">
        <f t="shared" si="14"/>
        <v>0</v>
      </c>
      <c r="G104" s="226"/>
      <c r="H104" s="223"/>
      <c r="I104" s="32"/>
      <c r="J104" s="182">
        <v>644</v>
      </c>
      <c r="K104" s="221" t="s">
        <v>382</v>
      </c>
      <c r="L104" s="302">
        <f t="shared" si="13"/>
        <v>0</v>
      </c>
      <c r="M104"/>
      <c r="P104" s="196"/>
      <c r="Q104" s="279"/>
      <c r="R104" s="3"/>
      <c r="S104" s="3"/>
      <c r="T104" s="3"/>
      <c r="U104" s="3"/>
      <c r="V104" s="3"/>
      <c r="W104" s="3"/>
      <c r="X104" s="552">
        <v>644</v>
      </c>
      <c r="Y104" s="286">
        <v>644</v>
      </c>
      <c r="Z104" s="3"/>
      <c r="AA104" s="386">
        <f t="shared" si="9"/>
        <v>0</v>
      </c>
      <c r="AB104" s="286">
        <f t="shared" si="10"/>
        <v>0</v>
      </c>
    </row>
    <row r="105" spans="1:28" ht="96" customHeight="1" x14ac:dyDescent="0.3">
      <c r="A105" s="212">
        <f>+'Unit Data from Audit Worksheet'!A120</f>
        <v>384</v>
      </c>
      <c r="B105" s="212" t="str">
        <f>+'Unit Data from Audit Worksheet'!C120</f>
        <v>Electric Fund Net Position Statement</v>
      </c>
      <c r="C105" s="212" t="str">
        <f>+'Unit Data from Audit Worksheet'!D120</f>
        <v>Unearned revenue (arising from cash receipts) that were included in Current Liabilities in account 639 above.
Enter as a positive</v>
      </c>
      <c r="D105" s="134"/>
      <c r="E105" s="231">
        <f>+'Unit Data from Audit Worksheet'!F120</f>
        <v>0</v>
      </c>
      <c r="F105" s="224">
        <f t="shared" si="14"/>
        <v>0</v>
      </c>
      <c r="G105" s="226"/>
      <c r="H105" s="223"/>
      <c r="I105" s="32"/>
      <c r="J105" s="222">
        <v>384</v>
      </c>
      <c r="K105" s="52" t="s">
        <v>116</v>
      </c>
      <c r="L105" s="289">
        <f t="shared" si="13"/>
        <v>0</v>
      </c>
      <c r="P105" s="196"/>
      <c r="X105" s="552">
        <v>384</v>
      </c>
      <c r="Y105" s="286">
        <v>384</v>
      </c>
      <c r="AA105" s="386">
        <f t="shared" si="9"/>
        <v>0</v>
      </c>
      <c r="AB105" s="286">
        <f t="shared" si="10"/>
        <v>0</v>
      </c>
    </row>
    <row r="106" spans="1:28" ht="72" x14ac:dyDescent="0.3">
      <c r="A106" s="212">
        <f>+'Unit Data from Audit Worksheet'!A121</f>
        <v>361</v>
      </c>
      <c r="B106" s="212" t="str">
        <f>+'Unit Data from Audit Worksheet'!C121</f>
        <v>Electric Fund Net Position Statement</v>
      </c>
      <c r="C106" s="212" t="str">
        <f>+'Unit Data from Audit Worksheet'!D121</f>
        <v>Total net position, unrestricted - Amount of negative unrestricted net position should be entered as a negative amount and the amount of positive unrestricted net position should be entered as a positive amount.</v>
      </c>
      <c r="D106" s="134"/>
      <c r="E106" s="231">
        <f>+'Unit Data from Audit Worksheet'!F121</f>
        <v>0</v>
      </c>
      <c r="F106" s="224"/>
      <c r="G106" s="226"/>
      <c r="H106" s="223"/>
      <c r="I106" s="32"/>
      <c r="J106" s="222">
        <v>361</v>
      </c>
      <c r="K106" s="221" t="s">
        <v>98</v>
      </c>
      <c r="L106" s="289">
        <f t="shared" si="13"/>
        <v>0</v>
      </c>
      <c r="P106" s="196"/>
      <c r="X106" s="552">
        <v>361</v>
      </c>
      <c r="Y106" s="286">
        <v>361</v>
      </c>
      <c r="AA106" s="386">
        <f t="shared" si="9"/>
        <v>0</v>
      </c>
      <c r="AB106" s="286">
        <f t="shared" si="10"/>
        <v>0</v>
      </c>
    </row>
    <row r="107" spans="1:28" ht="46.5" customHeight="1" x14ac:dyDescent="0.3">
      <c r="A107" s="212">
        <f>'Unit Data from Audit Worksheet'!A122</f>
        <v>362</v>
      </c>
      <c r="B107" s="225" t="str">
        <f>'Unit Data from Audit Worksheet'!C122</f>
        <v>Electric Fund Net Position Statement</v>
      </c>
      <c r="C107" s="211" t="str">
        <f>'Unit Data from Audit Worksheet'!D122</f>
        <v>Total net position</v>
      </c>
      <c r="D107" s="134"/>
      <c r="E107" s="231">
        <f>'Unit Data from Audit Worksheet'!F122</f>
        <v>0</v>
      </c>
      <c r="F107" s="224">
        <f>IF(L96-L97-L107=0,,"Error: Total assets less total liabilities do not equal net position acct 382-360-362=0")</f>
        <v>0</v>
      </c>
      <c r="G107" s="84">
        <f>+L96-L97-L107</f>
        <v>0</v>
      </c>
      <c r="H107" s="223"/>
      <c r="I107" s="32"/>
      <c r="J107" s="222">
        <v>362</v>
      </c>
      <c r="K107" s="221" t="s">
        <v>99</v>
      </c>
      <c r="L107" s="289">
        <f t="shared" si="13"/>
        <v>0</v>
      </c>
      <c r="O107" s="296" t="e">
        <f>'Unit Data from Audit Worksheet'!E122</f>
        <v>#N/A</v>
      </c>
      <c r="P107" s="196"/>
      <c r="X107" s="552">
        <v>362</v>
      </c>
      <c r="Y107" s="286">
        <v>362</v>
      </c>
      <c r="AA107" s="386">
        <f t="shared" si="9"/>
        <v>0</v>
      </c>
      <c r="AB107" s="286">
        <f t="shared" si="10"/>
        <v>0</v>
      </c>
    </row>
    <row r="108" spans="1:28" ht="61.5" customHeight="1" x14ac:dyDescent="0.3">
      <c r="A108" s="212">
        <f>'Unit Data from Audit Worksheet'!A125</f>
        <v>88</v>
      </c>
      <c r="B108" s="225" t="str">
        <f>'Unit Data from Audit Worksheet'!C125</f>
        <v>Water Sewer Revenue, Expenses &amp; Changes in Fund Net Position</v>
      </c>
      <c r="C108" s="211" t="str">
        <f>'Unit Data from Audit Worksheet'!D125</f>
        <v>Charges for services. 
Exclude tap, capacity fees and other misc. income .</v>
      </c>
      <c r="D108" s="134"/>
      <c r="E108" s="231">
        <f>'Unit Data from Audit Worksheet'!F125</f>
        <v>0</v>
      </c>
      <c r="F108" s="224"/>
      <c r="G108" s="226"/>
      <c r="H108" s="223"/>
      <c r="I108" s="32"/>
      <c r="J108" s="222">
        <v>88</v>
      </c>
      <c r="K108" s="221" t="s">
        <v>217</v>
      </c>
      <c r="L108" s="289">
        <f t="shared" si="13"/>
        <v>0</v>
      </c>
      <c r="P108" s="196"/>
      <c r="X108" s="552">
        <v>88</v>
      </c>
      <c r="Y108" s="286">
        <v>88</v>
      </c>
      <c r="AA108" s="386">
        <f t="shared" si="9"/>
        <v>0</v>
      </c>
      <c r="AB108" s="286">
        <f t="shared" si="10"/>
        <v>0</v>
      </c>
    </row>
    <row r="109" spans="1:28" ht="72" customHeight="1" x14ac:dyDescent="0.3">
      <c r="A109" s="212">
        <f>'Unit Data from Audit Worksheet'!A126</f>
        <v>84</v>
      </c>
      <c r="B109" s="225" t="str">
        <f>'Unit Data from Audit Worksheet'!C126</f>
        <v>Water Sewer Revenue, Expenses &amp; Changes in Fund Net Position</v>
      </c>
      <c r="C109" s="211" t="str">
        <f>'Unit Data from Audit Worksheet'!D126</f>
        <v>Total Operating revenues</v>
      </c>
      <c r="D109" s="134"/>
      <c r="E109" s="231">
        <f>'Unit Data from Audit Worksheet'!F126</f>
        <v>0</v>
      </c>
      <c r="F109" s="224" t="str">
        <f>IF(L108&gt;L109,"Error: Charges for services exceed total operating revenues. Acct # 88&gt;84"," ")</f>
        <v xml:space="preserve"> </v>
      </c>
      <c r="G109" s="226" t="str">
        <f>IF(Q90=1," Included in error count"," ")</f>
        <v xml:space="preserve"> </v>
      </c>
      <c r="H109" s="223"/>
      <c r="I109" s="32"/>
      <c r="J109" s="222">
        <v>84</v>
      </c>
      <c r="K109" s="221" t="s">
        <v>218</v>
      </c>
      <c r="L109" s="289">
        <f t="shared" si="13"/>
        <v>0</v>
      </c>
      <c r="P109" s="196"/>
      <c r="X109" s="552">
        <v>84</v>
      </c>
      <c r="Y109" s="286">
        <v>84</v>
      </c>
      <c r="AA109" s="386">
        <f t="shared" si="9"/>
        <v>0</v>
      </c>
      <c r="AB109" s="286">
        <f t="shared" si="10"/>
        <v>0</v>
      </c>
    </row>
    <row r="110" spans="1:28" ht="72" customHeight="1" x14ac:dyDescent="0.3">
      <c r="A110" s="212">
        <f>'Unit Data from Audit Worksheet'!A127</f>
        <v>49</v>
      </c>
      <c r="B110" s="225" t="str">
        <f>'Unit Data from Audit Worksheet'!C127</f>
        <v>Water Sewer Revenue, Expenses &amp; Changes in Fund Net Position</v>
      </c>
      <c r="C110" s="211" t="str">
        <f>'Unit Data from Audit Worksheet'!D127</f>
        <v>Depreciation and amortization expense</v>
      </c>
      <c r="D110" s="134"/>
      <c r="E110" s="231">
        <f>'Unit Data from Audit Worksheet'!F127</f>
        <v>0</v>
      </c>
      <c r="F110" s="224">
        <f>IF(L110&lt;0,"Error: Number is normally positive.",)</f>
        <v>0</v>
      </c>
      <c r="G110" s="226"/>
      <c r="H110" s="223"/>
      <c r="I110" s="32"/>
      <c r="J110" s="222">
        <v>49</v>
      </c>
      <c r="K110" s="221" t="s">
        <v>219</v>
      </c>
      <c r="L110" s="289">
        <f t="shared" si="13"/>
        <v>0</v>
      </c>
      <c r="O110" s="296"/>
      <c r="P110" s="196"/>
      <c r="X110" s="552">
        <v>49</v>
      </c>
      <c r="Y110" s="286">
        <v>49</v>
      </c>
      <c r="AA110" s="386">
        <f t="shared" si="9"/>
        <v>0</v>
      </c>
      <c r="AB110" s="286">
        <f t="shared" si="10"/>
        <v>0</v>
      </c>
    </row>
    <row r="111" spans="1:28" ht="48" customHeight="1" x14ac:dyDescent="0.3">
      <c r="A111" s="212">
        <f>'Unit Data from Audit Worksheet'!A128</f>
        <v>85</v>
      </c>
      <c r="B111" s="225" t="str">
        <f>'Unit Data from Audit Worksheet'!C128</f>
        <v>Water Sewer Revenue, Expenses &amp; Changes in Fund Net Position</v>
      </c>
      <c r="C111" s="211" t="str">
        <f>'Unit Data from Audit Worksheet'!D128</f>
        <v>Total Operating expenses</v>
      </c>
      <c r="D111" s="134"/>
      <c r="E111" s="231">
        <f>'Unit Data from Audit Worksheet'!F128</f>
        <v>0</v>
      </c>
      <c r="F111" s="224"/>
      <c r="G111" s="226"/>
      <c r="H111" s="223"/>
      <c r="I111" s="32"/>
      <c r="J111" s="222">
        <v>85</v>
      </c>
      <c r="K111" s="221" t="s">
        <v>220</v>
      </c>
      <c r="L111" s="289">
        <f t="shared" si="13"/>
        <v>0</v>
      </c>
      <c r="P111" s="196"/>
      <c r="X111" s="552">
        <v>85</v>
      </c>
      <c r="Y111" s="286">
        <v>85</v>
      </c>
      <c r="AA111" s="386">
        <f t="shared" si="9"/>
        <v>0</v>
      </c>
      <c r="AB111" s="286">
        <f t="shared" si="10"/>
        <v>0</v>
      </c>
    </row>
    <row r="112" spans="1:28" ht="48" customHeight="1" x14ac:dyDescent="0.3">
      <c r="A112" s="212">
        <f>'Unit Data from Audit Worksheet'!A129</f>
        <v>89</v>
      </c>
      <c r="B112" s="225" t="str">
        <f>'Unit Data from Audit Worksheet'!C129</f>
        <v>Water Sewer Revenue, Expenses &amp; Changes in Fund Net Position</v>
      </c>
      <c r="C112" s="211" t="str">
        <f>'Unit Data from Audit Worksheet'!D129</f>
        <v>Interest expense</v>
      </c>
      <c r="D112" s="134"/>
      <c r="E112" s="231">
        <f>'Unit Data from Audit Worksheet'!F129</f>
        <v>0</v>
      </c>
      <c r="F112" s="224"/>
      <c r="G112" s="226"/>
      <c r="H112" s="223"/>
      <c r="I112" s="32"/>
      <c r="J112" s="222">
        <v>89</v>
      </c>
      <c r="K112" s="221" t="s">
        <v>221</v>
      </c>
      <c r="L112" s="289">
        <f t="shared" si="13"/>
        <v>0</v>
      </c>
      <c r="P112" s="196"/>
      <c r="X112" s="552">
        <v>89</v>
      </c>
      <c r="Y112" s="286">
        <v>89</v>
      </c>
      <c r="AA112" s="386">
        <f t="shared" si="9"/>
        <v>0</v>
      </c>
      <c r="AB112" s="286">
        <f t="shared" si="10"/>
        <v>0</v>
      </c>
    </row>
    <row r="113" spans="1:28" ht="48" customHeight="1" x14ac:dyDescent="0.3">
      <c r="A113" s="212">
        <f>'Unit Data from Audit Worksheet'!A130</f>
        <v>350</v>
      </c>
      <c r="B113" s="225" t="str">
        <f>'Unit Data from Audit Worksheet'!C130</f>
        <v>Water Sewer Revenue, Expenses &amp; Changes in Fund Net Position</v>
      </c>
      <c r="C113" s="211" t="str">
        <f>'Unit Data from Audit Worksheet'!D130</f>
        <v>Total all non-operating revenues  
Exclude Capital contributions.</v>
      </c>
      <c r="D113" s="134"/>
      <c r="E113" s="231">
        <f>'Unit Data from Audit Worksheet'!F130</f>
        <v>0</v>
      </c>
      <c r="F113" s="224"/>
      <c r="G113" s="226"/>
      <c r="H113" s="223"/>
      <c r="I113" s="32"/>
      <c r="J113" s="222">
        <v>350</v>
      </c>
      <c r="K113" s="221" t="s">
        <v>222</v>
      </c>
      <c r="L113" s="289">
        <f t="shared" si="13"/>
        <v>0</v>
      </c>
      <c r="P113" s="196"/>
      <c r="X113" s="552">
        <v>350</v>
      </c>
      <c r="Y113" s="286">
        <v>350</v>
      </c>
      <c r="AA113" s="386">
        <f t="shared" si="9"/>
        <v>0</v>
      </c>
      <c r="AB113" s="286">
        <f t="shared" si="10"/>
        <v>0</v>
      </c>
    </row>
    <row r="114" spans="1:28" ht="48" customHeight="1" x14ac:dyDescent="0.3">
      <c r="A114" s="212">
        <f>'Unit Data from Audit Worksheet'!A131</f>
        <v>351</v>
      </c>
      <c r="B114" s="225" t="str">
        <f>'Unit Data from Audit Worksheet'!C131</f>
        <v>Water Sewer Revenue, Expenses &amp; Changes in Fund Net Position</v>
      </c>
      <c r="C114" s="211" t="str">
        <f>'Unit Data from Audit Worksheet'!D131</f>
        <v>Total all non-operating expenses.  
Include any negative special, extraordinary, or capital contribution.</v>
      </c>
      <c r="D114" s="134"/>
      <c r="E114" s="231">
        <f>'Unit Data from Audit Worksheet'!F131</f>
        <v>0</v>
      </c>
      <c r="F114" s="224"/>
      <c r="G114" s="226"/>
      <c r="H114" s="223"/>
      <c r="I114" s="32"/>
      <c r="J114" s="222">
        <v>351</v>
      </c>
      <c r="K114" s="221" t="s">
        <v>223</v>
      </c>
      <c r="L114" s="289">
        <f t="shared" si="13"/>
        <v>0</v>
      </c>
      <c r="P114" s="196"/>
      <c r="X114" s="552">
        <v>351</v>
      </c>
      <c r="Y114" s="286">
        <v>351</v>
      </c>
      <c r="AA114" s="386">
        <f t="shared" si="9"/>
        <v>0</v>
      </c>
      <c r="AB114" s="286">
        <f t="shared" si="10"/>
        <v>0</v>
      </c>
    </row>
    <row r="115" spans="1:28" ht="66" customHeight="1" x14ac:dyDescent="0.3">
      <c r="A115" s="212">
        <f>'Unit Data from Audit Worksheet'!A132</f>
        <v>191</v>
      </c>
      <c r="B115" s="225" t="str">
        <f>'Unit Data from Audit Worksheet'!C132</f>
        <v>Water Sewer Revenue, Expenses &amp; Changes in Fund Net Position</v>
      </c>
      <c r="C115" s="211" t="str">
        <f>'Unit Data from Audit Worksheet'!D132</f>
        <v>Capital contributions. Only include positive capital contributions.  Negative capital contributions should be included with 'Total all non-operating expenses.'</v>
      </c>
      <c r="D115" s="134"/>
      <c r="E115" s="231">
        <f>'Unit Data from Audit Worksheet'!F132</f>
        <v>0</v>
      </c>
      <c r="F115" s="224">
        <f>IF(L115&lt;0,"Error: Enter as a positive.",)</f>
        <v>0</v>
      </c>
      <c r="G115" s="226"/>
      <c r="H115" s="223"/>
      <c r="I115" s="32"/>
      <c r="J115" s="222">
        <v>191</v>
      </c>
      <c r="K115" s="221" t="s">
        <v>224</v>
      </c>
      <c r="L115" s="289">
        <f t="shared" si="13"/>
        <v>0</v>
      </c>
      <c r="P115" s="196"/>
      <c r="S115" s="18"/>
      <c r="T115" s="18"/>
      <c r="U115" s="18"/>
      <c r="V115" s="18"/>
      <c r="X115" s="552">
        <v>191</v>
      </c>
      <c r="Y115" s="286">
        <v>191</v>
      </c>
      <c r="Z115" s="18"/>
      <c r="AA115" s="386">
        <f t="shared" si="9"/>
        <v>0</v>
      </c>
      <c r="AB115" s="286">
        <f t="shared" si="10"/>
        <v>0</v>
      </c>
    </row>
    <row r="116" spans="1:28" s="386" customFormat="1" ht="66.599999999999994" customHeight="1" x14ac:dyDescent="0.3">
      <c r="A116" s="212">
        <f>'Unit Data from Audit Worksheet'!A133</f>
        <v>1053</v>
      </c>
      <c r="B116" s="225" t="str">
        <f>'Unit Data from Audit Worksheet'!C133</f>
        <v>Water &amp; Sewer Revenue, Expenses &amp; Changes in Fund Net Position</v>
      </c>
      <c r="C116" s="211" t="str">
        <f>'Unit Data from Audit Worksheet'!D133</f>
        <v>Mark to Market unrealized losses in the Water and Sewer Fund. (enter as a negative number)</v>
      </c>
      <c r="D116" s="134"/>
      <c r="E116" s="231">
        <f>'Unit Data from Audit Worksheet'!F133</f>
        <v>0</v>
      </c>
      <c r="F116" s="224"/>
      <c r="G116" s="226"/>
      <c r="H116" s="223"/>
      <c r="I116" s="32"/>
      <c r="J116" s="222">
        <v>1053</v>
      </c>
      <c r="K116" s="211" t="s">
        <v>1609</v>
      </c>
      <c r="L116" s="295">
        <f t="shared" si="13"/>
        <v>0</v>
      </c>
      <c r="M116"/>
      <c r="P116" s="196"/>
      <c r="Q116" s="279"/>
      <c r="S116" s="18"/>
      <c r="T116" s="18"/>
      <c r="U116" s="18"/>
      <c r="V116" s="18"/>
      <c r="X116" s="552"/>
      <c r="Y116" s="286"/>
      <c r="Z116" s="18"/>
      <c r="AA116" s="386">
        <f t="shared" si="9"/>
        <v>0</v>
      </c>
      <c r="AB116" s="286"/>
    </row>
    <row r="117" spans="1:28" ht="47.25" customHeight="1" x14ac:dyDescent="0.3">
      <c r="A117" s="212">
        <f>'Unit Data from Audit Worksheet'!A134</f>
        <v>352</v>
      </c>
      <c r="B117" s="225" t="str">
        <f>'Unit Data from Audit Worksheet'!C134</f>
        <v>Water Sewer Revenue, Expenses &amp; Changes in Fund Net Position</v>
      </c>
      <c r="C117" s="211" t="str">
        <f>'Unit Data from Audit Worksheet'!D134</f>
        <v>Total Transfers in - all funds (operating and capital)</v>
      </c>
      <c r="D117" s="134"/>
      <c r="E117" s="231">
        <f>'Unit Data from Audit Worksheet'!F134</f>
        <v>0</v>
      </c>
      <c r="F117" s="224"/>
      <c r="G117" s="226"/>
      <c r="H117" s="223"/>
      <c r="I117" s="32"/>
      <c r="J117" s="222">
        <v>352</v>
      </c>
      <c r="K117" s="221" t="s">
        <v>225</v>
      </c>
      <c r="L117" s="289">
        <f t="shared" si="13"/>
        <v>0</v>
      </c>
      <c r="P117" s="196"/>
      <c r="X117" s="552">
        <v>352</v>
      </c>
      <c r="Y117" s="286">
        <v>352</v>
      </c>
      <c r="AA117" s="386">
        <f t="shared" si="9"/>
        <v>0</v>
      </c>
      <c r="AB117" s="286">
        <f t="shared" si="10"/>
        <v>0</v>
      </c>
    </row>
    <row r="118" spans="1:28" ht="70.5" customHeight="1" x14ac:dyDescent="0.3">
      <c r="A118" s="212">
        <f>'Unit Data from Audit Worksheet'!A135</f>
        <v>986</v>
      </c>
      <c r="B118" s="225" t="str">
        <f>'Unit Data from Audit Worksheet'!C135</f>
        <v>Water Sewer Revenue, Expenses &amp; Changes in Fund Net Position</v>
      </c>
      <c r="C118" s="211" t="str">
        <f>'Unit Data from Audit Worksheet'!D135</f>
        <v>Of the transfers-in above in acct # 352, list amount of transfers-in that were used to support Water Sewer operations  (exclude capital transfers)</v>
      </c>
      <c r="D118" s="134"/>
      <c r="E118" s="231">
        <f>'Unit Data from Audit Worksheet'!F135</f>
        <v>0</v>
      </c>
      <c r="F118" s="224"/>
      <c r="G118" s="226"/>
      <c r="H118" s="223"/>
      <c r="I118" s="32"/>
      <c r="J118" s="222">
        <v>986</v>
      </c>
      <c r="K118" s="211" t="s">
        <v>594</v>
      </c>
      <c r="L118" s="295">
        <f t="shared" si="13"/>
        <v>0</v>
      </c>
      <c r="P118" s="196"/>
      <c r="X118" s="552">
        <v>986</v>
      </c>
      <c r="Y118" s="286">
        <v>986</v>
      </c>
      <c r="AA118" s="386">
        <f t="shared" si="9"/>
        <v>0</v>
      </c>
      <c r="AB118" s="286">
        <f t="shared" si="10"/>
        <v>0</v>
      </c>
    </row>
    <row r="119" spans="1:28" ht="47.25" customHeight="1" x14ac:dyDescent="0.3">
      <c r="A119" s="212">
        <f>'Unit Data from Audit Worksheet'!A136</f>
        <v>353</v>
      </c>
      <c r="B119" s="225" t="str">
        <f>'Unit Data from Audit Worksheet'!C136</f>
        <v>Water Sewer Revenue, Expenses &amp; Changes in Fund Net Position</v>
      </c>
      <c r="C119" s="211" t="str">
        <f>'Unit Data from Audit Worksheet'!D136</f>
        <v>Total Transfers out</v>
      </c>
      <c r="D119" s="134"/>
      <c r="E119" s="231">
        <f>'Unit Data from Audit Worksheet'!F136</f>
        <v>0</v>
      </c>
      <c r="F119" s="224">
        <f>IF(L119&lt;0,"Error: Enter as a positive.",)</f>
        <v>0</v>
      </c>
      <c r="G119" s="226"/>
      <c r="H119" s="223"/>
      <c r="I119" s="32"/>
      <c r="J119" s="34">
        <v>353</v>
      </c>
      <c r="K119" s="221" t="s">
        <v>226</v>
      </c>
      <c r="L119" s="289">
        <f t="shared" si="13"/>
        <v>0</v>
      </c>
      <c r="P119" s="196"/>
      <c r="X119" s="552">
        <v>353</v>
      </c>
      <c r="Y119" s="286">
        <v>353</v>
      </c>
      <c r="AA119" s="386">
        <f t="shared" si="9"/>
        <v>0</v>
      </c>
      <c r="AB119" s="286">
        <f t="shared" si="10"/>
        <v>0</v>
      </c>
    </row>
    <row r="120" spans="1:28" ht="72.75" customHeight="1" x14ac:dyDescent="0.3">
      <c r="A120" s="212">
        <f>'Unit Data from Audit Worksheet'!A137</f>
        <v>50</v>
      </c>
      <c r="B120" s="225" t="str">
        <f>'Unit Data from Audit Worksheet'!C137</f>
        <v>Water Sewer Revenue, Expenses &amp; Changes in Fund Net Position</v>
      </c>
      <c r="C120" s="211" t="str">
        <f>'Unit Data from Audit Worksheet'!D137</f>
        <v>Change in net position - Increase in net position is recorded as a positive and a (Decrease) in net position is recorded as a negative.</v>
      </c>
      <c r="D120" s="134"/>
      <c r="E120" s="139">
        <f>'Unit Data from Audit Worksheet'!F137</f>
        <v>0</v>
      </c>
      <c r="F120" s="224">
        <f>IF(L109-L111+L113-L114+L117+L115-L119-L120=0,,"Error:Total revenues less total expenses do not equal total change in net position. Acct # 84-85+350-351+191+352-353-50")</f>
        <v>0</v>
      </c>
      <c r="G120" s="84">
        <f>+L109-L111+L113-L114+L117+L115-L119-L120</f>
        <v>0</v>
      </c>
      <c r="H120" s="223"/>
      <c r="I120" s="32"/>
      <c r="J120" s="222">
        <v>50</v>
      </c>
      <c r="K120" s="221" t="s">
        <v>92</v>
      </c>
      <c r="L120" s="289">
        <f t="shared" si="13"/>
        <v>0</v>
      </c>
      <c r="P120" s="196"/>
      <c r="X120" s="552">
        <v>50</v>
      </c>
      <c r="Y120" s="286">
        <v>50</v>
      </c>
      <c r="AA120" s="386">
        <f t="shared" si="9"/>
        <v>0</v>
      </c>
      <c r="AB120" s="286">
        <f t="shared" si="10"/>
        <v>0</v>
      </c>
    </row>
    <row r="121" spans="1:28" ht="144" customHeight="1" x14ac:dyDescent="0.3">
      <c r="A121" s="212">
        <f>'Unit Data from Audit Worksheet'!A138</f>
        <v>377</v>
      </c>
      <c r="B121" s="225" t="str">
        <f>'Unit Data from Audit Worksheet'!C138</f>
        <v>Water Sewer Revenue, Expenses &amp; Changes in Fund Net Position</v>
      </c>
      <c r="C121" s="211" t="str">
        <f>'Unit Data from Audit Worksheet'!D138</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Worksheet'!F138</f>
        <v>0</v>
      </c>
      <c r="F121" s="80" t="e">
        <f>IF(L89-L120-L121=O89,,"Error:Beginning Balance does not agree with out records.Acct # 83-50-377 = PY83")</f>
        <v>#N/A</v>
      </c>
      <c r="G121" s="84" t="e">
        <f>+L89-L120-L121-O89</f>
        <v>#N/A</v>
      </c>
      <c r="H121" s="223" t="e">
        <f>'Unit Data from Audit Worksheet'!I138</f>
        <v>#N/A</v>
      </c>
      <c r="I121" s="32"/>
      <c r="J121" s="222">
        <v>377</v>
      </c>
      <c r="K121" s="221" t="s">
        <v>101</v>
      </c>
      <c r="L121" s="289">
        <f t="shared" si="13"/>
        <v>0</v>
      </c>
      <c r="P121" s="196"/>
      <c r="X121" s="552">
        <v>377</v>
      </c>
      <c r="Y121" s="286">
        <v>377</v>
      </c>
      <c r="AA121" s="386">
        <f t="shared" si="9"/>
        <v>0</v>
      </c>
      <c r="AB121" s="286">
        <f t="shared" si="10"/>
        <v>0</v>
      </c>
    </row>
    <row r="122" spans="1:28" ht="63" customHeight="1" x14ac:dyDescent="0.3">
      <c r="A122" s="312">
        <f>'Unit Data from Audit Worksheet'!A139</f>
        <v>537</v>
      </c>
      <c r="B122" s="225" t="str">
        <f>'Unit Data from Audit Worksheet'!C139</f>
        <v>Water Sewer Revenue, Expenses &amp; Changes in Fund Net Position</v>
      </c>
      <c r="C122" s="211" t="str">
        <f>'Unit Data from Audit Worksheet'!D139</f>
        <v>Did unit raise Water Sewer rates during the audited fiscal period? - answer Yes =1 or No= 2</v>
      </c>
      <c r="D122" s="129"/>
      <c r="E122" s="231">
        <f>'Unit Data from Audit Worksheet'!F139</f>
        <v>0</v>
      </c>
      <c r="F122" s="224" t="s">
        <v>311</v>
      </c>
      <c r="G122" s="226"/>
      <c r="H122" s="223"/>
      <c r="I122" s="32"/>
      <c r="J122" s="60">
        <v>537</v>
      </c>
      <c r="K122" s="58" t="s">
        <v>280</v>
      </c>
      <c r="L122" s="289">
        <f t="shared" si="13"/>
        <v>0</v>
      </c>
      <c r="N122" s="54" t="s">
        <v>301</v>
      </c>
      <c r="P122" s="196"/>
      <c r="X122" s="552">
        <v>537</v>
      </c>
      <c r="Y122" s="286">
        <v>537</v>
      </c>
      <c r="AA122" s="386">
        <f t="shared" si="9"/>
        <v>0</v>
      </c>
      <c r="AB122" s="286">
        <f t="shared" si="10"/>
        <v>0</v>
      </c>
    </row>
    <row r="123" spans="1:28" ht="63.75" customHeight="1" x14ac:dyDescent="0.3">
      <c r="A123" s="312">
        <f>'Unit Data from Audit Worksheet'!A140</f>
        <v>538</v>
      </c>
      <c r="B123" s="225" t="str">
        <f>'Unit Data from Audit Worksheet'!C140</f>
        <v>Water Sewer Revenue, Expenses &amp; Changes in Fund Net Position</v>
      </c>
      <c r="C123" s="211" t="str">
        <f>'Unit Data from Audit Worksheet'!D140</f>
        <v>Did unit raise Water Sewer rates during the budget year following the audited fiscal year? - answer Yes=1 or No=2</v>
      </c>
      <c r="D123" s="129"/>
      <c r="E123" s="231">
        <f>'Unit Data from Audit Worksheet'!F140</f>
        <v>0</v>
      </c>
      <c r="F123" s="224" t="s">
        <v>311</v>
      </c>
      <c r="G123" s="226"/>
      <c r="H123" s="223"/>
      <c r="I123" s="32"/>
      <c r="J123" s="60">
        <v>538</v>
      </c>
      <c r="K123" s="58" t="s">
        <v>279</v>
      </c>
      <c r="L123" s="289">
        <f t="shared" si="13"/>
        <v>0</v>
      </c>
      <c r="N123" s="54" t="s">
        <v>301</v>
      </c>
      <c r="P123" s="196"/>
      <c r="X123" s="552">
        <v>538</v>
      </c>
      <c r="Y123" s="286">
        <v>538</v>
      </c>
      <c r="AA123" s="386">
        <f t="shared" si="9"/>
        <v>0</v>
      </c>
      <c r="AB123" s="286">
        <f t="shared" si="10"/>
        <v>0</v>
      </c>
    </row>
    <row r="124" spans="1:28" ht="47.25" customHeight="1" x14ac:dyDescent="0.3">
      <c r="A124" s="212">
        <f>'Unit Data from Audit Worksheet'!A142</f>
        <v>97</v>
      </c>
      <c r="B124" s="225" t="str">
        <f>'Unit Data from Audit Worksheet'!C142</f>
        <v>Electric Fund Revenue, Expenses &amp; Changes in Fund Net Position</v>
      </c>
      <c r="C124" s="211" t="str">
        <f>'Unit Data from Audit Worksheet'!D142</f>
        <v>Charges for services</v>
      </c>
      <c r="D124" s="230"/>
      <c r="E124" s="231">
        <f>'Unit Data from Audit Worksheet'!F142</f>
        <v>0</v>
      </c>
      <c r="F124" s="224">
        <f>IF(L124&lt;0,"Error: Enter as a positive.",)</f>
        <v>0</v>
      </c>
      <c r="G124" s="226"/>
      <c r="H124" s="223"/>
      <c r="I124" s="32"/>
      <c r="J124" s="222">
        <v>97</v>
      </c>
      <c r="K124" s="221" t="s">
        <v>227</v>
      </c>
      <c r="L124" s="289">
        <f t="shared" ref="L124:L200" si="15">IF(D124="",E124,D124)</f>
        <v>0</v>
      </c>
      <c r="P124" s="196"/>
      <c r="X124" s="552">
        <v>97</v>
      </c>
      <c r="Y124" s="286">
        <v>97</v>
      </c>
      <c r="AA124" s="386">
        <f t="shared" si="9"/>
        <v>0</v>
      </c>
      <c r="AB124" s="286">
        <f t="shared" si="10"/>
        <v>0</v>
      </c>
    </row>
    <row r="125" spans="1:28" ht="45.75" customHeight="1" x14ac:dyDescent="0.3">
      <c r="A125" s="212">
        <f>'Unit Data from Audit Worksheet'!A143</f>
        <v>93</v>
      </c>
      <c r="B125" s="225" t="str">
        <f>'Unit Data from Audit Worksheet'!C143</f>
        <v>Electric Fund Revenue, Expenses &amp; Changes in Fund Net Position</v>
      </c>
      <c r="C125" s="211" t="str">
        <f>'Unit Data from Audit Worksheet'!D143</f>
        <v>Total Operating revenues</v>
      </c>
      <c r="D125" s="230"/>
      <c r="E125" s="231">
        <f>'Unit Data from Audit Worksheet'!F143</f>
        <v>0</v>
      </c>
      <c r="F125" s="224" t="str">
        <f>IF(L124&gt;L125,"Error: Charges for services exceeds total operating revenues Acct 97&gt;=93"," ")</f>
        <v xml:space="preserve"> </v>
      </c>
      <c r="G125" s="226" t="str">
        <f>IF(Q105=1," Included in error count"," ")</f>
        <v xml:space="preserve"> </v>
      </c>
      <c r="H125" s="223"/>
      <c r="I125" s="32"/>
      <c r="J125" s="222">
        <v>93</v>
      </c>
      <c r="K125" s="221" t="s">
        <v>228</v>
      </c>
      <c r="L125" s="289">
        <f t="shared" si="15"/>
        <v>0</v>
      </c>
      <c r="P125" s="196"/>
      <c r="X125" s="552">
        <v>93</v>
      </c>
      <c r="Y125" s="286">
        <v>93</v>
      </c>
      <c r="AA125" s="386">
        <f t="shared" si="9"/>
        <v>0</v>
      </c>
      <c r="AB125" s="286">
        <f t="shared" si="10"/>
        <v>0</v>
      </c>
    </row>
    <row r="126" spans="1:28" ht="45.75" customHeight="1" x14ac:dyDescent="0.3">
      <c r="A126" s="212">
        <f>'Unit Data from Audit Worksheet'!A144</f>
        <v>99</v>
      </c>
      <c r="B126" s="225" t="str">
        <f>'Unit Data from Audit Worksheet'!C144</f>
        <v>Electric Fund Revenue, Expenses &amp; Changes in Fund Net Position</v>
      </c>
      <c r="C126" s="211" t="str">
        <f>'Unit Data from Audit Worksheet'!D144</f>
        <v>Electrical power purchases</v>
      </c>
      <c r="D126" s="230"/>
      <c r="E126" s="231">
        <f>'Unit Data from Audit Worksheet'!F144</f>
        <v>0</v>
      </c>
      <c r="F126" s="224">
        <f>IF(L126&lt;0,"Error: Enter as a positive.",)</f>
        <v>0</v>
      </c>
      <c r="G126" s="226"/>
      <c r="H126" s="223"/>
      <c r="I126" s="32"/>
      <c r="J126" s="222">
        <v>99</v>
      </c>
      <c r="K126" s="221" t="s">
        <v>229</v>
      </c>
      <c r="L126" s="289">
        <f t="shared" si="15"/>
        <v>0</v>
      </c>
      <c r="P126" s="196"/>
      <c r="S126" s="18"/>
      <c r="T126" s="18"/>
      <c r="U126" s="18"/>
      <c r="V126" s="18"/>
      <c r="X126" s="552">
        <v>99</v>
      </c>
      <c r="Y126" s="286">
        <v>99</v>
      </c>
      <c r="Z126" s="18"/>
      <c r="AA126" s="386">
        <f t="shared" si="9"/>
        <v>0</v>
      </c>
      <c r="AB126" s="286">
        <f t="shared" si="10"/>
        <v>0</v>
      </c>
    </row>
    <row r="127" spans="1:28" ht="45.75" customHeight="1" x14ac:dyDescent="0.3">
      <c r="A127" s="212">
        <f>'Unit Data from Audit Worksheet'!A145</f>
        <v>52</v>
      </c>
      <c r="B127" s="225" t="str">
        <f>'Unit Data from Audit Worksheet'!C145</f>
        <v>Electric Fund Revenue, Expenses &amp; Changes in Fund Net Position</v>
      </c>
      <c r="C127" s="211" t="str">
        <f>'Unit Data from Audit Worksheet'!D145</f>
        <v>Depreciation and amortization expense</v>
      </c>
      <c r="D127" s="230"/>
      <c r="E127" s="231">
        <f>'Unit Data from Audit Worksheet'!F145</f>
        <v>0</v>
      </c>
      <c r="F127" s="224">
        <f>IF(L127&lt;0,"Error: Enter as a positive.",)</f>
        <v>0</v>
      </c>
      <c r="G127" s="226"/>
      <c r="H127" s="223"/>
      <c r="I127" s="32"/>
      <c r="J127" s="222">
        <v>52</v>
      </c>
      <c r="K127" s="221" t="s">
        <v>230</v>
      </c>
      <c r="L127" s="289">
        <f t="shared" si="15"/>
        <v>0</v>
      </c>
      <c r="P127" s="196"/>
      <c r="X127" s="552">
        <v>52</v>
      </c>
      <c r="Y127" s="286">
        <v>52</v>
      </c>
      <c r="AA127" s="386">
        <f t="shared" si="9"/>
        <v>0</v>
      </c>
      <c r="AB127" s="286">
        <f t="shared" si="10"/>
        <v>0</v>
      </c>
    </row>
    <row r="128" spans="1:28" ht="45.75" customHeight="1" x14ac:dyDescent="0.3">
      <c r="A128" s="212">
        <f>'Unit Data from Audit Worksheet'!A146</f>
        <v>94</v>
      </c>
      <c r="B128" s="225" t="str">
        <f>'Unit Data from Audit Worksheet'!C146</f>
        <v>Electric Fund Revenue, Expenses &amp; Changes in Fund Net Position</v>
      </c>
      <c r="C128" s="211" t="str">
        <f>'Unit Data from Audit Worksheet'!D146</f>
        <v>Total Operating expenses</v>
      </c>
      <c r="D128" s="230"/>
      <c r="E128" s="231">
        <f>'Unit Data from Audit Worksheet'!F146</f>
        <v>0</v>
      </c>
      <c r="F128" s="224">
        <f>IF(L128&lt;0,"Error: Enter as a positive.",)</f>
        <v>0</v>
      </c>
      <c r="G128" s="226"/>
      <c r="H128" s="223"/>
      <c r="I128" s="32"/>
      <c r="J128" s="222">
        <v>94</v>
      </c>
      <c r="K128" s="221" t="s">
        <v>231</v>
      </c>
      <c r="L128" s="289">
        <f t="shared" si="15"/>
        <v>0</v>
      </c>
      <c r="P128" s="196"/>
      <c r="X128" s="552">
        <v>94</v>
      </c>
      <c r="Y128" s="286">
        <v>94</v>
      </c>
      <c r="AA128" s="386">
        <f t="shared" si="9"/>
        <v>0</v>
      </c>
      <c r="AB128" s="286">
        <f t="shared" si="10"/>
        <v>0</v>
      </c>
    </row>
    <row r="129" spans="1:28" ht="46.5" customHeight="1" x14ac:dyDescent="0.3">
      <c r="A129" s="212">
        <f>'Unit Data from Audit Worksheet'!A147</f>
        <v>98</v>
      </c>
      <c r="B129" s="225" t="str">
        <f>'Unit Data from Audit Worksheet'!C147</f>
        <v>Electric Fund Revenue, Expenses &amp; Changes in Fund Net Position</v>
      </c>
      <c r="C129" s="211" t="str">
        <f>'Unit Data from Audit Worksheet'!D147</f>
        <v>Interest expense</v>
      </c>
      <c r="D129" s="230"/>
      <c r="E129" s="231">
        <f>'Unit Data from Audit Worksheet'!F147</f>
        <v>0</v>
      </c>
      <c r="F129" s="224">
        <f>IF(L129&lt;0,"Error: Enter as a positive.",)</f>
        <v>0</v>
      </c>
      <c r="G129" s="226"/>
      <c r="H129" s="223"/>
      <c r="I129" s="32"/>
      <c r="J129" s="222">
        <v>98</v>
      </c>
      <c r="K129" s="221" t="s">
        <v>232</v>
      </c>
      <c r="L129" s="289">
        <f t="shared" si="15"/>
        <v>0</v>
      </c>
      <c r="P129" s="196"/>
      <c r="X129" s="552">
        <v>98</v>
      </c>
      <c r="Y129" s="286">
        <v>98</v>
      </c>
      <c r="AA129" s="386">
        <f t="shared" si="9"/>
        <v>0</v>
      </c>
      <c r="AB129" s="286">
        <f t="shared" si="10"/>
        <v>0</v>
      </c>
    </row>
    <row r="130" spans="1:28" ht="51" customHeight="1" x14ac:dyDescent="0.3">
      <c r="A130" s="212">
        <f>'Unit Data from Audit Worksheet'!A148</f>
        <v>363</v>
      </c>
      <c r="B130" s="225" t="str">
        <f>'Unit Data from Audit Worksheet'!C148</f>
        <v>Electric Fund Revenue, Expenses &amp; Changes in Fund Net Position</v>
      </c>
      <c r="C130" s="211" t="str">
        <f>'Unit Data from Audit Worksheet'!D148</f>
        <v>Total all the non-operating revenues  
Exclude Capital Contributions.</v>
      </c>
      <c r="D130" s="230"/>
      <c r="E130" s="231">
        <f>'Unit Data from Audit Worksheet'!F148</f>
        <v>0</v>
      </c>
      <c r="F130" s="224"/>
      <c r="G130" s="226"/>
      <c r="H130" s="223"/>
      <c r="I130" s="32"/>
      <c r="J130" s="222">
        <v>363</v>
      </c>
      <c r="K130" s="221" t="s">
        <v>233</v>
      </c>
      <c r="L130" s="289">
        <f t="shared" si="15"/>
        <v>0</v>
      </c>
      <c r="P130" s="196"/>
      <c r="X130" s="552">
        <v>363</v>
      </c>
      <c r="Y130" s="286">
        <v>363</v>
      </c>
      <c r="AA130" s="386">
        <f t="shared" si="9"/>
        <v>0</v>
      </c>
      <c r="AB130" s="286">
        <f t="shared" si="10"/>
        <v>0</v>
      </c>
    </row>
    <row r="131" spans="1:28" ht="60" customHeight="1" x14ac:dyDescent="0.3">
      <c r="A131" s="212">
        <f>'Unit Data from Audit Worksheet'!A149</f>
        <v>364</v>
      </c>
      <c r="B131" s="225" t="str">
        <f>'Unit Data from Audit Worksheet'!C149</f>
        <v>Electric Fund Revenue, Expenses &amp; Changes in Fund Net Position</v>
      </c>
      <c r="C131" s="211" t="str">
        <f>'Unit Data from Audit Worksheet'!D149</f>
        <v>Total all non-operating expenses.  
Include negative special, extraordinary, or capital contribution.</v>
      </c>
      <c r="D131" s="230"/>
      <c r="E131" s="231">
        <f>'Unit Data from Audit Worksheet'!F149</f>
        <v>0</v>
      </c>
      <c r="F131" s="224">
        <f>IF(L131&lt;0,"Error: Enter as a positive.",)</f>
        <v>0</v>
      </c>
      <c r="G131" s="226"/>
      <c r="H131" s="223"/>
      <c r="I131" s="32"/>
      <c r="J131" s="222">
        <v>364</v>
      </c>
      <c r="K131" s="221" t="s">
        <v>234</v>
      </c>
      <c r="L131" s="289">
        <f t="shared" si="15"/>
        <v>0</v>
      </c>
      <c r="P131" s="196"/>
      <c r="X131" s="552">
        <v>364</v>
      </c>
      <c r="Y131" s="286">
        <v>364</v>
      </c>
      <c r="AA131" s="386">
        <f t="shared" si="9"/>
        <v>0</v>
      </c>
      <c r="AB131" s="286">
        <f t="shared" si="10"/>
        <v>0</v>
      </c>
    </row>
    <row r="132" spans="1:28" ht="89.25" customHeight="1" x14ac:dyDescent="0.3">
      <c r="A132" s="212">
        <f>'Unit Data from Audit Worksheet'!A150</f>
        <v>192</v>
      </c>
      <c r="B132" s="225" t="str">
        <f>'Unit Data from Audit Worksheet'!C150</f>
        <v>Electric Fund Revenue, Expenses &amp; Changes in Fund Net Position</v>
      </c>
      <c r="C132" s="211" t="str">
        <f>'Unit Data from Audit Worksheet'!D150</f>
        <v>Capital Contributions.  
Include only positive capital Contributions.  Negative capital contributions should be included with 'Total all non-operating expenses.'</v>
      </c>
      <c r="D132" s="230"/>
      <c r="E132" s="231">
        <f>'Unit Data from Audit Worksheet'!F150</f>
        <v>0</v>
      </c>
      <c r="F132" s="224">
        <f>IF(L132&lt;0,"Error: Enter as a positive.",)</f>
        <v>0</v>
      </c>
      <c r="G132" s="226"/>
      <c r="H132" s="223"/>
      <c r="I132" s="32"/>
      <c r="J132" s="222">
        <v>192</v>
      </c>
      <c r="K132" s="221" t="s">
        <v>235</v>
      </c>
      <c r="L132" s="289">
        <f t="shared" si="15"/>
        <v>0</v>
      </c>
      <c r="P132" s="196"/>
      <c r="X132" s="552">
        <v>192</v>
      </c>
      <c r="Y132" s="286">
        <v>192</v>
      </c>
      <c r="AA132" s="386">
        <f t="shared" si="9"/>
        <v>0</v>
      </c>
      <c r="AB132" s="286">
        <f t="shared" si="10"/>
        <v>0</v>
      </c>
    </row>
    <row r="133" spans="1:28" s="386" customFormat="1" ht="89.25" customHeight="1" x14ac:dyDescent="0.3">
      <c r="A133" s="212">
        <f>'Unit Data from Audit Worksheet'!A151</f>
        <v>1054</v>
      </c>
      <c r="B133" s="225" t="str">
        <f>'Unit Data from Audit Worksheet'!C151</f>
        <v>Electric Fund Revenue, Expenses &amp; Changes in Fund Net Position</v>
      </c>
      <c r="C133" s="211" t="str">
        <f>'Unit Data from Audit Worksheet'!D151</f>
        <v xml:space="preserve"> Mark to Market unrealized losses in the Electric Fund. (enter as a negative number)</v>
      </c>
      <c r="D133" s="230"/>
      <c r="E133" s="231">
        <f>'Unit Data from Audit Worksheet'!F151</f>
        <v>0</v>
      </c>
      <c r="F133" s="224"/>
      <c r="G133" s="226"/>
      <c r="H133" s="223"/>
      <c r="I133" s="32"/>
      <c r="J133" s="222">
        <v>1054</v>
      </c>
      <c r="K133" s="211" t="s">
        <v>1513</v>
      </c>
      <c r="L133" s="289">
        <f t="shared" si="15"/>
        <v>0</v>
      </c>
      <c r="M133"/>
      <c r="P133" s="196"/>
      <c r="Q133" s="279"/>
      <c r="X133" s="552"/>
      <c r="Y133" s="286"/>
      <c r="AA133" s="386">
        <f t="shared" si="9"/>
        <v>0</v>
      </c>
      <c r="AB133" s="286"/>
    </row>
    <row r="134" spans="1:28" ht="42.75" customHeight="1" x14ac:dyDescent="0.3">
      <c r="A134" s="212">
        <f>'Unit Data from Audit Worksheet'!A152</f>
        <v>365</v>
      </c>
      <c r="B134" s="225" t="str">
        <f>'Unit Data from Audit Worksheet'!C152</f>
        <v>Electric Fund Revenue, Expenses &amp; Changes in Fund Net Position</v>
      </c>
      <c r="C134" s="211" t="str">
        <f>'Unit Data from Audit Worksheet'!D152</f>
        <v>Total Transfers In (From all Funds)</v>
      </c>
      <c r="D134" s="230"/>
      <c r="E134" s="231">
        <f>'Unit Data from Audit Worksheet'!F152</f>
        <v>0</v>
      </c>
      <c r="F134" s="224"/>
      <c r="G134" s="226"/>
      <c r="H134" s="223"/>
      <c r="I134" s="32"/>
      <c r="J134" s="222">
        <v>365</v>
      </c>
      <c r="K134" s="221" t="s">
        <v>236</v>
      </c>
      <c r="L134" s="289">
        <f t="shared" si="15"/>
        <v>0</v>
      </c>
      <c r="P134" s="196"/>
      <c r="X134" s="552">
        <v>365</v>
      </c>
      <c r="Y134" s="286">
        <v>365</v>
      </c>
      <c r="AA134" s="386">
        <f t="shared" si="9"/>
        <v>0</v>
      </c>
      <c r="AB134" s="286">
        <f t="shared" si="10"/>
        <v>0</v>
      </c>
    </row>
    <row r="135" spans="1:28" ht="42.75" customHeight="1" x14ac:dyDescent="0.3">
      <c r="A135" s="212">
        <f>'Unit Data from Audit Worksheet'!A153</f>
        <v>366</v>
      </c>
      <c r="B135" s="225" t="str">
        <f>'Unit Data from Audit Worksheet'!C153</f>
        <v>Electric Fund Revenue, Expenses &amp; Changes in Fund Net Position</v>
      </c>
      <c r="C135" s="211" t="str">
        <f>'Unit Data from Audit Worksheet'!D153</f>
        <v>Total Transfers Out (To all funds)</v>
      </c>
      <c r="D135" s="230"/>
      <c r="E135" s="231">
        <f>'Unit Data from Audit Worksheet'!F153</f>
        <v>0</v>
      </c>
      <c r="F135" s="224">
        <f>IF(L135&lt;0,"Error: Enter as a positive.",)</f>
        <v>0</v>
      </c>
      <c r="G135" s="226"/>
      <c r="H135" s="223"/>
      <c r="I135" s="32"/>
      <c r="J135" s="222">
        <v>366</v>
      </c>
      <c r="K135" s="221" t="s">
        <v>293</v>
      </c>
      <c r="L135" s="289">
        <f t="shared" si="15"/>
        <v>0</v>
      </c>
      <c r="P135" s="196"/>
      <c r="X135" s="552">
        <v>366</v>
      </c>
      <c r="Y135" s="286">
        <v>366</v>
      </c>
      <c r="AA135" s="386">
        <f t="shared" si="9"/>
        <v>0</v>
      </c>
      <c r="AB135" s="286">
        <f t="shared" si="10"/>
        <v>0</v>
      </c>
    </row>
    <row r="136" spans="1:28" s="18" customFormat="1" ht="76.5" customHeight="1" x14ac:dyDescent="0.3">
      <c r="A136" s="212">
        <f>'Unit Data from Audit Worksheet'!A154</f>
        <v>53</v>
      </c>
      <c r="B136" s="225" t="str">
        <f>'Unit Data from Audit Worksheet'!C154</f>
        <v>Electric Fund Revenue, Expenses &amp; Changes in Fund Net Position</v>
      </c>
      <c r="C136" s="211" t="str">
        <f>'Unit Data from Audit Worksheet'!D154</f>
        <v>Change in net position - Increase in net position is recorded as a positive and a (decrease) in net position is recorded as a negative.</v>
      </c>
      <c r="D136" s="230"/>
      <c r="E136" s="231">
        <f>'Unit Data from Audit Worksheet'!F154</f>
        <v>0</v>
      </c>
      <c r="F136" s="224">
        <f>IF(L125-L128+L130-L131+L132+L134-L135-L136=0,,"Error: Total revenues less total exp. does not equal change in net position Acct 93-94+363-364+192+365-366-53=0")</f>
        <v>0</v>
      </c>
      <c r="G136" s="84">
        <f>+L125-L128+L130-L131+L132+L134-L135-L136</f>
        <v>0</v>
      </c>
      <c r="H136" s="223"/>
      <c r="I136" s="32"/>
      <c r="J136" s="222">
        <v>53</v>
      </c>
      <c r="K136" s="221" t="s">
        <v>93</v>
      </c>
      <c r="L136" s="289">
        <f t="shared" si="15"/>
        <v>0</v>
      </c>
      <c r="M136"/>
      <c r="P136" s="196"/>
      <c r="Q136" s="279"/>
      <c r="R136" s="3"/>
      <c r="S136" s="3"/>
      <c r="T136" s="3"/>
      <c r="U136" s="3"/>
      <c r="V136" s="3"/>
      <c r="W136" s="3"/>
      <c r="X136" s="552">
        <v>53</v>
      </c>
      <c r="Y136" s="286">
        <v>53</v>
      </c>
      <c r="Z136" s="3"/>
      <c r="AA136" s="386">
        <f t="shared" si="9"/>
        <v>0</v>
      </c>
      <c r="AB136" s="286">
        <f t="shared" si="10"/>
        <v>0</v>
      </c>
    </row>
    <row r="137" spans="1:28" ht="140.25" customHeight="1" x14ac:dyDescent="0.3">
      <c r="A137" s="212">
        <f>'Unit Data from Audit Worksheet'!A155</f>
        <v>378</v>
      </c>
      <c r="B137" s="225" t="str">
        <f>'Unit Data from Audit Worksheet'!C155</f>
        <v>Electric Fund Revenue, Expenses &amp; Changes in Fund Net Position</v>
      </c>
      <c r="C137" s="211" t="str">
        <f>'Unit Data from Audit Worksheet'!D155</f>
        <v>Increases or (decreases) to beginning electric net position due to rounding, prior period adjustments and restatements.  Increase amounts to beginning net position should be entered as a positive amount and (decreases) should be entered as a negative amount.</v>
      </c>
      <c r="D137" s="230"/>
      <c r="E137" s="231">
        <f>+'Unit Data from Audit Worksheet'!F155</f>
        <v>0</v>
      </c>
      <c r="F137" s="224" t="e">
        <f>IF(L107-L136-L137=O107,,"Error: Beg. Bal does not agree with our records Acct 362-53-378= pr yr 362")</f>
        <v>#N/A</v>
      </c>
      <c r="G137" s="84" t="e">
        <f>L107-L136-L137-O107</f>
        <v>#N/A</v>
      </c>
      <c r="H137" s="223" t="e">
        <f>'Unit Data from Audit Worksheet'!I155</f>
        <v>#N/A</v>
      </c>
      <c r="I137" s="32"/>
      <c r="J137" s="222">
        <v>378</v>
      </c>
      <c r="K137" s="221" t="s">
        <v>102</v>
      </c>
      <c r="L137" s="289">
        <f t="shared" si="15"/>
        <v>0</v>
      </c>
      <c r="P137" s="196"/>
      <c r="X137" s="552">
        <v>378</v>
      </c>
      <c r="Y137" s="286">
        <v>378</v>
      </c>
      <c r="AA137" s="386">
        <f t="shared" si="9"/>
        <v>0</v>
      </c>
      <c r="AB137" s="286">
        <f t="shared" si="10"/>
        <v>0</v>
      </c>
    </row>
    <row r="138" spans="1:28" ht="28.8" x14ac:dyDescent="0.3">
      <c r="A138" s="212">
        <f>'Unit Data from Audit Worksheet'!A160</f>
        <v>51</v>
      </c>
      <c r="B138" s="225" t="str">
        <f>'Unit Data from Audit Worksheet'!C160</f>
        <v>Water Sewer Cash Flow Statement</v>
      </c>
      <c r="C138" s="211" t="str">
        <f>'Unit Data from Audit Worksheet'!D160</f>
        <v>Total Cash flow from operating activities  - (Enter negative cash flows as negative)</v>
      </c>
      <c r="D138" s="230"/>
      <c r="E138" s="231">
        <f>'Unit Data from Audit Worksheet'!F160</f>
        <v>0</v>
      </c>
      <c r="F138" s="224"/>
      <c r="G138" s="226"/>
      <c r="H138" s="223"/>
      <c r="I138" s="32"/>
      <c r="J138" s="222">
        <v>51</v>
      </c>
      <c r="K138" s="221" t="s">
        <v>237</v>
      </c>
      <c r="L138" s="289">
        <f t="shared" si="15"/>
        <v>0</v>
      </c>
      <c r="P138" s="196"/>
      <c r="X138" s="552">
        <v>51</v>
      </c>
      <c r="Y138" s="286">
        <v>51</v>
      </c>
      <c r="AA138" s="386">
        <f t="shared" ref="AA138:AA209" si="16">A138-J138</f>
        <v>0</v>
      </c>
      <c r="AB138" s="286">
        <f t="shared" ref="AB138:AB209" si="17">E138-L138</f>
        <v>0</v>
      </c>
    </row>
    <row r="139" spans="1:28" ht="64.5" customHeight="1" x14ac:dyDescent="0.3">
      <c r="A139" s="212">
        <f>'Unit Data from Audit Worksheet'!A161</f>
        <v>332</v>
      </c>
      <c r="B139" s="225" t="str">
        <f>'Unit Data from Audit Worksheet'!C161</f>
        <v>Water Sewer Cash Flow Statement</v>
      </c>
      <c r="C139" s="211" t="str">
        <f>'Unit Data from Audit Worksheet'!D161</f>
        <v>Total Capital outlay. 
Include acquisition and construction of capital assets.</v>
      </c>
      <c r="D139" s="230"/>
      <c r="E139" s="231">
        <f>'Unit Data from Audit Worksheet'!F161</f>
        <v>0</v>
      </c>
      <c r="F139" s="224">
        <f>IF(L139&lt;0,"Error: Enter as a positive.",)</f>
        <v>0</v>
      </c>
      <c r="G139" s="226"/>
      <c r="H139" s="223"/>
      <c r="I139" s="32"/>
      <c r="J139" s="222">
        <v>332</v>
      </c>
      <c r="K139" s="221" t="s">
        <v>239</v>
      </c>
      <c r="L139" s="289">
        <f t="shared" si="15"/>
        <v>0</v>
      </c>
      <c r="O139" s="296"/>
      <c r="P139" s="196"/>
      <c r="X139" s="552">
        <v>332</v>
      </c>
      <c r="Y139" s="286">
        <v>332</v>
      </c>
      <c r="AA139" s="386">
        <f t="shared" si="16"/>
        <v>0</v>
      </c>
      <c r="AB139" s="286">
        <f t="shared" si="17"/>
        <v>0</v>
      </c>
    </row>
    <row r="140" spans="1:28" ht="58.5" customHeight="1" x14ac:dyDescent="0.3">
      <c r="A140" s="212">
        <f>'Unit Data from Audit Worksheet'!A162</f>
        <v>331</v>
      </c>
      <c r="B140" s="225" t="str">
        <f>'Unit Data from Audit Worksheet'!C162</f>
        <v>Water Sewer Cash Flow Statement</v>
      </c>
      <c r="C140" s="211" t="str">
        <f>'Unit Data from Audit Worksheet'!D162</f>
        <v>Principal paid on long-term debt.  Amount should be reduced by principal payments for debt refunding.</v>
      </c>
      <c r="D140" s="230"/>
      <c r="E140" s="231">
        <f>'Unit Data from Audit Worksheet'!F162</f>
        <v>0</v>
      </c>
      <c r="F140" s="224">
        <f>IF(L140&lt;0,"Error: Enter as a positive.",)</f>
        <v>0</v>
      </c>
      <c r="G140" s="226"/>
      <c r="H140" s="223"/>
      <c r="I140" s="32"/>
      <c r="J140" s="222">
        <v>331</v>
      </c>
      <c r="K140" s="221" t="s">
        <v>238</v>
      </c>
      <c r="L140" s="289">
        <f t="shared" si="15"/>
        <v>0</v>
      </c>
      <c r="O140" s="296"/>
      <c r="P140" s="196"/>
      <c r="X140" s="552">
        <v>331</v>
      </c>
      <c r="Y140" s="286">
        <v>331</v>
      </c>
      <c r="AA140" s="386">
        <f t="shared" si="16"/>
        <v>0</v>
      </c>
      <c r="AB140" s="286">
        <f t="shared" si="17"/>
        <v>0</v>
      </c>
    </row>
    <row r="141" spans="1:28" ht="51.75" customHeight="1" x14ac:dyDescent="0.3">
      <c r="A141" s="212">
        <f>'Unit Data from Audit Worksheet'!A164</f>
        <v>55</v>
      </c>
      <c r="B141" s="225" t="str">
        <f>'Unit Data from Audit Worksheet'!C164</f>
        <v>Electric Fund Cash Flow Statement</v>
      </c>
      <c r="C141" s="211" t="str">
        <f>'Unit Data from Audit Worksheet'!D164</f>
        <v>Cash flow from operating activities - (enter negative cash flows as negative)</v>
      </c>
      <c r="D141" s="230"/>
      <c r="E141" s="231">
        <f>'Unit Data from Audit Worksheet'!F164</f>
        <v>0</v>
      </c>
      <c r="F141" s="224"/>
      <c r="G141" s="226"/>
      <c r="H141" s="223"/>
      <c r="I141" s="32"/>
      <c r="J141" s="222">
        <v>55</v>
      </c>
      <c r="K141" s="221" t="s">
        <v>240</v>
      </c>
      <c r="L141" s="289">
        <f t="shared" si="15"/>
        <v>0</v>
      </c>
      <c r="P141" s="196"/>
      <c r="X141" s="552">
        <v>55</v>
      </c>
      <c r="Y141" s="286">
        <v>55</v>
      </c>
      <c r="AA141" s="386">
        <f t="shared" si="16"/>
        <v>0</v>
      </c>
      <c r="AB141" s="286">
        <f t="shared" si="17"/>
        <v>0</v>
      </c>
    </row>
    <row r="142" spans="1:28" ht="58.5" customHeight="1" x14ac:dyDescent="0.3">
      <c r="A142" s="212">
        <f>'Unit Data from Audit Worksheet'!A165</f>
        <v>101</v>
      </c>
      <c r="B142" s="225" t="str">
        <f>'Unit Data from Audit Worksheet'!C165</f>
        <v>Electric Fund Cash Flow Statement</v>
      </c>
      <c r="C142" s="211" t="str">
        <f>'Unit Data from Audit Worksheet'!D165</f>
        <v>Total Capital outlay.  
Include acquisition and construction of capital assets.</v>
      </c>
      <c r="D142" s="230"/>
      <c r="E142" s="231">
        <f>'Unit Data from Audit Worksheet'!F165</f>
        <v>0</v>
      </c>
      <c r="F142" s="224">
        <f>IF(L142&lt;0,"Error: Enter as a positive.",)</f>
        <v>0</v>
      </c>
      <c r="G142" s="226"/>
      <c r="H142" s="223"/>
      <c r="I142" s="32"/>
      <c r="J142" s="222">
        <v>101</v>
      </c>
      <c r="K142" s="221" t="s">
        <v>241</v>
      </c>
      <c r="L142" s="289">
        <f t="shared" si="15"/>
        <v>0</v>
      </c>
      <c r="P142" s="196"/>
      <c r="X142" s="552">
        <v>101</v>
      </c>
      <c r="Y142" s="286">
        <v>101</v>
      </c>
      <c r="AA142" s="386">
        <f t="shared" si="16"/>
        <v>0</v>
      </c>
      <c r="AB142" s="286">
        <f t="shared" si="17"/>
        <v>0</v>
      </c>
    </row>
    <row r="143" spans="1:28" ht="60.75" customHeight="1" x14ac:dyDescent="0.3">
      <c r="A143" s="212">
        <f>'Unit Data from Audit Worksheet'!A166</f>
        <v>100</v>
      </c>
      <c r="B143" s="225" t="str">
        <f>'Unit Data from Audit Worksheet'!C166</f>
        <v>Electric Fund Cash Flow Statement</v>
      </c>
      <c r="C143" s="211" t="str">
        <f>'Unit Data from Audit Worksheet'!D166</f>
        <v>Principal paid on long-term debt.  Amount should be reduced by principal payments for debt refunding.</v>
      </c>
      <c r="D143" s="230"/>
      <c r="E143" s="231">
        <f>'Unit Data from Audit Worksheet'!F166</f>
        <v>0</v>
      </c>
      <c r="F143" s="224">
        <f>IF(L143&lt;0,"Error: Enter as a positive.",)</f>
        <v>0</v>
      </c>
      <c r="G143" s="226"/>
      <c r="H143" s="223"/>
      <c r="I143" s="32"/>
      <c r="J143" s="222">
        <v>100</v>
      </c>
      <c r="K143" s="221" t="s">
        <v>242</v>
      </c>
      <c r="L143" s="289">
        <f t="shared" si="15"/>
        <v>0</v>
      </c>
      <c r="P143" s="196"/>
      <c r="X143" s="552">
        <v>100</v>
      </c>
      <c r="Y143" s="286">
        <v>100</v>
      </c>
      <c r="AA143" s="386">
        <f t="shared" si="16"/>
        <v>0</v>
      </c>
      <c r="AB143" s="286">
        <f t="shared" si="17"/>
        <v>0</v>
      </c>
    </row>
    <row r="144" spans="1:28" s="386" customFormat="1" ht="95.4" customHeight="1" x14ac:dyDescent="0.3">
      <c r="A144" s="212">
        <f>'Unit Data from Audit Worksheet'!A168</f>
        <v>1060</v>
      </c>
      <c r="B144" s="225">
        <f>'Unit Data from Audit Worksheet'!C168</f>
        <v>0</v>
      </c>
      <c r="C144" s="211" t="str">
        <f>'Unit Data from Audit Worksheet'!D168</f>
        <v>Total American Rescue Plan Act (ARPA) of 2021-Coronavrius State &amp; Local Fiscal Recovery Funds actually expended since inception as of June 30th.  Do not include encumbered funds in this number.</v>
      </c>
      <c r="D144" s="230"/>
      <c r="E144" s="231">
        <f>'Unit Data from Audit Worksheet'!F168</f>
        <v>0</v>
      </c>
      <c r="F144" s="224"/>
      <c r="G144" s="226"/>
      <c r="H144" s="223"/>
      <c r="I144" s="32"/>
      <c r="J144" s="222">
        <v>1060</v>
      </c>
      <c r="K144" s="211" t="s">
        <v>1514</v>
      </c>
      <c r="L144" s="289">
        <f t="shared" si="15"/>
        <v>0</v>
      </c>
      <c r="M144"/>
      <c r="P144" s="196"/>
      <c r="Q144" s="279"/>
      <c r="X144" s="552"/>
      <c r="Y144" s="286"/>
      <c r="AB144" s="286"/>
    </row>
    <row r="145" spans="1:28" s="386" customFormat="1" ht="85.95" customHeight="1" x14ac:dyDescent="0.3">
      <c r="A145" s="212">
        <f>'Unit Data from Audit Worksheet'!A169</f>
        <v>1061</v>
      </c>
      <c r="B145" s="225">
        <f>'Unit Data from Audit Worksheet'!C169</f>
        <v>0</v>
      </c>
      <c r="C145" s="211" t="str">
        <f>'Unit Data from Audit Worksheet'!D169</f>
        <v>Total American Rescue Plan Act (ARPA) of 2021-Coronavrius State &amp; Local Fiscal Recovery Funds encumbered or obligated and not yet expended since inception as of June 30th.</v>
      </c>
      <c r="D145" s="230"/>
      <c r="E145" s="231">
        <f>'Unit Data from Audit Worksheet'!F169</f>
        <v>0</v>
      </c>
      <c r="F145" s="224"/>
      <c r="G145" s="226"/>
      <c r="H145" s="223"/>
      <c r="I145" s="32"/>
      <c r="J145" s="222">
        <v>1061</v>
      </c>
      <c r="K145" s="211" t="s">
        <v>1598</v>
      </c>
      <c r="L145" s="289">
        <f t="shared" si="15"/>
        <v>0</v>
      </c>
      <c r="M145"/>
      <c r="P145" s="196"/>
      <c r="Q145" s="279"/>
      <c r="X145" s="552"/>
      <c r="Y145" s="286"/>
      <c r="AB145" s="286"/>
    </row>
    <row r="146" spans="1:28" s="386" customFormat="1" ht="81.599999999999994" customHeight="1" x14ac:dyDescent="0.3">
      <c r="A146" s="212">
        <f>'Unit Data from Audit Worksheet'!A170</f>
        <v>1062</v>
      </c>
      <c r="B146" s="225">
        <f>'Unit Data from Audit Worksheet'!C170</f>
        <v>0</v>
      </c>
      <c r="C146" s="211" t="str">
        <f>'Unit Data from Audit Worksheet'!D170</f>
        <v xml:space="preserve">Are the American Rescue Plan Act (ARPA) of 2021-Coronavrius State &amp; Local Fiscal Recovery Funds on target to be committed by December 31, 2024? (Yes = 1 or No = 2or N/A = 3 if unit did not receive funds) </v>
      </c>
      <c r="D146" s="230"/>
      <c r="E146" s="231">
        <f>'Unit Data from Audit Worksheet'!F170</f>
        <v>0</v>
      </c>
      <c r="F146" s="224"/>
      <c r="G146" s="224"/>
      <c r="H146" s="223"/>
      <c r="I146" s="32"/>
      <c r="J146" s="222">
        <v>1062</v>
      </c>
      <c r="K146" s="211" t="s">
        <v>1597</v>
      </c>
      <c r="L146" s="289">
        <f t="shared" si="15"/>
        <v>0</v>
      </c>
      <c r="M146"/>
      <c r="P146" s="196"/>
      <c r="Q146" s="279"/>
      <c r="X146" s="552"/>
      <c r="Y146" s="286"/>
      <c r="AB146" s="286"/>
    </row>
    <row r="147" spans="1:28" s="386" customFormat="1" ht="99.6" customHeight="1" x14ac:dyDescent="0.3">
      <c r="A147" s="212">
        <f>'Unit Data from Audit Worksheet'!A171</f>
        <v>1063</v>
      </c>
      <c r="B147" s="225">
        <f>'Unit Data from Audit Worksheet'!C171</f>
        <v>0</v>
      </c>
      <c r="C147" s="211" t="str">
        <f>'Unit Data from Audit Worksheet'!D171</f>
        <v>Are the American Rescue Plan Act (ARPA) of 2021-Coronavrius State &amp; Local Fiscal Recovery Funds on target to be completely expended by December 31, 2026? (Yes = 1 or No = 2 or N/A = 3 if unit did not receive funds)</v>
      </c>
      <c r="D147" s="230"/>
      <c r="E147" s="231">
        <f>'Unit Data from Audit Worksheet'!F171</f>
        <v>0</v>
      </c>
      <c r="F147" s="224"/>
      <c r="G147" s="226"/>
      <c r="H147" s="223"/>
      <c r="I147" s="32"/>
      <c r="J147" s="222">
        <v>1063</v>
      </c>
      <c r="K147" s="211" t="s">
        <v>1599</v>
      </c>
      <c r="L147" s="289">
        <f t="shared" si="15"/>
        <v>0</v>
      </c>
      <c r="M147"/>
      <c r="P147" s="196"/>
      <c r="Q147" s="279"/>
      <c r="X147" s="552"/>
      <c r="Y147" s="286"/>
      <c r="AB147" s="286"/>
    </row>
    <row r="148" spans="1:28" ht="71.25" customHeight="1" x14ac:dyDescent="0.3">
      <c r="A148" s="212">
        <f>'Unit Data from Audit Worksheet'!A173</f>
        <v>512</v>
      </c>
      <c r="B148" s="225" t="str">
        <f>'Unit Data from Audit Worksheet'!C173</f>
        <v>Fiduciary Statements</v>
      </c>
      <c r="C148" s="211" t="str">
        <f>'Unit Data from Audit Worksheet'!D173</f>
        <v>Cash and investments.  
Include:  unrestricted and restricted.  
                   cash and investments held 
                   by a third party</v>
      </c>
      <c r="D148" s="230"/>
      <c r="E148" s="231">
        <f>'Unit Data from Audit Worksheet'!F173</f>
        <v>0</v>
      </c>
      <c r="F148" s="224">
        <f>IF(L148&lt;0,"Error: Number is normally positive.",)</f>
        <v>0</v>
      </c>
      <c r="G148" s="226"/>
      <c r="H148" s="223"/>
      <c r="I148" s="32"/>
      <c r="J148" s="222">
        <v>512</v>
      </c>
      <c r="K148" s="221" t="s">
        <v>243</v>
      </c>
      <c r="L148" s="289">
        <f t="shared" si="15"/>
        <v>0</v>
      </c>
      <c r="P148" s="196"/>
      <c r="X148" s="552">
        <v>512</v>
      </c>
      <c r="Y148" s="286">
        <v>512</v>
      </c>
      <c r="AA148" s="386">
        <f t="shared" si="16"/>
        <v>0</v>
      </c>
      <c r="AB148" s="286">
        <f t="shared" si="17"/>
        <v>0</v>
      </c>
    </row>
    <row r="149" spans="1:28" ht="62.25" customHeight="1" x14ac:dyDescent="0.3">
      <c r="A149" s="212">
        <f>'Unit Data from Audit Worksheet'!A175</f>
        <v>656</v>
      </c>
      <c r="B149" s="225">
        <f>'Unit Data from Audit Worksheet'!C175</f>
        <v>0</v>
      </c>
      <c r="C149" s="211" t="str">
        <f>'Unit Data from Audit Worksheet'!D175</f>
        <v>Do you use prepared food/occupancy tax revenue stream to support debt?  Select "1" for Yes and "2" for No from drop down list.</v>
      </c>
      <c r="D149" s="129"/>
      <c r="E149" s="231">
        <f>'Unit Data from Audit Worksheet'!F175</f>
        <v>0</v>
      </c>
      <c r="F149" s="224"/>
      <c r="G149" s="226"/>
      <c r="H149" s="223"/>
      <c r="I149" s="32"/>
      <c r="J149" s="222">
        <v>656</v>
      </c>
      <c r="K149" s="228" t="s">
        <v>422</v>
      </c>
      <c r="L149" s="313">
        <f>E149</f>
        <v>0</v>
      </c>
      <c r="N149" s="18"/>
      <c r="O149" s="18"/>
      <c r="P149" s="196"/>
      <c r="X149" s="552">
        <v>656</v>
      </c>
      <c r="Y149" s="286">
        <v>656</v>
      </c>
      <c r="AA149" s="386">
        <f t="shared" si="16"/>
        <v>0</v>
      </c>
      <c r="AB149" s="286">
        <f t="shared" si="17"/>
        <v>0</v>
      </c>
    </row>
    <row r="150" spans="1:28" s="18" customFormat="1" ht="102.75" customHeight="1" x14ac:dyDescent="0.3">
      <c r="A150" s="212">
        <f>'Unit Data from Audit Worksheet'!A177</f>
        <v>535</v>
      </c>
      <c r="B150" s="225" t="str">
        <f>'Unit Data from Audit Worksheet'!C177</f>
        <v>Cash and Investment Note</v>
      </c>
      <c r="C150" s="211" t="str">
        <f>'Unit Data from Audit Worksheet'!D177</f>
        <v>Cash and Investment - Please list the book value of any unspent debt proceeds (bonds, installment, etc.) in any funds as of June 30.  This information may be on the face of your statements or in the notes</v>
      </c>
      <c r="D150" s="230"/>
      <c r="E150" s="231">
        <f>'Unit Data from Audit Worksheet'!F177</f>
        <v>0</v>
      </c>
      <c r="F150" s="80" t="str">
        <f>IF(L150&gt;1,,"Reminder: Please make sure you have entered all cash and investments from bond proceeds, if applicable")</f>
        <v>Reminder: Please make sure you have entered all cash and investments from bond proceeds, if applicable</v>
      </c>
      <c r="G150" s="226"/>
      <c r="H150" s="223"/>
      <c r="I150" s="32"/>
      <c r="J150" s="222">
        <v>535</v>
      </c>
      <c r="K150" s="55" t="s">
        <v>244</v>
      </c>
      <c r="L150" s="289">
        <f t="shared" si="15"/>
        <v>0</v>
      </c>
      <c r="M150"/>
      <c r="P150" s="196"/>
      <c r="Q150" s="279"/>
      <c r="R150" s="3"/>
      <c r="S150" s="3"/>
      <c r="T150" s="3"/>
      <c r="U150" s="3"/>
      <c r="V150" s="3"/>
      <c r="W150" s="3"/>
      <c r="X150" s="552">
        <v>535</v>
      </c>
      <c r="Y150" s="286">
        <v>535</v>
      </c>
      <c r="Z150" s="3"/>
      <c r="AA150" s="386">
        <f t="shared" si="16"/>
        <v>0</v>
      </c>
      <c r="AB150" s="286">
        <f t="shared" si="17"/>
        <v>0</v>
      </c>
    </row>
    <row r="151" spans="1:28" ht="45.75" customHeight="1" x14ac:dyDescent="0.3">
      <c r="A151" s="212">
        <f>'Unit Data from Audit Worksheet'!A181</f>
        <v>334</v>
      </c>
      <c r="B151" s="225" t="str">
        <f>'Unit Data from Audit Worksheet'!C181</f>
        <v>Gov.-Capital Assets Schedule in the Notes</v>
      </c>
      <c r="C151" s="211" t="str">
        <f>'Unit Data from Audit Worksheet'!D181</f>
        <v>Gross value.  
Exclude non-depreciable.</v>
      </c>
      <c r="D151" s="230"/>
      <c r="E151" s="231">
        <f>'Unit Data from Audit Worksheet'!F181</f>
        <v>0</v>
      </c>
      <c r="F151" s="80"/>
      <c r="G151" s="226"/>
      <c r="H151" s="223"/>
      <c r="I151" s="32"/>
      <c r="J151" s="222">
        <v>334</v>
      </c>
      <c r="K151" s="55" t="s">
        <v>261</v>
      </c>
      <c r="L151" s="289">
        <f t="shared" si="15"/>
        <v>0</v>
      </c>
      <c r="P151" s="196"/>
      <c r="X151" s="552">
        <v>334</v>
      </c>
      <c r="Y151" s="286">
        <v>334</v>
      </c>
      <c r="AA151" s="386">
        <f t="shared" si="16"/>
        <v>0</v>
      </c>
      <c r="AB151" s="286">
        <f t="shared" si="17"/>
        <v>0</v>
      </c>
    </row>
    <row r="152" spans="1:28" ht="57" customHeight="1" x14ac:dyDescent="0.3">
      <c r="A152" s="212">
        <f>'Unit Data from Audit Worksheet'!A182</f>
        <v>373</v>
      </c>
      <c r="B152" s="225" t="str">
        <f>'Unit Data from Audit Worksheet'!C182</f>
        <v>Gov.-Capital Assets Schedule in the Notes</v>
      </c>
      <c r="C152" s="211" t="str">
        <f>'Unit Data from Audit Worksheet'!D182</f>
        <v>Accumulated depreciation</v>
      </c>
      <c r="D152" s="230"/>
      <c r="E152" s="231">
        <f>'Unit Data from Audit Worksheet'!F182</f>
        <v>0</v>
      </c>
      <c r="F152" s="80"/>
      <c r="G152" s="226"/>
      <c r="H152" s="223"/>
      <c r="I152" s="32"/>
      <c r="J152" s="222">
        <v>373</v>
      </c>
      <c r="K152" s="52" t="s">
        <v>304</v>
      </c>
      <c r="L152" s="289">
        <f t="shared" si="15"/>
        <v>0</v>
      </c>
      <c r="P152" s="196"/>
      <c r="X152" s="552">
        <v>373</v>
      </c>
      <c r="Y152" s="286">
        <v>373</v>
      </c>
      <c r="AA152" s="386">
        <f t="shared" si="16"/>
        <v>0</v>
      </c>
      <c r="AB152" s="286">
        <f t="shared" si="17"/>
        <v>0</v>
      </c>
    </row>
    <row r="153" spans="1:28" ht="102.75" customHeight="1" x14ac:dyDescent="0.3">
      <c r="A153" s="212">
        <f>'Unit Data from Audit Worksheet'!A183</f>
        <v>987</v>
      </c>
      <c r="B153" s="225">
        <f>'Unit Data from Audit Worksheet'!C183</f>
        <v>0</v>
      </c>
      <c r="C153" s="211" t="str">
        <f>'Unit Data from Audit Worksheet'!D183</f>
        <v xml:space="preserve">Estimated cost not yet budgeted of any mandate placed on unit by DEQ, a court order or some similar requirement (that has no realistic appeal path). </v>
      </c>
      <c r="D153" s="230"/>
      <c r="E153" s="231">
        <f>'Unit Data from Audit Worksheet'!F183</f>
        <v>0</v>
      </c>
      <c r="F153" s="80"/>
      <c r="G153" s="226"/>
      <c r="H153" s="223"/>
      <c r="I153" s="32"/>
      <c r="J153" s="222">
        <v>987</v>
      </c>
      <c r="K153" s="52" t="s">
        <v>648</v>
      </c>
      <c r="L153" s="295">
        <f t="shared" si="15"/>
        <v>0</v>
      </c>
      <c r="P153" s="196"/>
      <c r="X153" s="552">
        <v>987</v>
      </c>
      <c r="Y153" s="286">
        <v>987</v>
      </c>
      <c r="AA153" s="386">
        <f t="shared" si="16"/>
        <v>0</v>
      </c>
      <c r="AB153" s="286">
        <f t="shared" si="17"/>
        <v>0</v>
      </c>
    </row>
    <row r="154" spans="1:28" ht="69" customHeight="1" x14ac:dyDescent="0.3">
      <c r="A154" s="212">
        <f>'Unit Data from Audit Worksheet'!A184</f>
        <v>988</v>
      </c>
      <c r="B154" s="225">
        <f>'Unit Data from Audit Worksheet'!C184</f>
        <v>0</v>
      </c>
      <c r="C154" s="211" t="str">
        <f>'Unit Data from Audit Worksheet'!D184</f>
        <v>Do you operate a landfill that will be closing  or have a significant portion closing within the next 5 years?  Select "1" for Yes and "2" for No</v>
      </c>
      <c r="D154" s="230"/>
      <c r="E154" s="231">
        <f>'Unit Data from Audit Worksheet'!F184</f>
        <v>0</v>
      </c>
      <c r="F154" s="80"/>
      <c r="G154" s="226"/>
      <c r="H154" s="223"/>
      <c r="I154" s="32"/>
      <c r="J154" s="222">
        <v>988</v>
      </c>
      <c r="K154" s="52" t="s">
        <v>877</v>
      </c>
      <c r="L154" s="295">
        <f t="shared" si="15"/>
        <v>0</v>
      </c>
      <c r="P154" s="196"/>
      <c r="X154" s="552">
        <v>988</v>
      </c>
      <c r="Y154" s="286">
        <v>988</v>
      </c>
      <c r="AA154" s="386">
        <f t="shared" si="16"/>
        <v>0</v>
      </c>
      <c r="AB154" s="286">
        <f t="shared" si="17"/>
        <v>0</v>
      </c>
    </row>
    <row r="155" spans="1:28" ht="95.25" customHeight="1" x14ac:dyDescent="0.3">
      <c r="A155" s="212">
        <f>'Unit Data from Audit Worksheet'!A185</f>
        <v>989</v>
      </c>
      <c r="B155" s="225">
        <f>'Unit Data from Audit Worksheet'!C185</f>
        <v>0</v>
      </c>
      <c r="C155" s="211" t="str">
        <f>'Unit Data from Audit Worksheet'!D185</f>
        <v>If you answered "yes" to question #988 above, will you have the closure/postclosure cost fully funded by the date of closure?  Select "1" for Yes,  "2" for No, or "3" for N/A.</v>
      </c>
      <c r="D155" s="230"/>
      <c r="E155" s="231">
        <f>'Unit Data from Audit Worksheet'!F185</f>
        <v>0</v>
      </c>
      <c r="F155" s="80"/>
      <c r="G155" s="226"/>
      <c r="H155" s="223"/>
      <c r="I155" s="32"/>
      <c r="J155" s="222">
        <v>989</v>
      </c>
      <c r="K155" s="52" t="s">
        <v>811</v>
      </c>
      <c r="L155" s="295">
        <f t="shared" si="15"/>
        <v>0</v>
      </c>
      <c r="P155" s="196"/>
      <c r="X155" s="552">
        <v>989</v>
      </c>
      <c r="Y155" s="286">
        <v>989</v>
      </c>
      <c r="AA155" s="386">
        <f t="shared" si="16"/>
        <v>0</v>
      </c>
      <c r="AB155" s="286">
        <f t="shared" si="17"/>
        <v>0</v>
      </c>
    </row>
    <row r="156" spans="1:28" ht="57" customHeight="1" x14ac:dyDescent="0.3">
      <c r="A156" s="212">
        <f>'Unit Data from Audit Worksheet'!A189</f>
        <v>327</v>
      </c>
      <c r="B156" s="225" t="str">
        <f>'Unit Data from Audit Worksheet'!C189</f>
        <v>WS-Capital Assets Schedule in the Notes</v>
      </c>
      <c r="C156" s="211" t="str">
        <f>'Unit Data from Audit Worksheet'!D189</f>
        <v>Land and all other non depreciable capital assets 
Exclude construction in progress</v>
      </c>
      <c r="D156" s="230"/>
      <c r="E156" s="231">
        <f>'Unit Data from Audit Worksheet'!F189</f>
        <v>0</v>
      </c>
      <c r="F156" s="80"/>
      <c r="G156" s="226"/>
      <c r="H156" s="223"/>
      <c r="I156" s="32"/>
      <c r="J156" s="222">
        <v>327</v>
      </c>
      <c r="K156" s="52" t="s">
        <v>305</v>
      </c>
      <c r="L156" s="289">
        <f t="shared" si="15"/>
        <v>0</v>
      </c>
      <c r="P156" s="196"/>
      <c r="X156" s="552">
        <v>327</v>
      </c>
      <c r="Y156" s="286">
        <v>327</v>
      </c>
      <c r="AA156" s="386">
        <f t="shared" si="16"/>
        <v>0</v>
      </c>
      <c r="AB156" s="286">
        <f t="shared" si="17"/>
        <v>0</v>
      </c>
    </row>
    <row r="157" spans="1:28" ht="57" customHeight="1" x14ac:dyDescent="0.3">
      <c r="A157" s="212">
        <f>'Unit Data from Audit Worksheet'!A190</f>
        <v>328</v>
      </c>
      <c r="B157" s="225" t="str">
        <f>'Unit Data from Audit Worksheet'!C190</f>
        <v>WS-Capital Assets Schedule in the Notes</v>
      </c>
      <c r="C157" s="211" t="str">
        <f>'Unit Data from Audit Worksheet'!D190</f>
        <v>Construction in progress</v>
      </c>
      <c r="D157" s="230"/>
      <c r="E157" s="231">
        <f>'Unit Data from Audit Worksheet'!F190</f>
        <v>0</v>
      </c>
      <c r="F157" s="80"/>
      <c r="G157" s="226"/>
      <c r="H157" s="223"/>
      <c r="I157" s="32"/>
      <c r="J157" s="222">
        <v>328</v>
      </c>
      <c r="K157" s="52" t="s">
        <v>306</v>
      </c>
      <c r="L157" s="289">
        <f t="shared" si="15"/>
        <v>0</v>
      </c>
      <c r="P157" s="196"/>
      <c r="X157" s="552">
        <v>328</v>
      </c>
      <c r="Y157" s="286">
        <v>328</v>
      </c>
      <c r="AA157" s="386">
        <f t="shared" si="16"/>
        <v>0</v>
      </c>
      <c r="AB157" s="286">
        <f t="shared" si="17"/>
        <v>0</v>
      </c>
    </row>
    <row r="158" spans="1:28" ht="46.5" customHeight="1" x14ac:dyDescent="0.3">
      <c r="A158" s="212">
        <f>'Unit Data from Audit Worksheet'!A194</f>
        <v>515</v>
      </c>
      <c r="B158" s="225" t="str">
        <f>'Unit Data from Audit Worksheet'!C194</f>
        <v>WS Capital Assets Schedule-Gross Value</v>
      </c>
      <c r="C158" s="211" t="str">
        <f>'Unit Data from Audit Worksheet'!D194</f>
        <v>Buildings</v>
      </c>
      <c r="D158" s="230"/>
      <c r="E158" s="231">
        <f>'Unit Data from Audit Worksheet'!F194</f>
        <v>0</v>
      </c>
      <c r="F158" s="80"/>
      <c r="G158" s="226"/>
      <c r="H158" s="223"/>
      <c r="I158" s="32"/>
      <c r="J158" s="222">
        <v>515</v>
      </c>
      <c r="K158" s="52" t="s">
        <v>262</v>
      </c>
      <c r="L158" s="289">
        <f t="shared" si="15"/>
        <v>0</v>
      </c>
      <c r="P158" s="196"/>
      <c r="X158" s="552">
        <v>515</v>
      </c>
      <c r="Y158" s="286">
        <v>515</v>
      </c>
      <c r="AA158" s="386">
        <f t="shared" si="16"/>
        <v>0</v>
      </c>
      <c r="AB158" s="286">
        <f t="shared" si="17"/>
        <v>0</v>
      </c>
    </row>
    <row r="159" spans="1:28" ht="46.5" customHeight="1" x14ac:dyDescent="0.3">
      <c r="A159" s="212">
        <f>'Unit Data from Audit Worksheet'!A195</f>
        <v>516</v>
      </c>
      <c r="B159" s="225" t="str">
        <f>'Unit Data from Audit Worksheet'!C195</f>
        <v>WS Capital Assets Schedule-Gross Value</v>
      </c>
      <c r="C159" s="211" t="str">
        <f>'Unit Data from Audit Worksheet'!D195</f>
        <v>Plant / distributions systems / water lines</v>
      </c>
      <c r="D159" s="230"/>
      <c r="E159" s="231">
        <f>'Unit Data from Audit Worksheet'!F195</f>
        <v>0</v>
      </c>
      <c r="F159" s="80"/>
      <c r="G159" s="226"/>
      <c r="H159" s="223"/>
      <c r="I159" s="32"/>
      <c r="J159" s="222">
        <v>516</v>
      </c>
      <c r="K159" s="52" t="s">
        <v>263</v>
      </c>
      <c r="L159" s="289">
        <f t="shared" si="15"/>
        <v>0</v>
      </c>
      <c r="P159" s="196"/>
      <c r="X159" s="552">
        <v>516</v>
      </c>
      <c r="Y159" s="286">
        <v>516</v>
      </c>
      <c r="AA159" s="386">
        <f t="shared" si="16"/>
        <v>0</v>
      </c>
      <c r="AB159" s="286">
        <f t="shared" si="17"/>
        <v>0</v>
      </c>
    </row>
    <row r="160" spans="1:28" ht="46.5" customHeight="1" x14ac:dyDescent="0.3">
      <c r="A160" s="212">
        <f>'Unit Data from Audit Worksheet'!A196</f>
        <v>517</v>
      </c>
      <c r="B160" s="225" t="str">
        <f>'Unit Data from Audit Worksheet'!C196</f>
        <v>WS Capital Assets Schedule-Gross Value</v>
      </c>
      <c r="C160" s="211" t="str">
        <f>'Unit Data from Audit Worksheet'!D196</f>
        <v>Infrastructure(other infrastructure)</v>
      </c>
      <c r="D160" s="230"/>
      <c r="E160" s="231">
        <f>'Unit Data from Audit Worksheet'!F196</f>
        <v>0</v>
      </c>
      <c r="F160" s="80"/>
      <c r="G160" s="226"/>
      <c r="H160" s="223"/>
      <c r="I160" s="32"/>
      <c r="J160" s="222">
        <v>517</v>
      </c>
      <c r="K160" s="314" t="s">
        <v>264</v>
      </c>
      <c r="L160" s="289">
        <f t="shared" si="15"/>
        <v>0</v>
      </c>
      <c r="P160" s="196"/>
      <c r="X160" s="552">
        <v>517</v>
      </c>
      <c r="Y160" s="286">
        <v>517</v>
      </c>
      <c r="AA160" s="386">
        <f t="shared" si="16"/>
        <v>0</v>
      </c>
      <c r="AB160" s="286">
        <f t="shared" si="17"/>
        <v>0</v>
      </c>
    </row>
    <row r="161" spans="1:28" ht="46.5" customHeight="1" x14ac:dyDescent="0.3">
      <c r="A161" s="212">
        <f>'Unit Data from Audit Worksheet'!A197</f>
        <v>518</v>
      </c>
      <c r="B161" s="225" t="str">
        <f>'Unit Data from Audit Worksheet'!C197</f>
        <v>WS Capital Assets Schedule-Gross Value</v>
      </c>
      <c r="C161" s="211" t="str">
        <f>'Unit Data from Audit Worksheet'!D197</f>
        <v>All other depreciable capital assets</v>
      </c>
      <c r="D161" s="230"/>
      <c r="E161" s="231">
        <f>'Unit Data from Audit Worksheet'!F197</f>
        <v>0</v>
      </c>
      <c r="F161" s="80"/>
      <c r="G161" s="226"/>
      <c r="H161" s="223"/>
      <c r="I161" s="32"/>
      <c r="J161" s="222">
        <v>518</v>
      </c>
      <c r="K161" s="314" t="s">
        <v>265</v>
      </c>
      <c r="L161" s="289">
        <f t="shared" si="15"/>
        <v>0</v>
      </c>
      <c r="P161" s="196"/>
      <c r="X161" s="552">
        <v>518</v>
      </c>
      <c r="Y161" s="286">
        <v>518</v>
      </c>
      <c r="AA161" s="386">
        <f t="shared" si="16"/>
        <v>0</v>
      </c>
      <c r="AB161" s="286">
        <f t="shared" si="17"/>
        <v>0</v>
      </c>
    </row>
    <row r="162" spans="1:28" ht="52.5" customHeight="1" x14ac:dyDescent="0.3">
      <c r="A162" s="212">
        <f>'Unit Data from Audit Worksheet'!A200</f>
        <v>519</v>
      </c>
      <c r="B162" s="225" t="str">
        <f>'Unit Data from Audit Worksheet'!C200</f>
        <v>WS Capital Assets Schedule-Annual Depreciation</v>
      </c>
      <c r="C162" s="211" t="str">
        <f>'Unit Data from Audit Worksheet'!D200</f>
        <v>Buildings annual depreciation</v>
      </c>
      <c r="D162" s="230"/>
      <c r="E162" s="231">
        <f>'Unit Data from Audit Worksheet'!F200</f>
        <v>0</v>
      </c>
      <c r="F162" s="80"/>
      <c r="G162" s="226"/>
      <c r="H162" s="223"/>
      <c r="I162" s="32"/>
      <c r="J162" s="222">
        <v>519</v>
      </c>
      <c r="K162" s="314" t="s">
        <v>266</v>
      </c>
      <c r="L162" s="289">
        <f t="shared" si="15"/>
        <v>0</v>
      </c>
      <c r="P162" s="317"/>
      <c r="X162" s="552">
        <v>519</v>
      </c>
      <c r="Y162" s="286">
        <v>519</v>
      </c>
      <c r="AA162" s="386">
        <f t="shared" si="16"/>
        <v>0</v>
      </c>
      <c r="AB162" s="286">
        <f t="shared" si="17"/>
        <v>0</v>
      </c>
    </row>
    <row r="163" spans="1:28" ht="52.5" customHeight="1" x14ac:dyDescent="0.3">
      <c r="A163" s="212">
        <f>'Unit Data from Audit Worksheet'!A201</f>
        <v>520</v>
      </c>
      <c r="B163" s="225" t="str">
        <f>'Unit Data from Audit Worksheet'!C201</f>
        <v>WS Capital Assets Schedule-Annual Depreciation</v>
      </c>
      <c r="C163" s="211" t="str">
        <f>'Unit Data from Audit Worksheet'!D201</f>
        <v>Plant / distributions systems / water lines annual depreciation</v>
      </c>
      <c r="D163" s="230"/>
      <c r="E163" s="231">
        <f>'Unit Data from Audit Worksheet'!F201</f>
        <v>0</v>
      </c>
      <c r="F163" s="80"/>
      <c r="G163" s="226"/>
      <c r="H163" s="223"/>
      <c r="I163" s="32"/>
      <c r="J163" s="222">
        <v>520</v>
      </c>
      <c r="K163" s="314" t="s">
        <v>267</v>
      </c>
      <c r="L163" s="289">
        <f t="shared" si="15"/>
        <v>0</v>
      </c>
      <c r="P163" s="320"/>
      <c r="Q163" s="318"/>
      <c r="X163" s="552">
        <v>520</v>
      </c>
      <c r="Y163" s="286">
        <v>520</v>
      </c>
      <c r="AA163" s="386">
        <f t="shared" si="16"/>
        <v>0</v>
      </c>
      <c r="AB163" s="286">
        <f t="shared" si="17"/>
        <v>0</v>
      </c>
    </row>
    <row r="164" spans="1:28" ht="52.5" customHeight="1" x14ac:dyDescent="0.3">
      <c r="A164" s="212">
        <f>'Unit Data from Audit Worksheet'!A202</f>
        <v>521</v>
      </c>
      <c r="B164" s="225" t="str">
        <f>'Unit Data from Audit Worksheet'!C202</f>
        <v>WS Capital Assets Schedule-Annual Depreciation</v>
      </c>
      <c r="C164" s="211" t="str">
        <f>'Unit Data from Audit Worksheet'!D202</f>
        <v>Infrastructure(other infrastructure) annual depreciation</v>
      </c>
      <c r="D164" s="230"/>
      <c r="E164" s="231">
        <f>'Unit Data from Audit Worksheet'!F202</f>
        <v>0</v>
      </c>
      <c r="F164" s="80"/>
      <c r="G164" s="226"/>
      <c r="H164" s="223"/>
      <c r="I164" s="32"/>
      <c r="J164" s="222">
        <v>521</v>
      </c>
      <c r="K164" s="52" t="s">
        <v>268</v>
      </c>
      <c r="L164" s="289">
        <f t="shared" si="15"/>
        <v>0</v>
      </c>
      <c r="P164" s="196"/>
      <c r="Q164" s="187"/>
      <c r="X164" s="552">
        <v>521</v>
      </c>
      <c r="Y164" s="286">
        <v>521</v>
      </c>
      <c r="AA164" s="386">
        <f t="shared" si="16"/>
        <v>0</v>
      </c>
      <c r="AB164" s="286">
        <f t="shared" si="17"/>
        <v>0</v>
      </c>
    </row>
    <row r="165" spans="1:28" ht="42.75" customHeight="1" x14ac:dyDescent="0.3">
      <c r="A165" s="212">
        <f>'Unit Data from Audit Worksheet'!A203</f>
        <v>522</v>
      </c>
      <c r="B165" s="225" t="str">
        <f>'Unit Data from Audit Worksheet'!C203</f>
        <v>WS Capital Assets Schedule-Annual Depreciation</v>
      </c>
      <c r="C165" s="211" t="str">
        <f>'Unit Data from Audit Worksheet'!D203</f>
        <v>All other depreciable capital assets annual depreciation</v>
      </c>
      <c r="D165" s="230"/>
      <c r="E165" s="231">
        <f>'Unit Data from Audit Worksheet'!F203</f>
        <v>0</v>
      </c>
      <c r="F165" s="80"/>
      <c r="G165" s="226"/>
      <c r="H165" s="223"/>
      <c r="I165" s="32"/>
      <c r="J165" s="222">
        <v>522</v>
      </c>
      <c r="K165" s="52" t="s">
        <v>269</v>
      </c>
      <c r="L165" s="289">
        <f t="shared" si="15"/>
        <v>0</v>
      </c>
      <c r="P165" s="317"/>
      <c r="S165" s="18"/>
      <c r="T165" s="18"/>
      <c r="U165" s="18"/>
      <c r="V165" s="18"/>
      <c r="X165" s="552">
        <v>522</v>
      </c>
      <c r="Y165" s="286">
        <v>522</v>
      </c>
      <c r="Z165" s="18"/>
      <c r="AA165" s="386">
        <f t="shared" si="16"/>
        <v>0</v>
      </c>
      <c r="AB165" s="286">
        <f t="shared" si="17"/>
        <v>0</v>
      </c>
    </row>
    <row r="166" spans="1:28" ht="42.75" customHeight="1" x14ac:dyDescent="0.3">
      <c r="A166" s="212">
        <f>'Unit Data from Audit Worksheet'!A206</f>
        <v>523</v>
      </c>
      <c r="B166" s="225" t="str">
        <f>'Unit Data from Audit Worksheet'!C206</f>
        <v>WS Capital Assets Schedule-Accumulated Depreciation</v>
      </c>
      <c r="C166" s="211" t="str">
        <f>'Unit Data from Audit Worksheet'!D206</f>
        <v>Building accumulated depreciation</v>
      </c>
      <c r="D166" s="230"/>
      <c r="E166" s="231">
        <f>'Unit Data from Audit Worksheet'!F206</f>
        <v>0</v>
      </c>
      <c r="F166" s="80"/>
      <c r="G166" s="226"/>
      <c r="H166" s="223"/>
      <c r="I166" s="32"/>
      <c r="J166" s="222">
        <v>523</v>
      </c>
      <c r="K166" s="52" t="s">
        <v>270</v>
      </c>
      <c r="L166" s="289">
        <f t="shared" si="15"/>
        <v>0</v>
      </c>
      <c r="P166" s="317"/>
      <c r="S166" s="18"/>
      <c r="T166" s="18"/>
      <c r="U166" s="18"/>
      <c r="V166" s="18"/>
      <c r="X166" s="552">
        <v>523</v>
      </c>
      <c r="Y166" s="286">
        <v>523</v>
      </c>
      <c r="Z166" s="18"/>
      <c r="AA166" s="386">
        <f t="shared" si="16"/>
        <v>0</v>
      </c>
      <c r="AB166" s="286">
        <f t="shared" si="17"/>
        <v>0</v>
      </c>
    </row>
    <row r="167" spans="1:28" ht="51" customHeight="1" x14ac:dyDescent="0.3">
      <c r="A167" s="212">
        <f>'Unit Data from Audit Worksheet'!A207</f>
        <v>524</v>
      </c>
      <c r="B167" s="225" t="str">
        <f>'Unit Data from Audit Worksheet'!C207</f>
        <v>WS Capital Assets Schedule-Accumulated Depreciation</v>
      </c>
      <c r="C167" s="211" t="str">
        <f>'Unit Data from Audit Worksheet'!D207</f>
        <v>Plant / distributions systems / water lines accumulated depreciation</v>
      </c>
      <c r="D167" s="230"/>
      <c r="E167" s="231">
        <f>'Unit Data from Audit Worksheet'!F207</f>
        <v>0</v>
      </c>
      <c r="F167" s="80"/>
      <c r="G167" s="226"/>
      <c r="H167" s="223"/>
      <c r="I167" s="32"/>
      <c r="J167" s="222">
        <v>524</v>
      </c>
      <c r="K167" s="52" t="s">
        <v>271</v>
      </c>
      <c r="L167" s="289">
        <f t="shared" si="15"/>
        <v>0</v>
      </c>
      <c r="P167" s="317"/>
      <c r="S167" s="18"/>
      <c r="T167" s="18"/>
      <c r="U167" s="18"/>
      <c r="V167" s="18"/>
      <c r="X167" s="552">
        <v>524</v>
      </c>
      <c r="Y167" s="286">
        <v>524</v>
      </c>
      <c r="Z167" s="18"/>
      <c r="AA167" s="386">
        <f t="shared" si="16"/>
        <v>0</v>
      </c>
      <c r="AB167" s="286">
        <f t="shared" si="17"/>
        <v>0</v>
      </c>
    </row>
    <row r="168" spans="1:28" ht="57.75" customHeight="1" x14ac:dyDescent="0.3">
      <c r="A168" s="212">
        <f>'Unit Data from Audit Worksheet'!A208</f>
        <v>525</v>
      </c>
      <c r="B168" s="225" t="str">
        <f>'Unit Data from Audit Worksheet'!C208</f>
        <v>WS Capital Assets Schedule-Accumulated Depreciation</v>
      </c>
      <c r="C168" s="211" t="str">
        <f>'Unit Data from Audit Worksheet'!D208</f>
        <v>Infrastructure(other infrastructure) accumulated depreciation</v>
      </c>
      <c r="D168" s="230"/>
      <c r="E168" s="231">
        <f>'Unit Data from Audit Worksheet'!F208</f>
        <v>0</v>
      </c>
      <c r="F168" s="80"/>
      <c r="G168" s="226"/>
      <c r="H168" s="223"/>
      <c r="I168" s="32"/>
      <c r="J168" s="222">
        <v>525</v>
      </c>
      <c r="K168" s="52" t="s">
        <v>272</v>
      </c>
      <c r="L168" s="289">
        <f t="shared" si="15"/>
        <v>0</v>
      </c>
      <c r="P168" s="202"/>
      <c r="Q168" s="318"/>
      <c r="X168" s="552">
        <v>525</v>
      </c>
      <c r="Y168" s="286">
        <v>525</v>
      </c>
      <c r="AA168" s="386">
        <f t="shared" si="16"/>
        <v>0</v>
      </c>
      <c r="AB168" s="286">
        <f t="shared" si="17"/>
        <v>0</v>
      </c>
    </row>
    <row r="169" spans="1:28" ht="48" customHeight="1" x14ac:dyDescent="0.3">
      <c r="A169" s="212">
        <f>'Unit Data from Audit Worksheet'!A209</f>
        <v>526</v>
      </c>
      <c r="B169" s="225" t="str">
        <f>'Unit Data from Audit Worksheet'!C209</f>
        <v>WS Capital Assets Schedule-Accumulated Depreciation</v>
      </c>
      <c r="C169" s="211" t="str">
        <f>'Unit Data from Audit Worksheet'!D209</f>
        <v>All other depreciable capital assets accumulated depreciation</v>
      </c>
      <c r="D169" s="230"/>
      <c r="E169" s="231">
        <f>'Unit Data from Audit Worksheet'!F209</f>
        <v>0</v>
      </c>
      <c r="F169" s="80"/>
      <c r="G169" s="226"/>
      <c r="H169" s="223"/>
      <c r="I169" s="32"/>
      <c r="J169" s="222">
        <v>526</v>
      </c>
      <c r="K169" s="52" t="s">
        <v>273</v>
      </c>
      <c r="L169" s="289">
        <f t="shared" si="15"/>
        <v>0</v>
      </c>
      <c r="P169" s="196"/>
      <c r="Q169" s="3"/>
      <c r="X169" s="552">
        <v>526</v>
      </c>
      <c r="Y169" s="286">
        <v>526</v>
      </c>
      <c r="AA169" s="386">
        <f t="shared" si="16"/>
        <v>0</v>
      </c>
      <c r="AB169" s="286">
        <f t="shared" si="17"/>
        <v>0</v>
      </c>
    </row>
    <row r="170" spans="1:28" ht="50.25" customHeight="1" x14ac:dyDescent="0.3">
      <c r="A170" s="212">
        <f>'Unit Data from Audit Worksheet'!A214</f>
        <v>527</v>
      </c>
      <c r="B170" s="225" t="str">
        <f>'Unit Data from Audit Worksheet'!C214</f>
        <v>Electric Assets</v>
      </c>
      <c r="C170" s="211" t="str">
        <f>'Unit Data from Audit Worksheet'!D214</f>
        <v>Total Assets Gross value not being depreciated for Electric Fund</v>
      </c>
      <c r="D170" s="230"/>
      <c r="E170" s="231">
        <f>'Unit Data from Audit Worksheet'!F214</f>
        <v>0</v>
      </c>
      <c r="F170" s="80"/>
      <c r="G170" s="226"/>
      <c r="H170" s="223"/>
      <c r="I170" s="32"/>
      <c r="J170" s="222">
        <v>527</v>
      </c>
      <c r="K170" s="52" t="s">
        <v>274</v>
      </c>
      <c r="L170" s="289">
        <f t="shared" si="15"/>
        <v>0</v>
      </c>
      <c r="P170" s="196"/>
      <c r="X170" s="552">
        <v>527</v>
      </c>
      <c r="Y170" s="286">
        <v>527</v>
      </c>
      <c r="AA170" s="386">
        <f t="shared" si="16"/>
        <v>0</v>
      </c>
      <c r="AB170" s="286">
        <f t="shared" si="17"/>
        <v>0</v>
      </c>
    </row>
    <row r="171" spans="1:28" ht="54.75" customHeight="1" x14ac:dyDescent="0.3">
      <c r="A171" s="212">
        <f>'Unit Data from Audit Worksheet'!A215</f>
        <v>356</v>
      </c>
      <c r="B171" s="225" t="str">
        <f>'Unit Data from Audit Worksheet'!C215</f>
        <v>Electric Assets</v>
      </c>
      <c r="C171" s="211" t="str">
        <f>'Unit Data from Audit Worksheet'!D215</f>
        <v>Total Assets Gross value of assets being depreciated for Electric Fund</v>
      </c>
      <c r="D171" s="230"/>
      <c r="E171" s="231">
        <f>'Unit Data from Audit Worksheet'!F215</f>
        <v>0</v>
      </c>
      <c r="F171" s="80"/>
      <c r="G171" s="226"/>
      <c r="H171" s="223"/>
      <c r="I171" s="32"/>
      <c r="J171" s="222">
        <v>356</v>
      </c>
      <c r="K171" s="52" t="s">
        <v>307</v>
      </c>
      <c r="L171" s="289">
        <f t="shared" si="15"/>
        <v>0</v>
      </c>
      <c r="P171" s="196"/>
      <c r="X171" s="552">
        <v>356</v>
      </c>
      <c r="Y171" s="286">
        <v>356</v>
      </c>
      <c r="AA171" s="386">
        <f t="shared" si="16"/>
        <v>0</v>
      </c>
      <c r="AB171" s="286">
        <f t="shared" si="17"/>
        <v>0</v>
      </c>
    </row>
    <row r="172" spans="1:28" ht="54.75" customHeight="1" x14ac:dyDescent="0.3">
      <c r="A172" s="212">
        <f>'Unit Data from Audit Worksheet'!A216</f>
        <v>357</v>
      </c>
      <c r="B172" s="225" t="str">
        <f>'Unit Data from Audit Worksheet'!C216</f>
        <v>Electric Accumulated Depreciation</v>
      </c>
      <c r="C172" s="211" t="str">
        <f>'Unit Data from Audit Worksheet'!D216</f>
        <v>Total accumulated depreciation for Electric Fund assets</v>
      </c>
      <c r="D172" s="230"/>
      <c r="E172" s="231">
        <f>'Unit Data from Audit Worksheet'!F216</f>
        <v>0</v>
      </c>
      <c r="F172" s="80"/>
      <c r="G172" s="226"/>
      <c r="H172" s="223"/>
      <c r="I172" s="32"/>
      <c r="J172" s="222">
        <v>357</v>
      </c>
      <c r="K172" s="52" t="s">
        <v>308</v>
      </c>
      <c r="L172" s="289">
        <f t="shared" si="15"/>
        <v>0</v>
      </c>
      <c r="P172" s="196"/>
      <c r="X172" s="552">
        <v>357</v>
      </c>
      <c r="Y172" s="286">
        <v>357</v>
      </c>
      <c r="AA172" s="386">
        <f t="shared" si="16"/>
        <v>0</v>
      </c>
      <c r="AB172" s="286">
        <f t="shared" si="17"/>
        <v>0</v>
      </c>
    </row>
    <row r="173" spans="1:28" ht="191.25" customHeight="1" x14ac:dyDescent="0.3">
      <c r="A173" s="212">
        <f>'Unit Data from Audit Worksheet'!A218</f>
        <v>337</v>
      </c>
      <c r="B173" s="225" t="str">
        <f>'Unit Data from Audit Worksheet'!C218</f>
        <v>Long-Term Liability Note - Governmental Activities</v>
      </c>
      <c r="C173" s="225"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0"/>
      <c r="E173" s="231">
        <f>'Unit Data from Audit Worksheet'!F218</f>
        <v>0</v>
      </c>
      <c r="F173" s="224">
        <f>IF(L173&lt;0,"Error: Enter as a positive.",)</f>
        <v>0</v>
      </c>
      <c r="G173" s="226"/>
      <c r="H173" s="223"/>
      <c r="I173" s="32"/>
      <c r="J173" s="222">
        <v>337</v>
      </c>
      <c r="K173" s="221" t="s">
        <v>245</v>
      </c>
      <c r="L173" s="289">
        <f t="shared" si="15"/>
        <v>0</v>
      </c>
      <c r="P173" s="196"/>
      <c r="X173" s="552">
        <v>337</v>
      </c>
      <c r="Y173" s="286">
        <v>337</v>
      </c>
      <c r="AA173" s="386">
        <f t="shared" si="16"/>
        <v>0</v>
      </c>
      <c r="AB173" s="286">
        <f t="shared" si="17"/>
        <v>0</v>
      </c>
    </row>
    <row r="174" spans="1:28" ht="76.5" customHeight="1" x14ac:dyDescent="0.3">
      <c r="A174" s="212">
        <f>'Unit Data from Audit Worksheet'!A219</f>
        <v>343</v>
      </c>
      <c r="B174" s="225" t="str">
        <f>'Unit Data from Audit Worksheet'!C219</f>
        <v>Long-Term Liability Note - Governmental Activities</v>
      </c>
      <c r="C174" s="211" t="str">
        <f>'Unit Data from Audit Worksheet'!D219</f>
        <v>Decreases made (principal paid) on Long-Term Debt in current fiscal year.  Reduce for debt refunding.</v>
      </c>
      <c r="D174" s="230"/>
      <c r="E174" s="231">
        <f>'Unit Data from Audit Worksheet'!F219</f>
        <v>0</v>
      </c>
      <c r="F174" s="224">
        <f>IF(L174&lt;0,"Error: Enter as a positive.",)</f>
        <v>0</v>
      </c>
      <c r="G174" s="226"/>
      <c r="H174" s="223"/>
      <c r="I174" s="32"/>
      <c r="J174" s="222">
        <v>343</v>
      </c>
      <c r="K174" s="221" t="s">
        <v>246</v>
      </c>
      <c r="L174" s="289">
        <f t="shared" si="15"/>
        <v>0</v>
      </c>
      <c r="P174" s="196"/>
      <c r="X174" s="552">
        <v>343</v>
      </c>
      <c r="Y174" s="294">
        <v>343</v>
      </c>
      <c r="AA174" s="386">
        <f t="shared" si="16"/>
        <v>0</v>
      </c>
      <c r="AB174" s="286">
        <f t="shared" si="17"/>
        <v>0</v>
      </c>
    </row>
    <row r="175" spans="1:28" ht="193.5" customHeight="1" x14ac:dyDescent="0.3">
      <c r="A175" s="212">
        <f>'Unit Data from Audit Worksheet'!A220</f>
        <v>82</v>
      </c>
      <c r="B175" s="225" t="str">
        <f>'Unit Data from Audit Worksheet'!C220</f>
        <v>Long-Term Liability Note - Water Sewer Activities</v>
      </c>
      <c r="C175" s="225" t="str">
        <f>'Unit Data from Audit Worksheet'!D220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0"/>
      <c r="E175" s="231">
        <f>'Unit Data from Audit Worksheet'!F220</f>
        <v>0</v>
      </c>
      <c r="F175" s="224">
        <f>IF(L175&lt;0,"Error: Enter as a positive.",)</f>
        <v>0</v>
      </c>
      <c r="G175" s="226"/>
      <c r="H175" s="223"/>
      <c r="I175" s="32"/>
      <c r="J175" s="222">
        <v>82</v>
      </c>
      <c r="K175" s="62" t="s">
        <v>309</v>
      </c>
      <c r="L175" s="289">
        <f t="shared" si="15"/>
        <v>0</v>
      </c>
      <c r="P175" s="196"/>
      <c r="X175" s="552">
        <v>82</v>
      </c>
      <c r="Y175" s="286">
        <v>82</v>
      </c>
      <c r="AA175" s="386">
        <f t="shared" si="16"/>
        <v>0</v>
      </c>
      <c r="AB175" s="286">
        <f t="shared" si="17"/>
        <v>0</v>
      </c>
    </row>
    <row r="176" spans="1:28" ht="206.25" customHeight="1" x14ac:dyDescent="0.3">
      <c r="A176" s="212">
        <f>'Unit Data from Audit Worksheet'!A221</f>
        <v>359</v>
      </c>
      <c r="B176" s="225" t="str">
        <f>'Unit Data from Audit Worksheet'!C221</f>
        <v>Long-Term Liability Note - Electric Activities</v>
      </c>
      <c r="C176" s="225" t="str">
        <f>'Unit Data from Audit Worksheet'!D221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0"/>
      <c r="E176" s="231">
        <f>'Unit Data from Audit Worksheet'!F221</f>
        <v>0</v>
      </c>
      <c r="F176" s="224">
        <f>IF(L176&lt;0,"Error: Enter as a positive.",)</f>
        <v>0</v>
      </c>
      <c r="G176" s="226"/>
      <c r="H176" s="223"/>
      <c r="I176" s="32"/>
      <c r="J176" s="222">
        <v>359</v>
      </c>
      <c r="K176" s="221" t="s">
        <v>247</v>
      </c>
      <c r="L176" s="289">
        <f t="shared" si="15"/>
        <v>0</v>
      </c>
      <c r="P176" s="196"/>
      <c r="X176" s="552">
        <v>359</v>
      </c>
      <c r="Y176" s="286">
        <v>359</v>
      </c>
      <c r="AA176" s="386">
        <f t="shared" si="16"/>
        <v>0</v>
      </c>
      <c r="AB176" s="286">
        <f t="shared" si="17"/>
        <v>0</v>
      </c>
    </row>
    <row r="177" spans="1:28" ht="76.5" customHeight="1" x14ac:dyDescent="0.3">
      <c r="A177" s="212">
        <f>'Unit Data from Audit Worksheet'!A223</f>
        <v>622</v>
      </c>
      <c r="B177" s="225" t="str">
        <f>'Unit Data from Audit Worksheet'!C223</f>
        <v>FS., Pension note or RSI</v>
      </c>
      <c r="C177" s="225" t="str">
        <f>'Unit Data from Audit Worksheet'!D223</f>
        <v xml:space="preserve">Unit's Share of Net Pension Liability ($s)
- unit of government is a participating employer in the State's TSERS (Teachers' and State Employees' Retirement System) or the LGERS (Local Governmental Employees' Retirement System).  </v>
      </c>
      <c r="D177" s="230"/>
      <c r="E177" s="231">
        <f>'Unit Data from Audit Worksheet'!F223</f>
        <v>0</v>
      </c>
      <c r="F177" s="224"/>
      <c r="G177" s="226"/>
      <c r="H177" s="223"/>
      <c r="I177" s="32"/>
      <c r="J177" s="222">
        <v>622</v>
      </c>
      <c r="K177" s="228" t="s">
        <v>359</v>
      </c>
      <c r="L177" s="289">
        <f t="shared" si="15"/>
        <v>0</v>
      </c>
      <c r="P177" s="196"/>
      <c r="S177" s="18"/>
      <c r="T177" s="18"/>
      <c r="U177" s="18"/>
      <c r="V177" s="18"/>
      <c r="X177" s="552">
        <v>622</v>
      </c>
      <c r="Y177" s="286">
        <v>622</v>
      </c>
      <c r="Z177" s="18"/>
      <c r="AA177" s="386">
        <f t="shared" si="16"/>
        <v>0</v>
      </c>
      <c r="AB177" s="286">
        <f t="shared" si="17"/>
        <v>0</v>
      </c>
    </row>
    <row r="178" spans="1:28" ht="138.75" customHeight="1" x14ac:dyDescent="0.3">
      <c r="A178" s="212">
        <f>'Unit Data from Audit Worksheet'!A224</f>
        <v>577</v>
      </c>
      <c r="B178" s="225" t="str">
        <f>'Unit Data from Audit Worksheet'!C224</f>
        <v>Pension Notes</v>
      </c>
      <c r="C178" s="225" t="str">
        <f>'Unit Data from Audit Worksheet'!D224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0"/>
      <c r="E178" s="231">
        <f>'Unit Data from Audit Worksheet'!F224</f>
        <v>0</v>
      </c>
      <c r="F178" s="224"/>
      <c r="G178" s="226"/>
      <c r="H178" s="223"/>
      <c r="I178" s="32"/>
      <c r="J178" s="222">
        <v>577</v>
      </c>
      <c r="K178" s="228" t="s">
        <v>331</v>
      </c>
      <c r="L178" s="289">
        <f t="shared" si="15"/>
        <v>0</v>
      </c>
      <c r="P178" s="196"/>
      <c r="S178" s="18"/>
      <c r="T178" s="18"/>
      <c r="U178" s="18"/>
      <c r="V178" s="18"/>
      <c r="X178" s="552">
        <v>577</v>
      </c>
      <c r="Y178" s="286">
        <v>577</v>
      </c>
      <c r="Z178" s="18"/>
      <c r="AA178" s="386">
        <f t="shared" si="16"/>
        <v>0</v>
      </c>
      <c r="AB178" s="286">
        <f t="shared" si="17"/>
        <v>0</v>
      </c>
    </row>
    <row r="179" spans="1:28" ht="115.5" customHeight="1" x14ac:dyDescent="0.3">
      <c r="A179" s="315">
        <f>'Unit Data from Audit Worksheet'!A226</f>
        <v>598</v>
      </c>
      <c r="B179" s="225" t="str">
        <f>'Unit Data from Audit Worksheet'!C226</f>
        <v>LEO Note</v>
      </c>
      <c r="C179" s="211" t="str">
        <f>'Unit Data from Audit Worksheet'!D226</f>
        <v>Amount the unit paid out in benefits under LEO special separation allowance to retired law enforcement officers this fiscal year if you report under GASB 68 or GASB 73.</v>
      </c>
      <c r="D179" s="230"/>
      <c r="E179" s="231">
        <f>'Unit Data from Audit Worksheet'!F226</f>
        <v>0</v>
      </c>
      <c r="F179" s="224">
        <f>IF(L179&lt;0,"Error: Enter as a positive.",)</f>
        <v>0</v>
      </c>
      <c r="G179" s="226"/>
      <c r="H179" s="223"/>
      <c r="I179" s="32"/>
      <c r="J179" s="222">
        <v>598</v>
      </c>
      <c r="K179" s="87" t="s">
        <v>343</v>
      </c>
      <c r="L179" s="289">
        <f t="shared" si="15"/>
        <v>0</v>
      </c>
      <c r="P179" s="196"/>
      <c r="S179" s="18"/>
      <c r="T179" s="18"/>
      <c r="U179" s="18"/>
      <c r="V179" s="18"/>
      <c r="X179" s="552">
        <v>598</v>
      </c>
      <c r="Y179" s="286">
        <v>598</v>
      </c>
      <c r="Z179" s="18"/>
      <c r="AA179" s="386">
        <f t="shared" si="16"/>
        <v>0</v>
      </c>
      <c r="AB179" s="286">
        <f t="shared" si="17"/>
        <v>0</v>
      </c>
    </row>
    <row r="180" spans="1:28" ht="84" customHeight="1" x14ac:dyDescent="0.3">
      <c r="A180" s="212">
        <f>'Unit Data from Audit Worksheet'!A227</f>
        <v>599</v>
      </c>
      <c r="B180" s="225" t="str">
        <f>'Unit Data from Audit Worksheet'!C227</f>
        <v>LEO Note</v>
      </c>
      <c r="C180" s="211" t="str">
        <f>'Unit Data from Audit Worksheet'!D227</f>
        <v>The total LEO pension liability if you report under GASB 68 or GASB 73.</v>
      </c>
      <c r="D180" s="230"/>
      <c r="E180" s="231">
        <f>'Unit Data from Audit Worksheet'!F227</f>
        <v>0</v>
      </c>
      <c r="F180" s="224">
        <f>IF(L180&lt;0,"Error: Enter as a positive.",)</f>
        <v>0</v>
      </c>
      <c r="G180" s="226"/>
      <c r="H180" s="223"/>
      <c r="I180" s="32"/>
      <c r="J180" s="222">
        <v>599</v>
      </c>
      <c r="K180" s="86" t="s">
        <v>342</v>
      </c>
      <c r="L180" s="289">
        <f t="shared" si="15"/>
        <v>0</v>
      </c>
      <c r="P180" s="196"/>
      <c r="X180" s="552">
        <v>599</v>
      </c>
      <c r="Y180" s="286">
        <v>599</v>
      </c>
      <c r="AA180" s="386">
        <f t="shared" si="16"/>
        <v>0</v>
      </c>
      <c r="AB180" s="286">
        <f t="shared" si="17"/>
        <v>0</v>
      </c>
    </row>
    <row r="181" spans="1:28" ht="102.75" customHeight="1" x14ac:dyDescent="0.3">
      <c r="A181" s="212">
        <f>'Unit Data from Audit Worksheet'!A228</f>
        <v>602</v>
      </c>
      <c r="B181" s="225" t="str">
        <f>'Unit Data from Audit Worksheet'!C228</f>
        <v>LEO Note</v>
      </c>
      <c r="C181" s="211" t="str">
        <f>'Unit Data from Audit Worksheet'!D228</f>
        <v>If you have LEO pension assets and are reporting under GASB 68 please enter "Plan Fiduciary Net Position" which can be found on your RSI schedules and the Notes.</v>
      </c>
      <c r="D181" s="230"/>
      <c r="E181" s="231">
        <f>'Unit Data from Audit Worksheet'!F228</f>
        <v>0</v>
      </c>
      <c r="F181" s="224">
        <f>IF(L181&lt;0,"Error: Enter as a positive.",)</f>
        <v>0</v>
      </c>
      <c r="G181" s="226"/>
      <c r="H181" s="223"/>
      <c r="I181" s="32"/>
      <c r="J181" s="222">
        <v>602</v>
      </c>
      <c r="K181" s="23" t="s">
        <v>344</v>
      </c>
      <c r="L181" s="289">
        <f t="shared" si="15"/>
        <v>0</v>
      </c>
      <c r="P181" s="196"/>
      <c r="X181" s="552">
        <v>602</v>
      </c>
      <c r="Y181" s="286">
        <v>602</v>
      </c>
      <c r="AA181" s="386">
        <f t="shared" si="16"/>
        <v>0</v>
      </c>
      <c r="AB181" s="286">
        <f t="shared" si="17"/>
        <v>0</v>
      </c>
    </row>
    <row r="182" spans="1:28" ht="123" customHeight="1" x14ac:dyDescent="0.3">
      <c r="A182" s="212">
        <f>'Unit Data from Audit Worksheet'!A229</f>
        <v>619</v>
      </c>
      <c r="B182" s="225" t="str">
        <f>'Unit Data from Audit Worksheet'!C229</f>
        <v>LEO
RSI</v>
      </c>
      <c r="C182" s="87" t="str">
        <f>'Unit Data from Audit Worksheet'!D229</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Worksheet'!F229</f>
        <v>0</v>
      </c>
      <c r="F182" s="224" t="str">
        <f>IF(H182=L182,"","Column L does not equal Column H")</f>
        <v/>
      </c>
      <c r="G182" s="226"/>
      <c r="H182" s="95">
        <f>ROUND(IFERROR((L181/L180)*100,0),1)</f>
        <v>0</v>
      </c>
      <c r="I182" s="32"/>
      <c r="J182" s="214">
        <v>619</v>
      </c>
      <c r="K182" s="94" t="s">
        <v>449</v>
      </c>
      <c r="L182" s="731">
        <f t="shared" si="15"/>
        <v>0</v>
      </c>
      <c r="P182" s="196"/>
      <c r="X182" s="552">
        <v>619</v>
      </c>
      <c r="Y182" s="286">
        <v>619</v>
      </c>
      <c r="AA182" s="386">
        <f t="shared" si="16"/>
        <v>0</v>
      </c>
      <c r="AB182" s="286">
        <f t="shared" si="17"/>
        <v>0</v>
      </c>
    </row>
    <row r="183" spans="1:28" ht="113.25" customHeight="1" x14ac:dyDescent="0.3">
      <c r="A183" s="212">
        <v>621</v>
      </c>
      <c r="B183" s="51" t="s">
        <v>353</v>
      </c>
      <c r="C183" s="319" t="str">
        <f>'Unit Data from Audit Worksheet'!D231</f>
        <v xml:space="preserve">Unit's share of Retirement Health Benefit Fund Net OPEB Liability ($s)
- unit of government is a participating employer in the State's RHBF </v>
      </c>
      <c r="D183" s="88"/>
      <c r="E183" s="231">
        <f>'Unit Data from Audit Worksheet'!F231</f>
        <v>0</v>
      </c>
      <c r="F183" s="224">
        <f>IF(L183&lt;0,"Error: Enter as a positive.",)</f>
        <v>0</v>
      </c>
      <c r="G183" s="120"/>
      <c r="H183" s="223"/>
      <c r="I183" s="32"/>
      <c r="J183" s="320">
        <v>621</v>
      </c>
      <c r="K183" s="121" t="s">
        <v>453</v>
      </c>
      <c r="L183" s="289">
        <f t="shared" si="15"/>
        <v>0</v>
      </c>
      <c r="P183" s="197"/>
      <c r="X183" s="552">
        <v>621</v>
      </c>
      <c r="Y183" s="286">
        <v>621</v>
      </c>
      <c r="AA183" s="386">
        <f t="shared" si="16"/>
        <v>0</v>
      </c>
      <c r="AB183" s="286">
        <f t="shared" si="17"/>
        <v>0</v>
      </c>
    </row>
    <row r="184" spans="1:28" s="18" customFormat="1" ht="127.5" customHeight="1" x14ac:dyDescent="0.3">
      <c r="A184" s="315">
        <f>'Unit Data from Audit Worksheet'!A232</f>
        <v>547</v>
      </c>
      <c r="B184" s="225" t="str">
        <f>'Unit Data from Audit Worksheet'!C232</f>
        <v>OPEB Note</v>
      </c>
      <c r="C184" s="225" t="str">
        <f>'Unit Data from Audit Worksheet'!D232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0"/>
      <c r="E184" s="231">
        <f>'Unit Data from Audit Worksheet'!F232</f>
        <v>0</v>
      </c>
      <c r="F184" s="224" t="str">
        <f>IF(L187&lt;1,"Please answer this question","")</f>
        <v>Please answer this question</v>
      </c>
      <c r="G184" s="226"/>
      <c r="H184" s="223"/>
      <c r="I184" s="32"/>
      <c r="J184" s="222">
        <v>547</v>
      </c>
      <c r="K184" s="321" t="s">
        <v>297</v>
      </c>
      <c r="L184" s="289">
        <f t="shared" si="15"/>
        <v>0</v>
      </c>
      <c r="M184"/>
      <c r="P184" s="197"/>
      <c r="Q184" s="279"/>
      <c r="R184" s="3"/>
      <c r="S184" s="3"/>
      <c r="T184" s="3"/>
      <c r="U184" s="3"/>
      <c r="V184" s="3"/>
      <c r="W184" s="3"/>
      <c r="X184" s="552">
        <v>547</v>
      </c>
      <c r="Y184" s="286">
        <v>547</v>
      </c>
      <c r="Z184" s="3"/>
      <c r="AA184" s="386">
        <f t="shared" si="16"/>
        <v>0</v>
      </c>
      <c r="AB184" s="286">
        <f t="shared" si="17"/>
        <v>0</v>
      </c>
    </row>
    <row r="185" spans="1:28" s="18" customFormat="1" ht="99" customHeight="1" x14ac:dyDescent="0.3">
      <c r="A185" s="212">
        <f>'Unit Data from Audit Worksheet'!A233</f>
        <v>659</v>
      </c>
      <c r="B185" s="225" t="str">
        <f>'Unit Data from Audit Worksheet'!C233</f>
        <v>OPEB
 Note or RSI</v>
      </c>
      <c r="C185" s="211" t="str">
        <f>'Unit Data from Audit Worksheet'!D233</f>
        <v>Total OPEB benefits - total OPEB liability
If you do not provide benefit, please enter 0</v>
      </c>
      <c r="D185" s="230"/>
      <c r="E185" s="231">
        <f>'Unit Data from Audit Worksheet'!F233</f>
        <v>0</v>
      </c>
      <c r="F185" s="224">
        <f>IF(L185&lt;0,"Error: Enter as a positive.",)</f>
        <v>0</v>
      </c>
      <c r="G185" s="322" t="s">
        <v>1559</v>
      </c>
      <c r="H185" s="223"/>
      <c r="I185" s="32"/>
      <c r="J185" s="214">
        <v>659</v>
      </c>
      <c r="K185" s="213" t="s">
        <v>418</v>
      </c>
      <c r="L185" s="302">
        <f t="shared" si="15"/>
        <v>0</v>
      </c>
      <c r="M185"/>
      <c r="P185" s="197"/>
      <c r="Q185" s="279"/>
      <c r="R185" s="3"/>
      <c r="S185" s="3"/>
      <c r="T185" s="3"/>
      <c r="U185" s="3"/>
      <c r="V185" s="3"/>
      <c r="W185" s="3"/>
      <c r="X185" s="552">
        <v>659</v>
      </c>
      <c r="Y185" s="286">
        <v>659</v>
      </c>
      <c r="Z185" s="3"/>
      <c r="AA185" s="386">
        <f t="shared" si="16"/>
        <v>0</v>
      </c>
      <c r="AB185" s="286">
        <f t="shared" si="17"/>
        <v>0</v>
      </c>
    </row>
    <row r="186" spans="1:28" s="18" customFormat="1" ht="131.25" customHeight="1" x14ac:dyDescent="0.3">
      <c r="A186" s="212">
        <f>'Unit Data from Audit Worksheet'!A234</f>
        <v>660</v>
      </c>
      <c r="B186" s="225" t="str">
        <f>'Unit Data from Audit Worksheet'!C234</f>
        <v>OPEB
 Note or RSI</v>
      </c>
      <c r="C186" s="211" t="str">
        <f>'Unit Data from Audit Worksheet'!D234</f>
        <v>Total OPEB benefits- OPEB plan fiduciary net position
If no fiduciary net position, enter 0</v>
      </c>
      <c r="D186" s="230"/>
      <c r="E186" s="231">
        <f>'Unit Data from Audit Worksheet'!F234</f>
        <v>0</v>
      </c>
      <c r="F186" s="220">
        <f>IF(L186&lt;0,"Note: Number is normally positive.",)</f>
        <v>0</v>
      </c>
      <c r="G186" s="322" t="s">
        <v>1559</v>
      </c>
      <c r="H186" s="223"/>
      <c r="I186" s="32"/>
      <c r="J186" s="214">
        <v>660</v>
      </c>
      <c r="K186" s="213" t="s">
        <v>419</v>
      </c>
      <c r="L186" s="302">
        <f t="shared" si="15"/>
        <v>0</v>
      </c>
      <c r="M186"/>
      <c r="P186" s="197"/>
      <c r="Q186" s="279"/>
      <c r="R186" s="3"/>
      <c r="S186" s="3"/>
      <c r="T186" s="3"/>
      <c r="U186" s="3"/>
      <c r="V186" s="3"/>
      <c r="W186" s="3"/>
      <c r="X186" s="552">
        <v>660</v>
      </c>
      <c r="Y186" s="286">
        <v>660</v>
      </c>
      <c r="Z186" s="3"/>
      <c r="AA186" s="386">
        <f t="shared" si="16"/>
        <v>0</v>
      </c>
      <c r="AB186" s="286">
        <f t="shared" si="17"/>
        <v>0</v>
      </c>
    </row>
    <row r="187" spans="1:28" ht="134.25" customHeight="1" x14ac:dyDescent="0.3">
      <c r="A187" s="212">
        <f>'Unit Data from Audit Worksheet'!A235</f>
        <v>661</v>
      </c>
      <c r="B187" s="225" t="str">
        <f>'Unit Data from Audit Worksheet'!C235</f>
        <v>OPEB
RSI</v>
      </c>
      <c r="C187" s="211" t="str">
        <f>'Unit Data from Audit Worksheet'!D235</f>
        <v>Total OPEB benefits - What is the plan’s fiduciary net position as a percentage of the total OPEB liability?  Please enter as percentage value; for example, 83.5% should be entered as 83.5.  If assets have not been set aside in a trust, please enter 0.0</v>
      </c>
      <c r="D187" s="88"/>
      <c r="E187" s="210">
        <f>'Unit Data from Audit Worksheet'!F235</f>
        <v>0</v>
      </c>
      <c r="F187" s="224" t="str">
        <f>IF(H187=L187,"","Column L does not equal Column H")</f>
        <v/>
      </c>
      <c r="G187" s="322" t="s">
        <v>1559</v>
      </c>
      <c r="H187" s="160">
        <f>ROUND(IFERROR((L186/L185)*100,0),1)</f>
        <v>0</v>
      </c>
      <c r="I187" s="32"/>
      <c r="J187" s="214">
        <v>661</v>
      </c>
      <c r="K187" s="228" t="s">
        <v>421</v>
      </c>
      <c r="L187" s="732">
        <f>IF(D187="",E187,D187)</f>
        <v>0</v>
      </c>
      <c r="P187" s="197"/>
      <c r="X187" s="552">
        <v>661</v>
      </c>
      <c r="Y187" s="3">
        <v>661</v>
      </c>
      <c r="AA187" s="386">
        <f t="shared" si="16"/>
        <v>0</v>
      </c>
      <c r="AB187" s="286">
        <f t="shared" si="17"/>
        <v>0</v>
      </c>
    </row>
    <row r="188" spans="1:28" ht="65.25" customHeight="1" x14ac:dyDescent="0.3">
      <c r="A188" s="212">
        <f>'Unit Data from Audit Worksheet'!A238</f>
        <v>371</v>
      </c>
      <c r="B188" s="225" t="str">
        <f>'Unit Data from Audit Worksheet'!C238</f>
        <v>Transfer Note</v>
      </c>
      <c r="C188" s="211" t="str">
        <f>'Unit Data from Audit Worksheet'!D238</f>
        <v>Amount of Transfers from the General Fund to the Debt Service Fund (Enter as positive)</v>
      </c>
      <c r="D188" s="230"/>
      <c r="E188" s="231">
        <f>'Unit Data from Audit Worksheet'!F238</f>
        <v>0</v>
      </c>
      <c r="F188" s="224">
        <f>IF(L188&lt;0,"Error: Enter as a positive.",)</f>
        <v>0</v>
      </c>
      <c r="G188" s="226"/>
      <c r="H188" s="223"/>
      <c r="I188" s="32"/>
      <c r="J188" s="33">
        <v>371</v>
      </c>
      <c r="K188" s="221" t="s">
        <v>248</v>
      </c>
      <c r="L188" s="289">
        <f t="shared" si="15"/>
        <v>0</v>
      </c>
      <c r="P188" s="199"/>
      <c r="X188" s="552">
        <v>371</v>
      </c>
      <c r="Y188" s="3">
        <v>371</v>
      </c>
      <c r="AA188" s="386">
        <f t="shared" si="16"/>
        <v>0</v>
      </c>
      <c r="AB188" s="286">
        <f t="shared" si="17"/>
        <v>0</v>
      </c>
    </row>
    <row r="189" spans="1:28" s="386" customFormat="1" ht="65.25" customHeight="1" x14ac:dyDescent="0.3">
      <c r="A189" s="304">
        <f>'Unit Data from Audit Worksheet'!A239</f>
        <v>1075</v>
      </c>
      <c r="B189" s="229" t="str">
        <f>'Unit Data from Audit Worksheet'!C239</f>
        <v>Transfer Note</v>
      </c>
      <c r="C189" s="305" t="str">
        <f>'Unit Data from Audit Worksheet'!D239</f>
        <v>Transfers from General Fund to Water and Sewer Fund.  (Enter as positive)</v>
      </c>
      <c r="D189" s="230"/>
      <c r="E189" s="232">
        <f>'Unit Data from Audit Worksheet'!F239</f>
        <v>0</v>
      </c>
      <c r="F189" s="224"/>
      <c r="G189" s="226"/>
      <c r="H189" s="223"/>
      <c r="I189" s="32"/>
      <c r="J189" s="799">
        <v>1075</v>
      </c>
      <c r="K189" s="118" t="s">
        <v>1660</v>
      </c>
      <c r="L189" s="306">
        <f t="shared" si="15"/>
        <v>0</v>
      </c>
      <c r="M189" s="180"/>
      <c r="P189" s="199"/>
      <c r="Q189" s="279"/>
      <c r="X189" s="552"/>
      <c r="AB189" s="286"/>
    </row>
    <row r="190" spans="1:28" s="386" customFormat="1" ht="65.25" customHeight="1" x14ac:dyDescent="0.3">
      <c r="A190" s="304">
        <f>'Unit Data from Audit Worksheet'!A240</f>
        <v>1076</v>
      </c>
      <c r="B190" s="229" t="str">
        <f>'Unit Data from Audit Worksheet'!C240</f>
        <v>Transfer Note</v>
      </c>
      <c r="C190" s="305" t="str">
        <f>'Unit Data from Audit Worksheet'!D240</f>
        <v>Transfers from Water and Sewer to General Fund.  (Enter as positive)</v>
      </c>
      <c r="D190" s="230"/>
      <c r="E190" s="232">
        <f>'Unit Data from Audit Worksheet'!F240</f>
        <v>0</v>
      </c>
      <c r="F190" s="224"/>
      <c r="G190" s="226"/>
      <c r="H190" s="223"/>
      <c r="I190" s="32"/>
      <c r="J190" s="799">
        <v>1076</v>
      </c>
      <c r="K190" s="118" t="s">
        <v>1661</v>
      </c>
      <c r="L190" s="306">
        <f t="shared" si="15"/>
        <v>0</v>
      </c>
      <c r="M190" s="180"/>
      <c r="P190" s="199"/>
      <c r="Q190" s="279"/>
      <c r="X190" s="552"/>
      <c r="AB190" s="286"/>
    </row>
    <row r="191" spans="1:28" s="386" customFormat="1" ht="65.25" customHeight="1" x14ac:dyDescent="0.3">
      <c r="A191" s="304">
        <f>'Unit Data from Audit Worksheet'!A241</f>
        <v>1077</v>
      </c>
      <c r="B191" s="229" t="str">
        <f>'Unit Data from Audit Worksheet'!C241</f>
        <v>Water and Sewer - Fund Revenue, Expenses &amp; Changes in Fund Net Position or Notes to Financial Statements</v>
      </c>
      <c r="C191" s="305" t="str">
        <f>'Unit Data from Audit Worksheet'!D241</f>
        <v>Amount transferred from the Water and Sewer Fund to a Water and Sewer Capital Project Fund</v>
      </c>
      <c r="D191" s="230"/>
      <c r="E191" s="232">
        <f>'Unit Data from Audit Worksheet'!F241</f>
        <v>0</v>
      </c>
      <c r="F191" s="224"/>
      <c r="G191" s="226"/>
      <c r="H191" s="223"/>
      <c r="I191" s="32"/>
      <c r="J191" s="799">
        <v>1077</v>
      </c>
      <c r="K191" s="118" t="s">
        <v>1662</v>
      </c>
      <c r="L191" s="306">
        <f t="shared" si="15"/>
        <v>0</v>
      </c>
      <c r="M191" s="180"/>
      <c r="P191" s="199"/>
      <c r="Q191" s="279"/>
      <c r="X191" s="552"/>
      <c r="AB191" s="286"/>
    </row>
    <row r="192" spans="1:28" ht="63" customHeight="1" x14ac:dyDescent="0.3">
      <c r="A192" s="212">
        <f>'Unit Data from Audit Worksheet'!A242</f>
        <v>513</v>
      </c>
      <c r="B192" s="225" t="str">
        <f>'Unit Data from Audit Worksheet'!C242</f>
        <v>Transfer Note</v>
      </c>
      <c r="C192" s="211" t="str">
        <f>'Unit Data from Audit Worksheet'!D242</f>
        <v>Amount of Transfers from the General Fund to the Electric Fund  (Enter as positive)</v>
      </c>
      <c r="D192" s="230"/>
      <c r="E192" s="231">
        <f>'Unit Data from Audit Worksheet'!F242</f>
        <v>0</v>
      </c>
      <c r="F192" s="224">
        <f>IF(L192&lt;0,"Error: Enter as a positive.",)</f>
        <v>0</v>
      </c>
      <c r="G192" s="226"/>
      <c r="H192" s="223"/>
      <c r="I192" s="32"/>
      <c r="J192" s="222">
        <v>513</v>
      </c>
      <c r="K192" s="221" t="s">
        <v>249</v>
      </c>
      <c r="L192" s="289">
        <f t="shared" si="15"/>
        <v>0</v>
      </c>
      <c r="P192" s="199"/>
      <c r="X192" s="552">
        <v>513</v>
      </c>
      <c r="Y192" s="3">
        <v>513</v>
      </c>
      <c r="AA192" s="386">
        <f t="shared" si="16"/>
        <v>0</v>
      </c>
      <c r="AB192" s="286">
        <f t="shared" si="17"/>
        <v>0</v>
      </c>
    </row>
    <row r="193" spans="1:28" ht="89.25" customHeight="1" x14ac:dyDescent="0.3">
      <c r="A193" s="212">
        <f>'Unit Data from Audit Worksheet'!A243</f>
        <v>514</v>
      </c>
      <c r="B193" s="225" t="str">
        <f>'Unit Data from Audit Worksheet'!C243</f>
        <v>Transfer Note</v>
      </c>
      <c r="C193" s="211" t="str">
        <f>'Unit Data from Audit Worksheet'!D243</f>
        <v>Amount of Transfers from the Electric Fund to the General Fund  (Enter as positive)
Include:  Payment in Lieu of Taxes (PILOT)</v>
      </c>
      <c r="D193" s="230"/>
      <c r="E193" s="231">
        <f>'Unit Data from Audit Worksheet'!F243</f>
        <v>0</v>
      </c>
      <c r="F193" s="224">
        <f>IF(L193&lt;0,"Error: Enter as a positive.",)</f>
        <v>0</v>
      </c>
      <c r="G193" s="226"/>
      <c r="H193" s="223"/>
      <c r="I193" s="32"/>
      <c r="J193" s="222">
        <v>514</v>
      </c>
      <c r="K193" s="221" t="s">
        <v>250</v>
      </c>
      <c r="L193" s="289">
        <f t="shared" si="15"/>
        <v>0</v>
      </c>
      <c r="P193" s="199"/>
      <c r="X193" s="552">
        <v>514</v>
      </c>
      <c r="Y193" s="3">
        <v>514</v>
      </c>
      <c r="AA193" s="386">
        <f t="shared" si="16"/>
        <v>0</v>
      </c>
      <c r="AB193" s="286">
        <f t="shared" si="17"/>
        <v>0</v>
      </c>
    </row>
    <row r="194" spans="1:28" ht="89.25" customHeight="1" x14ac:dyDescent="0.3">
      <c r="A194" s="212">
        <f>'Unit Data from Audit Worksheet'!A244</f>
        <v>990</v>
      </c>
      <c r="B194" s="225" t="str">
        <f>'Unit Data from Audit Worksheet'!C244</f>
        <v>Transfer Note</v>
      </c>
      <c r="C194" s="211" t="str">
        <f>'Unit Data from Audit Worksheet'!D244</f>
        <v>Amount of transfer out of the Electric to the General Fund that is for Payment in Lieu of Taxes (PILOT)</v>
      </c>
      <c r="D194" s="230"/>
      <c r="E194" s="231">
        <f>'Unit Data from Audit Worksheet'!F244</f>
        <v>0</v>
      </c>
      <c r="F194" s="224"/>
      <c r="G194" s="226"/>
      <c r="H194" s="223"/>
      <c r="I194" s="32"/>
      <c r="J194" s="222">
        <v>990</v>
      </c>
      <c r="K194" s="221" t="s">
        <v>583</v>
      </c>
      <c r="L194" s="289">
        <f t="shared" si="15"/>
        <v>0</v>
      </c>
      <c r="P194" s="199"/>
      <c r="X194" s="552">
        <v>990</v>
      </c>
      <c r="Y194" s="3">
        <v>990</v>
      </c>
      <c r="AA194" s="386">
        <f t="shared" si="16"/>
        <v>0</v>
      </c>
      <c r="AB194" s="286">
        <f t="shared" si="17"/>
        <v>0</v>
      </c>
    </row>
    <row r="195" spans="1:28" s="386" customFormat="1" ht="89.25" customHeight="1" x14ac:dyDescent="0.3">
      <c r="A195" s="212">
        <f>'Unit Data from Audit Worksheet'!A245</f>
        <v>1051</v>
      </c>
      <c r="B195" s="225" t="str">
        <f>'Unit Data from Audit Worksheet'!C245</f>
        <v>Electric Fund Revenue, Expenses &amp; Changes in Fund Net Position or Notes to Financial Statements</v>
      </c>
      <c r="C195" s="211" t="str">
        <f>'Unit Data from Audit Worksheet'!D245</f>
        <v>Transfers to Electric Capital Projects</v>
      </c>
      <c r="D195" s="230"/>
      <c r="E195" s="231">
        <f>'Unit Data from Audit Worksheet'!F245</f>
        <v>0</v>
      </c>
      <c r="F195" s="224"/>
      <c r="G195" s="226"/>
      <c r="H195" s="223"/>
      <c r="I195" s="32"/>
      <c r="J195" s="222">
        <v>1051</v>
      </c>
      <c r="K195" s="221" t="s">
        <v>1502</v>
      </c>
      <c r="L195" s="295">
        <f t="shared" si="15"/>
        <v>0</v>
      </c>
      <c r="M195"/>
      <c r="P195" s="199"/>
      <c r="Q195" s="279"/>
      <c r="X195" s="552"/>
      <c r="AB195" s="286"/>
    </row>
    <row r="196" spans="1:28" ht="84.75" customHeight="1" x14ac:dyDescent="0.3">
      <c r="A196" s="323">
        <f>'Unit Data from Audit Worksheet'!A247</f>
        <v>6</v>
      </c>
      <c r="B196" s="47" t="str">
        <f>'Unit Data from Audit Worksheet'!C247</f>
        <v>Fund Balance Note</v>
      </c>
      <c r="C196" s="298" t="str">
        <f>'Unit Data from Audit Worksheet'!D247</f>
        <v>General Fund -  Total Encumbrances.  You will probably have to refer to the note disclosure where the amount of encumbrances is listed.</v>
      </c>
      <c r="D196" s="230"/>
      <c r="E196" s="144">
        <f>'Unit Data from Audit Worksheet'!F247</f>
        <v>0</v>
      </c>
      <c r="F196" s="31">
        <f>IF(L196&lt;0,"Error: Enter as a positive.",)</f>
        <v>0</v>
      </c>
      <c r="G196" s="66"/>
      <c r="H196" s="223"/>
      <c r="I196" s="32"/>
      <c r="J196" s="35">
        <v>6</v>
      </c>
      <c r="K196" s="125" t="s">
        <v>251</v>
      </c>
      <c r="L196" s="289">
        <f t="shared" si="15"/>
        <v>0</v>
      </c>
      <c r="P196" s="199"/>
      <c r="X196" s="552">
        <v>6</v>
      </c>
      <c r="Y196" s="3">
        <v>6</v>
      </c>
      <c r="AA196" s="386">
        <f t="shared" si="16"/>
        <v>0</v>
      </c>
      <c r="AB196" s="286">
        <f t="shared" si="17"/>
        <v>0</v>
      </c>
    </row>
    <row r="197" spans="1:28" ht="117.75" customHeight="1" x14ac:dyDescent="0.3">
      <c r="A197" s="212">
        <f>'Unit Data from Audit Worksheet'!A249</f>
        <v>541</v>
      </c>
      <c r="B197" s="225" t="str">
        <f>'Unit Data from Audit Worksheet'!C249</f>
        <v>Water Sewer - Budget Actual Statement</v>
      </c>
      <c r="C197" s="225" t="str">
        <f>'Unit Data from Audit Worksheet'!D249</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7" s="230"/>
      <c r="E197" s="231">
        <f>'Unit Data from Audit Worksheet'!F249</f>
        <v>0</v>
      </c>
      <c r="F197" s="224"/>
      <c r="G197" s="226"/>
      <c r="H197" s="223"/>
      <c r="I197" s="32"/>
      <c r="J197" s="222">
        <v>541</v>
      </c>
      <c r="K197" s="81" t="s">
        <v>310</v>
      </c>
      <c r="L197" s="289">
        <f t="shared" si="15"/>
        <v>0</v>
      </c>
      <c r="P197" s="199"/>
      <c r="X197" s="552">
        <v>541</v>
      </c>
      <c r="Y197" s="3">
        <v>541</v>
      </c>
      <c r="AA197" s="386">
        <f t="shared" si="16"/>
        <v>0</v>
      </c>
      <c r="AB197" s="286">
        <f t="shared" si="17"/>
        <v>0</v>
      </c>
    </row>
    <row r="198" spans="1:28" ht="94.5" customHeight="1" x14ac:dyDescent="0.3">
      <c r="A198" s="212">
        <f>'Unit Data from Audit Worksheet'!A251</f>
        <v>542</v>
      </c>
      <c r="B198" s="225" t="str">
        <f>'Unit Data from Audit Worksheet'!C251</f>
        <v>Water Sewer - Disclosed in the Notes or in the recently approved Budget for next year.</v>
      </c>
      <c r="C198" s="211" t="str">
        <f>'Unit Data from Audit Worksheet'!D251</f>
        <v>Amount of the Water Sewer Fund Balance appropriated in next year's budget?</v>
      </c>
      <c r="D198" s="230"/>
      <c r="E198" s="231">
        <f>'Unit Data from Audit Worksheet'!F251</f>
        <v>0</v>
      </c>
      <c r="F198" s="224"/>
      <c r="G198" s="226"/>
      <c r="H198" s="223"/>
      <c r="I198" s="32"/>
      <c r="J198" s="222">
        <v>542</v>
      </c>
      <c r="K198" s="221" t="s">
        <v>252</v>
      </c>
      <c r="L198" s="289">
        <f t="shared" si="15"/>
        <v>0</v>
      </c>
      <c r="N198" s="54" t="s">
        <v>301</v>
      </c>
      <c r="P198" s="199"/>
      <c r="X198" s="552">
        <v>542</v>
      </c>
      <c r="Y198" s="3">
        <v>542</v>
      </c>
      <c r="AA198" s="386">
        <f t="shared" si="16"/>
        <v>0</v>
      </c>
      <c r="AB198" s="286">
        <f t="shared" si="17"/>
        <v>0</v>
      </c>
    </row>
    <row r="199" spans="1:28" ht="93.75" customHeight="1" x14ac:dyDescent="0.3">
      <c r="A199" s="212">
        <f>'Unit Data from Audit Worksheet'!A254</f>
        <v>528</v>
      </c>
      <c r="B199" s="225" t="str">
        <f>'Unit Data from Audit Worksheet'!C254</f>
        <v>Analysis of Current Tax Levy Schedule</v>
      </c>
      <c r="C199" s="211" t="str">
        <f>'Unit Data from Audit Worksheet'!D254</f>
        <v>Please enter the Net Current year's levy for property excluding registered motor vehicles-- (after adjusting for discoveries and abatements) - 
Exclude Supplemental Taxes</v>
      </c>
      <c r="D199" s="230"/>
      <c r="E199" s="231">
        <f>'Unit Data from Audit Worksheet'!F254</f>
        <v>0</v>
      </c>
      <c r="F199" s="75" t="str">
        <f>IF(L199=0,"Must be completed if unit levys taxes","")</f>
        <v>Must be completed if unit levys taxes</v>
      </c>
      <c r="G199" s="226"/>
      <c r="H199" s="223"/>
      <c r="I199" s="32"/>
      <c r="J199" s="222">
        <v>528</v>
      </c>
      <c r="K199" s="324" t="s">
        <v>257</v>
      </c>
      <c r="L199" s="289">
        <f t="shared" si="15"/>
        <v>0</v>
      </c>
      <c r="N199" s="76"/>
      <c r="P199" s="199"/>
      <c r="X199" s="552">
        <v>528</v>
      </c>
      <c r="Y199" s="3">
        <v>528</v>
      </c>
      <c r="AA199" s="386">
        <f t="shared" si="16"/>
        <v>0</v>
      </c>
      <c r="AB199" s="286">
        <f t="shared" si="17"/>
        <v>0</v>
      </c>
    </row>
    <row r="200" spans="1:28" s="18" customFormat="1" ht="79.5" customHeight="1" x14ac:dyDescent="0.3">
      <c r="A200" s="212">
        <f>'Unit Data from Audit Worksheet'!A255</f>
        <v>529</v>
      </c>
      <c r="B200" s="225" t="str">
        <f>'Unit Data from Audit Worksheet'!C255</f>
        <v>Analysis of Current Tax Levy Schedule</v>
      </c>
      <c r="C200" s="211" t="str">
        <f>'Unit Data from Audit Worksheet'!D255</f>
        <v>Please enter the Net Current year's levy -- Motor vehicles (only) (after adjusting for discoveries and abatements)
Exclude supplemental taxes</v>
      </c>
      <c r="D200" s="230"/>
      <c r="E200" s="231">
        <f>'Unit Data from Audit Worksheet'!F255</f>
        <v>0</v>
      </c>
      <c r="F200" s="75" t="str">
        <f>IF(L200=0,"Must be completed if unit levys taxes","")</f>
        <v>Must be completed if unit levys taxes</v>
      </c>
      <c r="G200" s="226"/>
      <c r="H200" s="223"/>
      <c r="I200" s="32"/>
      <c r="J200" s="222">
        <v>529</v>
      </c>
      <c r="K200" s="324" t="s">
        <v>258</v>
      </c>
      <c r="L200" s="289">
        <f t="shared" si="15"/>
        <v>0</v>
      </c>
      <c r="M200"/>
      <c r="N200" s="76"/>
      <c r="P200" s="199"/>
      <c r="Q200" s="279"/>
      <c r="R200" s="3"/>
      <c r="S200" s="3"/>
      <c r="T200" s="3"/>
      <c r="U200" s="3"/>
      <c r="V200" s="3"/>
      <c r="W200" s="3"/>
      <c r="X200" s="552">
        <v>529</v>
      </c>
      <c r="Y200" s="3">
        <v>529</v>
      </c>
      <c r="Z200" s="3"/>
      <c r="AA200" s="386">
        <f t="shared" si="16"/>
        <v>0</v>
      </c>
      <c r="AB200" s="286">
        <f t="shared" si="17"/>
        <v>0</v>
      </c>
    </row>
    <row r="201" spans="1:28" s="18" customFormat="1" ht="75" customHeight="1" x14ac:dyDescent="0.3">
      <c r="A201" s="212">
        <f>'Unit Data from Audit Worksheet'!A256</f>
        <v>530</v>
      </c>
      <c r="B201" s="225" t="str">
        <f>'Unit Data from Audit Worksheet'!C256</f>
        <v>Analysis of Current Tax Levy Schedule</v>
      </c>
      <c r="C201" s="211" t="str">
        <f>'Unit Data from Audit Worksheet'!D256</f>
        <v>Uncollected Taxes - Curr Year's Levy Exclude Motor Vehicles
Exclude supplemental taxes</v>
      </c>
      <c r="D201" s="230"/>
      <c r="E201" s="231">
        <f>'Unit Data from Audit Worksheet'!F256</f>
        <v>0</v>
      </c>
      <c r="F201" s="75" t="str">
        <f>IF(L201=0,"Must be completed if unit levys taxes","")</f>
        <v>Must be completed if unit levys taxes</v>
      </c>
      <c r="G201" s="226"/>
      <c r="H201" s="223"/>
      <c r="I201" s="32"/>
      <c r="J201" s="222">
        <v>530</v>
      </c>
      <c r="K201" s="324" t="s">
        <v>259</v>
      </c>
      <c r="L201" s="289">
        <f t="shared" ref="L201:L207" si="18">IF(D201="",E201,D201)</f>
        <v>0</v>
      </c>
      <c r="M201"/>
      <c r="N201" s="76"/>
      <c r="P201" s="199"/>
      <c r="Q201" s="279"/>
      <c r="R201" s="3"/>
      <c r="S201" s="3"/>
      <c r="T201" s="3"/>
      <c r="U201" s="3"/>
      <c r="V201" s="3"/>
      <c r="W201" s="3"/>
      <c r="X201" s="552">
        <v>530</v>
      </c>
      <c r="Y201" s="3">
        <v>530</v>
      </c>
      <c r="Z201" s="3"/>
      <c r="AA201" s="386">
        <f t="shared" si="16"/>
        <v>0</v>
      </c>
      <c r="AB201" s="286">
        <f t="shared" si="17"/>
        <v>0</v>
      </c>
    </row>
    <row r="202" spans="1:28" s="18" customFormat="1" ht="68.25" customHeight="1" x14ac:dyDescent="0.3">
      <c r="A202" s="212">
        <f>'Unit Data from Audit Worksheet'!A257</f>
        <v>531</v>
      </c>
      <c r="B202" s="225" t="str">
        <f>'Unit Data from Audit Worksheet'!C257</f>
        <v>Analysis of Current Tax Levy Schedule</v>
      </c>
      <c r="C202" s="211" t="str">
        <f>'Unit Data from Audit Worksheet'!D257</f>
        <v>Uncollected Taxes - Curr Year's Levy Motor Vehicles
Exclude supplemental taxes</v>
      </c>
      <c r="D202" s="230"/>
      <c r="E202" s="231">
        <f>'Unit Data from Audit Worksheet'!F257</f>
        <v>0</v>
      </c>
      <c r="F202" s="75"/>
      <c r="G202" s="226"/>
      <c r="H202" s="223"/>
      <c r="I202" s="32"/>
      <c r="J202" s="222">
        <v>531</v>
      </c>
      <c r="K202" s="324" t="s">
        <v>260</v>
      </c>
      <c r="L202" s="289">
        <f t="shared" si="18"/>
        <v>0</v>
      </c>
      <c r="M202"/>
      <c r="N202" s="76" t="str">
        <f>IF(T183=0,"Must be completed if unit levys taxes, zero acceptable if Motor Vehicle collection rate is 100%","")</f>
        <v>Must be completed if unit levys taxes, zero acceptable if Motor Vehicle collection rate is 100%</v>
      </c>
      <c r="P202" s="199"/>
      <c r="Q202" s="279"/>
      <c r="R202" s="3"/>
      <c r="S202" s="3"/>
      <c r="T202" s="3"/>
      <c r="U202" s="3"/>
      <c r="V202" s="3"/>
      <c r="W202" s="3"/>
      <c r="X202" s="552">
        <v>531</v>
      </c>
      <c r="Y202" s="3">
        <v>531</v>
      </c>
      <c r="Z202" s="3"/>
      <c r="AA202" s="386">
        <f t="shared" si="16"/>
        <v>0</v>
      </c>
      <c r="AB202" s="286">
        <f t="shared" si="17"/>
        <v>0</v>
      </c>
    </row>
    <row r="203" spans="1:28" ht="90.75" customHeight="1" x14ac:dyDescent="0.3">
      <c r="A203" s="212">
        <f>'Unit Data from Audit Worksheet'!A258</f>
        <v>61</v>
      </c>
      <c r="B203" s="225" t="str">
        <f>'Unit Data from Audit Worksheet'!C258</f>
        <v>Analysis of Current Tax Levy Schedule</v>
      </c>
      <c r="C203" s="211" t="str">
        <f>'Unit Data from Audit Worksheet'!D258</f>
        <v>Tax collection rate- Total Levy UNIT-WIDE
Exclude supplemental taxes
(Enter as a percentage with two decimal places)</v>
      </c>
      <c r="D203" s="82"/>
      <c r="E203" s="141">
        <f>'Unit Data from Audit Worksheet'!F258</f>
        <v>0</v>
      </c>
      <c r="F203" s="80" t="str">
        <f>IF(L203=H203,"","Column H calculates the percentage using accounts 528, 529, 530, 531, please enter the correct amounts from the audit schedule for these cells")</f>
        <v/>
      </c>
      <c r="G203" s="226" t="str">
        <f>IF(Q180=1," Included in error count"," ")</f>
        <v xml:space="preserve"> </v>
      </c>
      <c r="H203" s="226">
        <f>ROUND(IFERROR(((L199+L200)-(L201+L202))/(L199+L200)*100,0),2)</f>
        <v>0</v>
      </c>
      <c r="I203" s="32"/>
      <c r="J203" s="222">
        <v>61</v>
      </c>
      <c r="K203" s="52" t="s">
        <v>254</v>
      </c>
      <c r="L203" s="733">
        <f t="shared" si="18"/>
        <v>0</v>
      </c>
      <c r="N203" s="76"/>
      <c r="P203" s="199"/>
      <c r="X203" s="552">
        <v>61</v>
      </c>
      <c r="Y203" s="3">
        <v>61</v>
      </c>
      <c r="AA203" s="386">
        <f t="shared" si="16"/>
        <v>0</v>
      </c>
      <c r="AB203" s="286">
        <f t="shared" si="17"/>
        <v>0</v>
      </c>
    </row>
    <row r="204" spans="1:28" ht="89.25" customHeight="1" x14ac:dyDescent="0.3">
      <c r="A204" s="212">
        <f>'Unit Data from Audit Worksheet'!A259</f>
        <v>102</v>
      </c>
      <c r="B204" s="225" t="str">
        <f>'Unit Data from Audit Worksheet'!C259</f>
        <v>Analysis of Current Tax Levy Schedule</v>
      </c>
      <c r="C204" s="211" t="str">
        <f>'Unit Data from Audit Worksheet'!D259</f>
        <v>Tax collection rate - Excluding Registered motor vehicles
Exclude supplemental taxes
(Enter as a percentage with two decimal places)</v>
      </c>
      <c r="D204" s="82"/>
      <c r="E204" s="141">
        <f>'Unit Data from Audit Worksheet'!F259</f>
        <v>0</v>
      </c>
      <c r="F204" s="80" t="str">
        <f>IF(L204=H204,"","Column H calculates the percentage using accounts 528 and 530,  please enter the correct amounts from the audit schedule for these cells")</f>
        <v/>
      </c>
      <c r="G204" s="226" t="str">
        <f>IF(Q181=1," Included in error count"," ")</f>
        <v xml:space="preserve"> </v>
      </c>
      <c r="H204" s="226">
        <f>ROUND(IFERROR(((L199)-(L201))/(L199)*100,0),2)</f>
        <v>0</v>
      </c>
      <c r="I204" s="32"/>
      <c r="J204" s="222">
        <v>102</v>
      </c>
      <c r="K204" s="52" t="s">
        <v>255</v>
      </c>
      <c r="L204" s="733">
        <f t="shared" si="18"/>
        <v>0</v>
      </c>
      <c r="N204" s="76"/>
      <c r="P204" s="199"/>
      <c r="X204" s="552">
        <v>102</v>
      </c>
      <c r="Y204" s="3">
        <v>102</v>
      </c>
      <c r="AA204" s="386">
        <f t="shared" si="16"/>
        <v>0</v>
      </c>
      <c r="AB204" s="286">
        <f t="shared" si="17"/>
        <v>0</v>
      </c>
    </row>
    <row r="205" spans="1:28" ht="87.75" customHeight="1" x14ac:dyDescent="0.3">
      <c r="A205" s="212">
        <f>'Unit Data from Audit Worksheet'!A260</f>
        <v>103</v>
      </c>
      <c r="B205" s="225" t="str">
        <f>'Unit Data from Audit Worksheet'!C260</f>
        <v>Analysis of Current Tax Levy Schedule</v>
      </c>
      <c r="C205" s="211" t="str">
        <f>'Unit Data from Audit Worksheet'!D260</f>
        <v>Tax collection rate - Registered motor vehicles
Exclude supplemental taxes
(Enter as a percentage with two decimal places)</v>
      </c>
      <c r="D205" s="82"/>
      <c r="E205" s="141">
        <f>'Unit Data from Audit Worksheet'!F260</f>
        <v>0</v>
      </c>
      <c r="F205" s="80" t="str">
        <f>IF(L205=H205,"","Column H calculates the percentage using accounts 529 and 531, please enter the correct amounts from the audit schedule for these cells")</f>
        <v/>
      </c>
      <c r="G205" s="226" t="str">
        <f>IF(Q182=1," Included in error count"," ")</f>
        <v xml:space="preserve"> </v>
      </c>
      <c r="H205" s="226">
        <f>ROUND(IFERROR(((L200)-(L202))/(L200)*100,0),2)</f>
        <v>0</v>
      </c>
      <c r="I205" s="32"/>
      <c r="J205" s="222">
        <v>103</v>
      </c>
      <c r="K205" s="52" t="s">
        <v>256</v>
      </c>
      <c r="L205" s="733">
        <f t="shared" si="18"/>
        <v>0</v>
      </c>
      <c r="N205" s="76"/>
      <c r="P205" s="199"/>
      <c r="X205" s="552">
        <v>103</v>
      </c>
      <c r="Y205" s="3">
        <v>103</v>
      </c>
      <c r="AA205" s="386">
        <f t="shared" si="16"/>
        <v>0</v>
      </c>
      <c r="AB205" s="286">
        <f t="shared" si="17"/>
        <v>0</v>
      </c>
    </row>
    <row r="206" spans="1:28" ht="86.25" customHeight="1" x14ac:dyDescent="0.3">
      <c r="A206" s="212">
        <f>'Unit Data from Audit Worksheet'!A261</f>
        <v>544</v>
      </c>
      <c r="B206" s="225" t="str">
        <f>'Unit Data from Audit Worksheet'!C261</f>
        <v>Analysis of Current Tax Levy Schedule</v>
      </c>
      <c r="C206" s="211" t="str">
        <f>'Unit Data from Audit Worksheet'!D261</f>
        <v>Property Tax Increase for Year Audited- enter amount of  increase in cents per $100 - leave blank if no increase 
Exclude supplemental taxes</v>
      </c>
      <c r="D206" s="230"/>
      <c r="E206" s="138">
        <f>'Unit Data from Audit Worksheet'!F261</f>
        <v>0</v>
      </c>
      <c r="F206" s="96"/>
      <c r="G206" s="226"/>
      <c r="H206" s="223">
        <f>'Unit Data from Audit Worksheet'!I261</f>
        <v>0</v>
      </c>
      <c r="I206" s="32"/>
      <c r="J206" s="222">
        <v>544</v>
      </c>
      <c r="K206" s="52" t="s">
        <v>52</v>
      </c>
      <c r="L206" s="325">
        <f t="shared" si="18"/>
        <v>0</v>
      </c>
      <c r="N206" s="54" t="s">
        <v>301</v>
      </c>
      <c r="P206" s="199"/>
      <c r="X206" s="552">
        <v>544</v>
      </c>
      <c r="Y206" s="3">
        <v>544</v>
      </c>
      <c r="AA206" s="386">
        <f t="shared" si="16"/>
        <v>0</v>
      </c>
      <c r="AB206" s="286">
        <f t="shared" si="17"/>
        <v>0</v>
      </c>
    </row>
    <row r="207" spans="1:28" ht="93.75" customHeight="1" x14ac:dyDescent="0.3">
      <c r="A207" s="212">
        <f>'Unit Data from Audit Worksheet'!A262</f>
        <v>545</v>
      </c>
      <c r="B207" s="225" t="str">
        <f>'Unit Data from Audit Worksheet'!C262</f>
        <v>Analysis of Current Tax Levy Schedule</v>
      </c>
      <c r="C207" s="211" t="str">
        <f>'Unit Data from Audit Worksheet'!D262</f>
        <v>Property Tax Increase for budget year after fiscal year being reported - enter amount of increase in cents per $100- leave blank if no increase
Exclude supplemental taxes</v>
      </c>
      <c r="D207" s="230"/>
      <c r="E207" s="138">
        <f>'Unit Data from Audit Worksheet'!F262</f>
        <v>0</v>
      </c>
      <c r="F207" s="224"/>
      <c r="G207" s="226"/>
      <c r="H207" s="223">
        <f>'Unit Data from Audit Worksheet'!I262</f>
        <v>0</v>
      </c>
      <c r="I207" s="32"/>
      <c r="J207" s="97">
        <v>545</v>
      </c>
      <c r="K207" s="52" t="s">
        <v>53</v>
      </c>
      <c r="L207" s="325">
        <f t="shared" si="18"/>
        <v>0</v>
      </c>
      <c r="N207" s="54" t="s">
        <v>301</v>
      </c>
      <c r="O207" s="297"/>
      <c r="P207" s="199"/>
      <c r="X207" s="552">
        <v>545</v>
      </c>
      <c r="Y207" s="3">
        <v>545</v>
      </c>
      <c r="AA207" s="386">
        <f t="shared" si="16"/>
        <v>0</v>
      </c>
      <c r="AB207" s="286">
        <f t="shared" si="17"/>
        <v>0</v>
      </c>
    </row>
    <row r="208" spans="1:28" ht="72.75" customHeight="1" x14ac:dyDescent="0.3">
      <c r="A208" s="212">
        <f>'Unit Data from Audit Worksheet'!A263</f>
        <v>624</v>
      </c>
      <c r="B208" s="225"/>
      <c r="C208" s="211" t="str">
        <f>'Unit Data from Audit Worksheet'!D263</f>
        <v>Does the County collect real estate property taxes on your behalf? Select "1" for "yes and "2" for "No"</v>
      </c>
      <c r="D208" s="230"/>
      <c r="E208" s="146">
        <f>'Unit Data from Audit Worksheet'!F263</f>
        <v>0</v>
      </c>
      <c r="F208" s="224"/>
      <c r="G208" s="226"/>
      <c r="H208" s="223"/>
      <c r="I208" s="32"/>
      <c r="J208" s="97">
        <v>624</v>
      </c>
      <c r="K208" s="52" t="s">
        <v>358</v>
      </c>
      <c r="L208" s="289">
        <f t="shared" ref="L208:L226" si="19">IF(D208="",E208,D208)</f>
        <v>0</v>
      </c>
      <c r="P208" s="199"/>
      <c r="X208" s="552">
        <v>624</v>
      </c>
      <c r="Y208" s="3">
        <v>624</v>
      </c>
      <c r="AA208" s="386">
        <f t="shared" si="16"/>
        <v>0</v>
      </c>
      <c r="AB208" s="286">
        <f t="shared" si="17"/>
        <v>0</v>
      </c>
    </row>
    <row r="209" spans="1:28" ht="72.75" customHeight="1" x14ac:dyDescent="0.3">
      <c r="A209" s="212">
        <f>'Unit Data from Audit Worksheet'!A264</f>
        <v>648</v>
      </c>
      <c r="B209" s="225"/>
      <c r="C209" s="211" t="str">
        <f>'Unit Data from Audit Worksheet'!D264</f>
        <v>Please enter your tax rate for ad valorem in effect for fiscal year audited.  Example 60 cents per 100 would be entered as .60</v>
      </c>
      <c r="D209" s="230"/>
      <c r="E209" s="138">
        <f>'Unit Data from Audit Worksheet'!F264</f>
        <v>0</v>
      </c>
      <c r="F209" s="224"/>
      <c r="G209" s="226"/>
      <c r="H209" s="223"/>
      <c r="I209" s="32"/>
      <c r="J209" s="97">
        <v>648</v>
      </c>
      <c r="K209" s="326" t="s">
        <v>608</v>
      </c>
      <c r="L209" s="734">
        <f t="shared" si="19"/>
        <v>0</v>
      </c>
      <c r="P209" s="199"/>
      <c r="X209" s="552">
        <v>648</v>
      </c>
      <c r="Y209" s="3">
        <v>648</v>
      </c>
      <c r="AA209" s="386">
        <f t="shared" si="16"/>
        <v>0</v>
      </c>
      <c r="AB209" s="286">
        <f t="shared" si="17"/>
        <v>0</v>
      </c>
    </row>
    <row r="210" spans="1:28" ht="161.25" customHeight="1" x14ac:dyDescent="0.3">
      <c r="A210" s="212">
        <f>'Unit Data from Audit Worksheet'!A265</f>
        <v>991</v>
      </c>
      <c r="B210" s="225"/>
      <c r="C210" s="211" t="str">
        <f>'Unit Data from Audit Worksheet'!D265</f>
        <v>The Counties listed in cell H260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210" s="230"/>
      <c r="E210" s="146">
        <f>'Unit Data from Audit Worksheet'!F265</f>
        <v>0</v>
      </c>
      <c r="F210" s="224"/>
      <c r="G210" s="226"/>
      <c r="H210" s="223" t="str">
        <f>'Unit Data from Audit Worksheet'!H265</f>
        <v>Cabarrus, Carteret, Edgecome, Franklin, Granville, Halifax, Nash, Perquimans, Pitt, Richmond, Roberson, Rockingham, Vance, Wake, Wilson, Yancey</v>
      </c>
      <c r="I210" s="32"/>
      <c r="J210" s="97">
        <v>991</v>
      </c>
      <c r="K210" s="52" t="s">
        <v>875</v>
      </c>
      <c r="L210" s="289">
        <f t="shared" si="19"/>
        <v>0</v>
      </c>
      <c r="P210" s="199"/>
      <c r="X210" s="552">
        <v>991</v>
      </c>
      <c r="Y210" s="3">
        <v>991</v>
      </c>
      <c r="AA210" s="386">
        <f t="shared" ref="AA210:AA260" si="20">A210-J210</f>
        <v>0</v>
      </c>
      <c r="AB210" s="286">
        <f t="shared" ref="AB210:AB246" si="21">E210-L210</f>
        <v>0</v>
      </c>
    </row>
    <row r="211" spans="1:28" ht="87.75" customHeight="1" x14ac:dyDescent="0.3">
      <c r="A211" s="212">
        <f>'Unit Data from Audit Worksheet'!A267</f>
        <v>620</v>
      </c>
      <c r="B211" s="225"/>
      <c r="C211" s="211" t="str">
        <f>'Unit Data from Audit Worksheet'!D267</f>
        <v>Do you expect to issue debt requiring LGC approval within 12 months from the date that the audit is submitted - select "1" for yes and "2" for no</v>
      </c>
      <c r="D211" s="230"/>
      <c r="E211" s="146">
        <f>'Unit Data from Audit Worksheet'!F267</f>
        <v>0</v>
      </c>
      <c r="F211" s="224"/>
      <c r="G211" s="226"/>
      <c r="H211" s="223">
        <f>'Unit Data from Audit Worksheet'!I267</f>
        <v>0</v>
      </c>
      <c r="I211" s="32"/>
      <c r="J211" s="97">
        <v>620</v>
      </c>
      <c r="K211" s="52" t="s">
        <v>603</v>
      </c>
      <c r="L211" s="289">
        <f t="shared" si="19"/>
        <v>0</v>
      </c>
      <c r="N211" s="128"/>
      <c r="P211" s="199"/>
      <c r="X211" s="552">
        <v>620</v>
      </c>
      <c r="Y211" s="3">
        <v>620</v>
      </c>
      <c r="AA211" s="386">
        <f t="shared" si="20"/>
        <v>0</v>
      </c>
      <c r="AB211" s="286">
        <f t="shared" si="21"/>
        <v>0</v>
      </c>
    </row>
    <row r="212" spans="1:28" ht="87.75" customHeight="1" x14ac:dyDescent="0.3">
      <c r="A212" s="212">
        <f>'TD Info Completed by Auditor'!A11</f>
        <v>906</v>
      </c>
      <c r="B212" s="124" t="s">
        <v>600</v>
      </c>
      <c r="C212" s="212" t="str">
        <f>'TD Info Completed by Auditor'!B11</f>
        <v>Is the Independent Auditor's Report Opinion Unmodified?</v>
      </c>
      <c r="D212" s="230"/>
      <c r="E212" s="214">
        <f>IF(+'TD Info Completed by Auditor'!C11="Yes",1,IF(+'TD Info Completed by Auditor'!C11="No",2,IF(+'TD Info Completed by Auditor'!C11="N/A",3,0)))</f>
        <v>0</v>
      </c>
      <c r="F212" s="224"/>
      <c r="G212" s="226"/>
      <c r="H212" s="223"/>
      <c r="I212" s="32"/>
      <c r="J212" s="182">
        <v>906</v>
      </c>
      <c r="K212" s="52" t="s">
        <v>472</v>
      </c>
      <c r="L212" s="295">
        <f t="shared" si="19"/>
        <v>0</v>
      </c>
      <c r="N212" s="246" t="s">
        <v>658</v>
      </c>
      <c r="P212" s="195"/>
      <c r="X212" s="286" t="e">
        <v>#N/A</v>
      </c>
      <c r="AA212" s="386">
        <f t="shared" si="20"/>
        <v>0</v>
      </c>
      <c r="AB212" s="286">
        <f t="shared" si="21"/>
        <v>0</v>
      </c>
    </row>
    <row r="213" spans="1:28" ht="87.75" customHeight="1" x14ac:dyDescent="0.3">
      <c r="A213" s="212">
        <f>'TD Info Completed by Auditor'!A12</f>
        <v>907</v>
      </c>
      <c r="B213" s="124" t="s">
        <v>600</v>
      </c>
      <c r="C213" s="212" t="str">
        <f>'TD Info Completed by Auditor'!B12</f>
        <v xml:space="preserve">Is there a finding for lack of segregation of duties at this unit? </v>
      </c>
      <c r="D213" s="230"/>
      <c r="E213" s="214">
        <f>IF(+'TD Info Completed by Auditor'!C12="Yes",1,IF(+'TD Info Completed by Auditor'!C12="No",2,IF(+'TD Info Completed by Auditor'!C12="N/A",3,0)))</f>
        <v>0</v>
      </c>
      <c r="F213" s="224"/>
      <c r="G213" s="226"/>
      <c r="H213" s="223"/>
      <c r="I213" s="32"/>
      <c r="J213" s="182">
        <v>907</v>
      </c>
      <c r="K213" s="52" t="s">
        <v>473</v>
      </c>
      <c r="L213" s="295">
        <f t="shared" si="19"/>
        <v>0</v>
      </c>
      <c r="N213" s="246" t="s">
        <v>658</v>
      </c>
      <c r="P213" s="196"/>
      <c r="X213" s="286" t="e">
        <v>#N/A</v>
      </c>
      <c r="Y213" s="386"/>
      <c r="AA213" s="386">
        <f t="shared" si="20"/>
        <v>0</v>
      </c>
      <c r="AB213" s="286">
        <f t="shared" si="21"/>
        <v>0</v>
      </c>
    </row>
    <row r="214" spans="1:28" s="386" customFormat="1" ht="87.75" customHeight="1" x14ac:dyDescent="0.3">
      <c r="A214" s="212">
        <f>'TD Info Completed by Auditor'!A13</f>
        <v>1055</v>
      </c>
      <c r="B214" s="124"/>
      <c r="C214" s="212" t="str">
        <f>'TD Info Completed by Auditor'!B13</f>
        <v xml:space="preserve"> Did your audit disclose bank reconciliations or subsidiary ledger reconciliations not performed timely? (Yes or No)</v>
      </c>
      <c r="D214" s="230"/>
      <c r="E214" s="214">
        <f>IF(+'TD Info Completed by Auditor'!C13="Yes",1,IF(+'TD Info Completed by Auditor'!C13="No",2,IF(+'TD Info Completed by Auditor'!C13="N/A",3,0)))</f>
        <v>0</v>
      </c>
      <c r="F214" s="224"/>
      <c r="G214" s="226"/>
      <c r="H214" s="223"/>
      <c r="I214" s="32"/>
      <c r="J214" s="182">
        <v>1055</v>
      </c>
      <c r="K214" s="212" t="s">
        <v>1600</v>
      </c>
      <c r="L214" s="295">
        <f t="shared" si="19"/>
        <v>0</v>
      </c>
      <c r="M214"/>
      <c r="N214" s="246" t="s">
        <v>658</v>
      </c>
      <c r="P214" s="197"/>
      <c r="Q214" s="279"/>
      <c r="X214" s="286"/>
      <c r="AA214" s="386">
        <f t="shared" si="20"/>
        <v>0</v>
      </c>
      <c r="AB214" s="286"/>
    </row>
    <row r="215" spans="1:28" s="386" customFormat="1" ht="87.75" customHeight="1" x14ac:dyDescent="0.3">
      <c r="A215" s="212">
        <f>'TD Info Completed by Auditor'!A14</f>
        <v>1056</v>
      </c>
      <c r="B215" s="124"/>
      <c r="C215" s="212" t="str">
        <f>'TD Info Completed by Auditor'!B14</f>
        <v>Did your audit disclose as a finding that the unit’s records were not completed by the agreed upon time? (Yes or No)</v>
      </c>
      <c r="D215" s="230"/>
      <c r="E215" s="214">
        <f>IF(+'TD Info Completed by Auditor'!C14="Yes",1,IF(+'TD Info Completed by Auditor'!C14="No",2,IF(+'TD Info Completed by Auditor'!C14="N/A",3,0)))</f>
        <v>0</v>
      </c>
      <c r="F215" s="224"/>
      <c r="G215" s="226"/>
      <c r="H215" s="223"/>
      <c r="I215" s="32"/>
      <c r="J215" s="182">
        <v>1056</v>
      </c>
      <c r="K215" s="212" t="s">
        <v>1601</v>
      </c>
      <c r="L215" s="295">
        <f t="shared" si="19"/>
        <v>0</v>
      </c>
      <c r="M215"/>
      <c r="N215" s="246" t="s">
        <v>658</v>
      </c>
      <c r="P215" s="197"/>
      <c r="Q215" s="279"/>
      <c r="X215" s="286"/>
      <c r="AA215" s="386">
        <f t="shared" si="20"/>
        <v>0</v>
      </c>
      <c r="AB215" s="286"/>
    </row>
    <row r="216" spans="1:28" s="386" customFormat="1" ht="87.75" customHeight="1" x14ac:dyDescent="0.3">
      <c r="A216" s="212">
        <f>'TD Info Completed by Auditor'!A15</f>
        <v>1057</v>
      </c>
      <c r="B216" s="124"/>
      <c r="C216" s="212" t="str">
        <f>'TD Info Completed by Auditor'!B15</f>
        <v>Did your audit disclose any budget violations at the adopted ordinance level? (Yes or No)</v>
      </c>
      <c r="D216" s="230"/>
      <c r="E216" s="214">
        <f>IF(+'TD Info Completed by Auditor'!C15="Yes",1,IF(+'TD Info Completed by Auditor'!C15="No",2,IF(+'TD Info Completed by Auditor'!C15="N/A",3,0)))</f>
        <v>0</v>
      </c>
      <c r="F216" s="224"/>
      <c r="G216" s="226"/>
      <c r="H216" s="223"/>
      <c r="I216" s="32"/>
      <c r="J216" s="182">
        <v>1057</v>
      </c>
      <c r="K216" s="777" t="s">
        <v>2641</v>
      </c>
      <c r="L216" s="295">
        <f t="shared" si="19"/>
        <v>0</v>
      </c>
      <c r="M216"/>
      <c r="N216" s="246" t="s">
        <v>658</v>
      </c>
      <c r="P216" s="197"/>
      <c r="Q216" s="279"/>
      <c r="X216" s="286"/>
      <c r="AA216" s="386">
        <f t="shared" si="20"/>
        <v>0</v>
      </c>
      <c r="AB216" s="286"/>
    </row>
    <row r="217" spans="1:28" s="386" customFormat="1" ht="87.75" customHeight="1" x14ac:dyDescent="0.3">
      <c r="A217" s="212">
        <f>'TD Info Completed by Auditor'!A16</f>
        <v>1058</v>
      </c>
      <c r="B217" s="124"/>
      <c r="C217" s="212" t="str">
        <f>'TD Info Completed by Auditor'!B16</f>
        <v>Did your audit disclose as a finding any statutory violations? (not including budget violations) (Yes or No) If the answer  is "Yes", review whether this needs to be disclosed in the Stewardship, Compliance and Accountability Note</v>
      </c>
      <c r="D217" s="230"/>
      <c r="E217" s="214">
        <f>IF(+'TD Info Completed by Auditor'!C16="Yes",1,IF(+'TD Info Completed by Auditor'!C16="No",2,IF(+'TD Info Completed by Auditor'!C16="N/A",3,0)))</f>
        <v>0</v>
      </c>
      <c r="F217" s="224"/>
      <c r="G217" s="226"/>
      <c r="H217" s="223"/>
      <c r="I217" s="32"/>
      <c r="J217" s="182">
        <v>1058</v>
      </c>
      <c r="K217" s="179" t="s">
        <v>2640</v>
      </c>
      <c r="L217" s="295">
        <f t="shared" si="19"/>
        <v>0</v>
      </c>
      <c r="M217"/>
      <c r="N217" s="246" t="s">
        <v>658</v>
      </c>
      <c r="P217" s="197"/>
      <c r="Q217" s="279"/>
      <c r="X217" s="286"/>
      <c r="AA217" s="386">
        <f t="shared" si="20"/>
        <v>0</v>
      </c>
      <c r="AB217" s="286"/>
    </row>
    <row r="218" spans="1:28" s="386" customFormat="1" ht="159" customHeight="1" x14ac:dyDescent="0.3">
      <c r="A218" s="212">
        <f>'TD Info Completed by Auditor'!A17</f>
        <v>1059</v>
      </c>
      <c r="B218" s="124"/>
      <c r="C218" s="304"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18" s="230"/>
      <c r="E218" s="214">
        <f>IF(+'TD Info Completed by Auditor'!C17="Yes",1,IF(+'TD Info Completed by Auditor'!C17="No",2,IF(+'TD Info Completed by Auditor'!C17="N/A",3,0)))</f>
        <v>0</v>
      </c>
      <c r="F218" s="224"/>
      <c r="G218" s="226"/>
      <c r="H218" s="223"/>
      <c r="I218" s="32"/>
      <c r="J218" s="182">
        <v>1059</v>
      </c>
      <c r="K218" s="777" t="s">
        <v>1644</v>
      </c>
      <c r="L218" s="295">
        <f t="shared" si="19"/>
        <v>0</v>
      </c>
      <c r="M218"/>
      <c r="N218" s="246" t="s">
        <v>658</v>
      </c>
      <c r="P218" s="197"/>
      <c r="Q218" s="279"/>
      <c r="X218" s="286"/>
      <c r="AA218" s="386">
        <f t="shared" si="20"/>
        <v>0</v>
      </c>
      <c r="AB218" s="286"/>
    </row>
    <row r="219" spans="1:28" s="386" customFormat="1" ht="159" customHeight="1" x14ac:dyDescent="0.3">
      <c r="A219" s="304">
        <v>1078</v>
      </c>
      <c r="B219" s="209"/>
      <c r="C219" s="30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19" s="230"/>
      <c r="E219" s="1003">
        <f>IF(+'TD Info Completed by Auditor'!C18="Yes",1,IF(+'TD Info Completed by Auditor'!C18="No",2,IF(+'TD Info Completed by Auditor'!C18="N/A",3,0)))</f>
        <v>0</v>
      </c>
      <c r="F219" s="227"/>
      <c r="G219" s="226"/>
      <c r="H219" s="223"/>
      <c r="I219" s="32"/>
      <c r="J219" s="119">
        <v>1078</v>
      </c>
      <c r="K219" s="304" t="s">
        <v>2638</v>
      </c>
      <c r="L219" s="1004">
        <f t="shared" si="19"/>
        <v>0</v>
      </c>
      <c r="M219" s="180"/>
      <c r="N219" s="246"/>
      <c r="P219" s="197"/>
      <c r="Q219" s="279"/>
      <c r="X219" s="286"/>
      <c r="AB219" s="286"/>
    </row>
    <row r="220" spans="1:28" s="386" customFormat="1" ht="133.19999999999999" customHeight="1" x14ac:dyDescent="0.3">
      <c r="A220" s="304">
        <v>1067</v>
      </c>
      <c r="B220" s="209"/>
      <c r="C220" s="304"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20" s="230"/>
      <c r="E220" s="214">
        <f>IF(+'TD Info Completed by Auditor'!C19="Yes",1,IF(+'TD Info Completed by Auditor'!C19="No",2,IF(+'TD Info Completed by Auditor'!C19="N/A",3,0)))</f>
        <v>0</v>
      </c>
      <c r="G220" s="224"/>
      <c r="H220" s="223"/>
      <c r="I220" s="32"/>
      <c r="J220" s="119">
        <v>1067</v>
      </c>
      <c r="K220" s="304" t="s">
        <v>1992</v>
      </c>
      <c r="L220" s="306">
        <f t="shared" si="19"/>
        <v>0</v>
      </c>
      <c r="M220" s="180"/>
      <c r="N220" s="246" t="s">
        <v>658</v>
      </c>
      <c r="P220" s="197"/>
      <c r="Q220" s="279"/>
      <c r="X220" s="286"/>
      <c r="AB220" s="286"/>
    </row>
    <row r="221" spans="1:28" s="386" customFormat="1" ht="87.75" customHeight="1" x14ac:dyDescent="0.3">
      <c r="A221" s="212">
        <f>'TD Info Completed by Auditor'!A20</f>
        <v>951</v>
      </c>
      <c r="B221" s="124" t="s">
        <v>600</v>
      </c>
      <c r="C221" s="212" t="str">
        <f>'TD Info Completed by Auditor'!B20</f>
        <v>Is there a finding for lack of technical skills, knowledge and experience (SKE) at this unit?</v>
      </c>
      <c r="D221" s="230"/>
      <c r="E221" s="214">
        <f>IF(+'TD Info Completed by Auditor'!C20="Yes",1,IF(+'TD Info Completed by Auditor'!C20="No",2,IF(+'TD Info Completed by Auditor'!C20="N/A",3,0)))</f>
        <v>0</v>
      </c>
      <c r="F221" s="224"/>
      <c r="G221" s="226"/>
      <c r="H221" s="223"/>
      <c r="I221" s="32"/>
      <c r="J221" s="182">
        <v>951</v>
      </c>
      <c r="K221" s="52" t="s">
        <v>474</v>
      </c>
      <c r="L221" s="295">
        <f>IF(D221="",E221,D221)</f>
        <v>0</v>
      </c>
      <c r="M221"/>
      <c r="N221" s="246" t="s">
        <v>658</v>
      </c>
      <c r="P221" s="197"/>
      <c r="Q221" s="279"/>
      <c r="X221" s="286"/>
      <c r="AB221" s="286"/>
    </row>
    <row r="222" spans="1:28" ht="87.75" customHeight="1" x14ac:dyDescent="0.3">
      <c r="A222" s="212">
        <f>'TD Info Completed by Auditor'!A21</f>
        <v>953</v>
      </c>
      <c r="B222" s="124" t="s">
        <v>600</v>
      </c>
      <c r="C222" s="212" t="str">
        <f>'TD Info Completed by Auditor'!B21</f>
        <v xml:space="preserve">Is there is a going concern noted in the audit report? </v>
      </c>
      <c r="D222" s="230"/>
      <c r="E222" s="214">
        <f>IF(+'TD Info Completed by Auditor'!C21="Yes",1,IF(+'TD Info Completed by Auditor'!C21="No",2,IF(+'TD Info Completed by Auditor'!C21="N/A",3,0)))</f>
        <v>0</v>
      </c>
      <c r="F222" s="224"/>
      <c r="G222" s="226"/>
      <c r="H222" s="223"/>
      <c r="I222" s="32"/>
      <c r="J222" s="182">
        <v>953</v>
      </c>
      <c r="K222" s="1006" t="s">
        <v>2642</v>
      </c>
      <c r="L222" s="295">
        <f t="shared" si="19"/>
        <v>0</v>
      </c>
      <c r="N222" s="246" t="s">
        <v>658</v>
      </c>
      <c r="P222" s="197"/>
      <c r="X222" s="286" t="e">
        <v>#N/A</v>
      </c>
      <c r="Y222" s="386"/>
      <c r="AA222" s="386">
        <f t="shared" si="20"/>
        <v>0</v>
      </c>
      <c r="AB222" s="286">
        <f t="shared" si="21"/>
        <v>0</v>
      </c>
    </row>
    <row r="223" spans="1:28" ht="87.75" customHeight="1" x14ac:dyDescent="0.3">
      <c r="A223" s="212">
        <f>'TD Info Completed by Auditor'!A22</f>
        <v>955</v>
      </c>
      <c r="B223" s="124" t="s">
        <v>600</v>
      </c>
      <c r="C223" s="212" t="str">
        <f>'TD Info Completed by Auditor'!B22</f>
        <v>Number of significant deficiency findings (financial statement findings only)
Exclude findings reported in questions  907, 951</v>
      </c>
      <c r="D223" s="230"/>
      <c r="E223" s="214">
        <f>'TD Info Completed by Auditor'!C22</f>
        <v>0</v>
      </c>
      <c r="F223" s="224"/>
      <c r="G223" s="226"/>
      <c r="H223" s="223"/>
      <c r="I223" s="32"/>
      <c r="J223" s="182">
        <v>955</v>
      </c>
      <c r="K223" s="52" t="s">
        <v>604</v>
      </c>
      <c r="L223" s="295">
        <f t="shared" si="19"/>
        <v>0</v>
      </c>
      <c r="N223" s="246" t="s">
        <v>658</v>
      </c>
      <c r="P223" s="197"/>
      <c r="X223" s="286" t="e">
        <v>#N/A</v>
      </c>
      <c r="Y223" s="386"/>
      <c r="AA223" s="386">
        <f t="shared" si="20"/>
        <v>0</v>
      </c>
      <c r="AB223" s="286">
        <f t="shared" si="21"/>
        <v>0</v>
      </c>
    </row>
    <row r="224" spans="1:28" ht="87.75" customHeight="1" x14ac:dyDescent="0.3">
      <c r="A224" s="212">
        <f>'TD Info Completed by Auditor'!A23</f>
        <v>957</v>
      </c>
      <c r="B224" s="124" t="s">
        <v>600</v>
      </c>
      <c r="C224" s="212" t="str">
        <f>'TD Info Completed by Auditor'!B23</f>
        <v>Number of material weakness findings (financial statement findings only)
Exclude findings reported in questions  907, 951</v>
      </c>
      <c r="D224" s="230"/>
      <c r="E224" s="214">
        <f>'TD Info Completed by Auditor'!C23</f>
        <v>0</v>
      </c>
      <c r="F224" s="224"/>
      <c r="G224" s="226"/>
      <c r="H224" s="223"/>
      <c r="I224" s="32"/>
      <c r="J224" s="182">
        <v>957</v>
      </c>
      <c r="K224" s="52" t="s">
        <v>605</v>
      </c>
      <c r="L224" s="295">
        <f t="shared" si="19"/>
        <v>0</v>
      </c>
      <c r="N224" s="246" t="s">
        <v>658</v>
      </c>
      <c r="P224" s="197"/>
      <c r="X224" s="286" t="e">
        <v>#N/A</v>
      </c>
      <c r="Y224" s="386"/>
      <c r="AA224" s="386">
        <f t="shared" si="20"/>
        <v>0</v>
      </c>
      <c r="AB224" s="286">
        <f t="shared" si="21"/>
        <v>0</v>
      </c>
    </row>
    <row r="225" spans="1:28" ht="289.2" customHeight="1" x14ac:dyDescent="0.3">
      <c r="A225" s="212">
        <f>'TD Info Completed by Auditor'!A24</f>
        <v>973</v>
      </c>
      <c r="B225" s="124" t="s">
        <v>600</v>
      </c>
      <c r="C225" s="212"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25" s="230"/>
      <c r="E225" s="214">
        <f>IF(+'TD Info Completed by Auditor'!C24&gt;0,1,IF(+'TD Info Completed by Auditor'!C24&gt;0,2,IF(+'TD Info Completed by Auditor'!C24&gt;0,3,0)))</f>
        <v>0</v>
      </c>
      <c r="F225" s="224"/>
      <c r="G225" s="226"/>
      <c r="H225" s="223"/>
      <c r="I225" s="32"/>
      <c r="J225" s="182">
        <v>973</v>
      </c>
      <c r="K225" s="52" t="s">
        <v>1562</v>
      </c>
      <c r="L225" s="295">
        <f>IF(D225="",E225,D225)</f>
        <v>0</v>
      </c>
      <c r="N225" s="246" t="s">
        <v>658</v>
      </c>
      <c r="P225" s="203"/>
      <c r="X225" s="286" t="e">
        <v>#N/A</v>
      </c>
      <c r="Y225" s="386"/>
      <c r="AA225" s="386">
        <f>A225-J225</f>
        <v>0</v>
      </c>
      <c r="AB225" s="286">
        <f>E225-L225</f>
        <v>0</v>
      </c>
    </row>
    <row r="226" spans="1:28" ht="87.75" customHeight="1" x14ac:dyDescent="0.3">
      <c r="A226" s="212">
        <f>'TD Info Completed by Auditor'!A25</f>
        <v>959</v>
      </c>
      <c r="B226" s="124" t="s">
        <v>600</v>
      </c>
      <c r="C226" s="212" t="str">
        <f>'TD Info Completed by Auditor'!B25</f>
        <v>Did the Unit have debt service payments deferred or restructured in this fiscal year? (does not include refinancings designed to take advantage of lower interest rates)  Select Yes, No, or NA</v>
      </c>
      <c r="D226" s="230"/>
      <c r="E226" s="214">
        <f>IF(+'TD Info Completed by Auditor'!C25="Yes",1,IF(+'TD Info Completed by Auditor'!C25="No",2,IF(+'TD Info Completed by Auditor'!C25="N/A",3,0)))</f>
        <v>0</v>
      </c>
      <c r="F226" s="224"/>
      <c r="G226" s="226"/>
      <c r="H226" s="223"/>
      <c r="I226" s="32"/>
      <c r="J226" s="182">
        <v>959</v>
      </c>
      <c r="K226" s="52" t="s">
        <v>660</v>
      </c>
      <c r="L226" s="295">
        <f t="shared" si="19"/>
        <v>0</v>
      </c>
      <c r="N226" s="246" t="s">
        <v>658</v>
      </c>
      <c r="P226" s="197"/>
      <c r="X226" s="286" t="e">
        <v>#N/A</v>
      </c>
      <c r="Y226" s="386"/>
      <c r="AA226" s="386">
        <f t="shared" si="20"/>
        <v>0</v>
      </c>
      <c r="AB226" s="286">
        <f t="shared" si="21"/>
        <v>0</v>
      </c>
    </row>
    <row r="227" spans="1:28" s="386" customFormat="1" ht="177.75" customHeight="1" x14ac:dyDescent="0.3">
      <c r="A227" s="212">
        <f>'TD Info Completed by Auditor'!A26</f>
        <v>974</v>
      </c>
      <c r="B227" s="124" t="s">
        <v>600</v>
      </c>
      <c r="C227" s="212" t="str">
        <f>'TD Info Completed by Auditor'!B26</f>
        <v>Did the Unit have any of the following occur:
1.  Bond covenants were not met
2.  Debt service payments made late?  Deferred payments authorized by LGC or other state
     agencies should not be counted as late for purposes of this question.</v>
      </c>
      <c r="D227" s="230"/>
      <c r="E227" s="214">
        <f>IF(+'TD Info Completed by Auditor'!C26="Yes",1,IF(+'TD Info Completed by Auditor'!C26="No",2,IF(+'TD Info Completed by Auditor'!C26="N/A",3,0)))</f>
        <v>0</v>
      </c>
      <c r="F227" s="224"/>
      <c r="G227" s="226"/>
      <c r="H227" s="223"/>
      <c r="I227" s="32"/>
      <c r="J227" s="182">
        <v>974</v>
      </c>
      <c r="K227" s="52" t="s">
        <v>810</v>
      </c>
      <c r="L227" s="295">
        <f t="shared" ref="L227" si="22">IF(D227="",E227,D227)</f>
        <v>0</v>
      </c>
      <c r="M227"/>
      <c r="N227" s="246" t="s">
        <v>658</v>
      </c>
      <c r="P227" s="203"/>
      <c r="Q227" s="279"/>
      <c r="X227" s="286"/>
      <c r="AB227" s="286"/>
    </row>
    <row r="228" spans="1:28" ht="87.75" customHeight="1" x14ac:dyDescent="0.3">
      <c r="A228" s="212">
        <f>'TD Info Completed by Auditor'!A33</f>
        <v>975</v>
      </c>
      <c r="B228" s="124" t="s">
        <v>600</v>
      </c>
      <c r="C228" s="211" t="str">
        <f>'TD Info Completed by Auditor'!B33</f>
        <v>Does the Performance Indicator Print worksheet in this workbook have a red shaded cell?</v>
      </c>
      <c r="D228" s="230"/>
      <c r="E228" s="214">
        <f>IF(+'TD Info Completed by Auditor'!C33="Yes",1,IF(+'TD Info Completed by Auditor'!C33="No",2,IF(+'TD Info Completed by Auditor'!C33="N/A",3,0)))</f>
        <v>0</v>
      </c>
      <c r="F228" s="224"/>
      <c r="G228" s="226"/>
      <c r="H228" s="223"/>
      <c r="I228" s="32"/>
      <c r="J228" s="182">
        <v>975</v>
      </c>
      <c r="K228" s="1006" t="s">
        <v>2643</v>
      </c>
      <c r="L228" s="295">
        <f>IF(D228="",E228,D228)</f>
        <v>0</v>
      </c>
      <c r="N228" s="246" t="s">
        <v>658</v>
      </c>
      <c r="P228" s="203"/>
      <c r="Q228" s="318"/>
      <c r="X228" s="286" t="e">
        <v>#N/A</v>
      </c>
      <c r="Y228" s="386"/>
      <c r="AA228" s="386">
        <f t="shared" si="20"/>
        <v>0</v>
      </c>
      <c r="AB228" s="286">
        <f t="shared" si="21"/>
        <v>0</v>
      </c>
    </row>
    <row r="229" spans="1:28" s="386" customFormat="1" ht="87.75" customHeight="1" x14ac:dyDescent="0.3">
      <c r="A229" s="304">
        <v>1068</v>
      </c>
      <c r="B229" s="304" t="s">
        <v>600</v>
      </c>
      <c r="C229" s="304" t="str">
        <f>'TD Info Completed by Auditor'!B35</f>
        <v xml:space="preserve">Does the unit have a self-insurance fund? </v>
      </c>
      <c r="D229" s="230"/>
      <c r="E229" s="779">
        <f>IF(+'TD Info Completed by Auditor'!C35="Yes",1,IF(+'TD Info Completed by Auditor'!C35="No",2,IF(+'TD Info Completed by Auditor'!C35="N/A",3,0)))</f>
        <v>0</v>
      </c>
      <c r="F229" s="780"/>
      <c r="G229" s="781"/>
      <c r="H229" s="782"/>
      <c r="I229" s="32"/>
      <c r="J229" s="783">
        <v>1068</v>
      </c>
      <c r="K229" s="304" t="s">
        <v>1649</v>
      </c>
      <c r="L229" s="792">
        <f t="shared" ref="L229:L232" si="23">IF(D229="",E229,D229)</f>
        <v>0</v>
      </c>
      <c r="M229" s="180"/>
      <c r="N229" s="246" t="s">
        <v>658</v>
      </c>
      <c r="P229" s="203"/>
      <c r="Q229" s="318"/>
      <c r="X229" s="286"/>
      <c r="AB229" s="286"/>
    </row>
    <row r="230" spans="1:28" s="386" customFormat="1" ht="87.75" customHeight="1" x14ac:dyDescent="0.3">
      <c r="A230" s="304">
        <v>1069</v>
      </c>
      <c r="B230" s="304" t="s">
        <v>600</v>
      </c>
      <c r="C230" s="627" t="str">
        <f>'TD Info Completed by Auditor'!B36</f>
        <v>If the unit is self-insured for employee health care, does the unit use a qualified consultant to establish rates and appropriate reserve levels?</v>
      </c>
      <c r="D230" s="230"/>
      <c r="E230" s="779">
        <f>IF(+'TD Info Completed by Auditor'!C36="Yes",1,IF(+'TD Info Completed by Auditor'!C36="No",2,IF(+'TD Info Completed by Auditor'!C36="N/A",3,0)))</f>
        <v>0</v>
      </c>
      <c r="F230" s="780"/>
      <c r="G230" s="781"/>
      <c r="H230" s="782"/>
      <c r="I230" s="32"/>
      <c r="J230" s="783">
        <v>1069</v>
      </c>
      <c r="K230" s="627" t="s">
        <v>1657</v>
      </c>
      <c r="L230" s="792">
        <f t="shared" si="23"/>
        <v>0</v>
      </c>
      <c r="M230" s="180"/>
      <c r="N230" s="246" t="s">
        <v>658</v>
      </c>
      <c r="P230" s="203"/>
      <c r="Q230" s="318"/>
      <c r="X230" s="286"/>
      <c r="AB230" s="286"/>
    </row>
    <row r="231" spans="1:28" s="386" customFormat="1" ht="96" customHeight="1" x14ac:dyDescent="0.3">
      <c r="A231" s="304">
        <v>1070</v>
      </c>
      <c r="B231" s="304" t="s">
        <v>600</v>
      </c>
      <c r="C231" s="304" t="str">
        <f>'TD Info Completed by Auditor'!B37</f>
        <v>Does the Unit have a non-state administered pension plan?
(Note - OPEB is not a pension plan.)</v>
      </c>
      <c r="D231" s="230"/>
      <c r="E231" s="779">
        <f>IF(+'TD Info Completed by Auditor'!C37="Yes",1,IF(+'TD Info Completed by Auditor'!C37="No",2,IF(+'TD Info Completed by Auditor'!C37="N/A",3,0)))</f>
        <v>0</v>
      </c>
      <c r="F231" s="780"/>
      <c r="G231" s="781"/>
      <c r="H231" s="782"/>
      <c r="I231" s="32"/>
      <c r="J231" s="783">
        <v>1070</v>
      </c>
      <c r="K231" s="304" t="s">
        <v>2655</v>
      </c>
      <c r="L231" s="786">
        <f t="shared" si="23"/>
        <v>0</v>
      </c>
      <c r="M231" s="180"/>
      <c r="N231" s="246" t="s">
        <v>658</v>
      </c>
      <c r="P231" s="203"/>
      <c r="Q231" s="318"/>
      <c r="X231" s="286"/>
      <c r="AB231" s="286"/>
    </row>
    <row r="232" spans="1:28" s="386" customFormat="1" ht="87.75" customHeight="1" x14ac:dyDescent="0.3">
      <c r="A232" s="304">
        <v>1071</v>
      </c>
      <c r="B232" s="304" t="s">
        <v>600</v>
      </c>
      <c r="C232" s="304" t="str">
        <f>'TD Info Completed by Auditor'!B38</f>
        <v>Please list the amount of ARPA funds expended in total this fiscal year for non-capital purposes.  Enter "0" if no ARPA funds expended for this fiscal year for non-capital purposes.</v>
      </c>
      <c r="D232" s="230"/>
      <c r="E232" s="785">
        <f>'TD Info Completed by Auditor'!C38</f>
        <v>0</v>
      </c>
      <c r="F232" s="780"/>
      <c r="G232" s="781"/>
      <c r="H232" s="782"/>
      <c r="I232" s="32"/>
      <c r="J232" s="783">
        <v>1071</v>
      </c>
      <c r="K232" s="304" t="s">
        <v>2635</v>
      </c>
      <c r="L232" s="792">
        <f t="shared" si="23"/>
        <v>0</v>
      </c>
      <c r="M232" s="180"/>
      <c r="N232" s="246" t="s">
        <v>658</v>
      </c>
      <c r="P232" s="203"/>
      <c r="Q232" s="318"/>
      <c r="X232" s="286"/>
      <c r="AB232" s="286"/>
    </row>
    <row r="233" spans="1:28" ht="121.2" customHeight="1" x14ac:dyDescent="0.3">
      <c r="A233" s="327">
        <v>336</v>
      </c>
      <c r="B233" s="237"/>
      <c r="C233" s="328" t="s">
        <v>668</v>
      </c>
      <c r="D233" s="329" t="s">
        <v>636</v>
      </c>
      <c r="E233" s="330" t="s">
        <v>637</v>
      </c>
      <c r="F233" s="238" t="s">
        <v>1134</v>
      </c>
      <c r="G233" s="226"/>
      <c r="H233" s="223"/>
      <c r="I233" s="32"/>
      <c r="J233" s="239">
        <v>336</v>
      </c>
      <c r="K233" s="331" t="s">
        <v>640</v>
      </c>
      <c r="L233" s="332">
        <f>L10-L11-L12-L13-L14-L15-L16</f>
        <v>0</v>
      </c>
      <c r="N233" s="247" t="s">
        <v>638</v>
      </c>
      <c r="P233" s="203"/>
      <c r="Q233" s="318"/>
      <c r="X233" s="286" t="e">
        <v>#N/A</v>
      </c>
      <c r="Y233" s="386"/>
      <c r="AA233" s="386">
        <f t="shared" si="20"/>
        <v>0</v>
      </c>
      <c r="AB233" s="286" t="e">
        <f t="shared" si="21"/>
        <v>#VALUE!</v>
      </c>
    </row>
    <row r="234" spans="1:28" ht="129" customHeight="1" x14ac:dyDescent="0.3">
      <c r="A234" s="327">
        <v>44</v>
      </c>
      <c r="B234" s="237"/>
      <c r="C234" s="238" t="s">
        <v>669</v>
      </c>
      <c r="D234" s="329" t="s">
        <v>628</v>
      </c>
      <c r="E234" s="333" t="s">
        <v>629</v>
      </c>
      <c r="F234" s="238" t="s">
        <v>1135</v>
      </c>
      <c r="G234" s="226"/>
      <c r="H234" s="223"/>
      <c r="I234" s="32"/>
      <c r="J234" s="239">
        <v>44</v>
      </c>
      <c r="K234" s="331" t="s">
        <v>641</v>
      </c>
      <c r="L234" s="332">
        <f>L76-L77-L74</f>
        <v>0</v>
      </c>
      <c r="N234" s="247" t="s">
        <v>639</v>
      </c>
      <c r="P234" s="203"/>
      <c r="Q234" s="318"/>
      <c r="X234" s="286" t="e">
        <v>#N/A</v>
      </c>
      <c r="Y234" s="386"/>
      <c r="AA234" s="386">
        <f t="shared" si="20"/>
        <v>0</v>
      </c>
      <c r="AB234" s="286" t="e">
        <f t="shared" si="21"/>
        <v>#VALUE!</v>
      </c>
    </row>
    <row r="235" spans="1:28" ht="169.5" customHeight="1" x14ac:dyDescent="0.3">
      <c r="A235" s="327">
        <v>45</v>
      </c>
      <c r="B235" s="237"/>
      <c r="C235" s="238" t="s">
        <v>670</v>
      </c>
      <c r="D235" s="329" t="s">
        <v>630</v>
      </c>
      <c r="E235" s="330" t="s">
        <v>631</v>
      </c>
      <c r="F235" s="238" t="s">
        <v>1134</v>
      </c>
      <c r="G235" s="226"/>
      <c r="H235" s="223"/>
      <c r="I235" s="32"/>
      <c r="J235" s="239">
        <v>45</v>
      </c>
      <c r="K235" s="331" t="s">
        <v>642</v>
      </c>
      <c r="L235" s="332">
        <f>L80-L81-L82-L83-L84-L85-L79</f>
        <v>0</v>
      </c>
      <c r="N235" s="247" t="s">
        <v>650</v>
      </c>
      <c r="P235" s="203"/>
      <c r="Q235" s="318"/>
      <c r="X235" s="286" t="e">
        <v>#N/A</v>
      </c>
      <c r="Y235" s="386"/>
      <c r="AA235" s="386">
        <f t="shared" si="20"/>
        <v>0</v>
      </c>
      <c r="AB235" s="286" t="e">
        <f t="shared" si="21"/>
        <v>#VALUE!</v>
      </c>
    </row>
    <row r="236" spans="1:28" ht="87.75" customHeight="1" x14ac:dyDescent="0.3">
      <c r="A236" s="327">
        <v>47</v>
      </c>
      <c r="B236" s="237"/>
      <c r="C236" s="238" t="s">
        <v>644</v>
      </c>
      <c r="D236" s="329" t="s">
        <v>632</v>
      </c>
      <c r="E236" s="330" t="s">
        <v>634</v>
      </c>
      <c r="F236" s="238" t="s">
        <v>1134</v>
      </c>
      <c r="G236" s="226"/>
      <c r="H236" s="223"/>
      <c r="I236" s="32"/>
      <c r="J236" s="239">
        <v>47</v>
      </c>
      <c r="K236" s="331" t="s">
        <v>643</v>
      </c>
      <c r="L236" s="332">
        <f>L94-L95-L92</f>
        <v>0</v>
      </c>
      <c r="N236" s="247" t="s">
        <v>651</v>
      </c>
      <c r="P236" s="203"/>
      <c r="Q236" s="318"/>
      <c r="X236" s="286" t="e">
        <v>#N/A</v>
      </c>
      <c r="Y236" s="386"/>
      <c r="AA236" s="386">
        <f t="shared" si="20"/>
        <v>0</v>
      </c>
      <c r="AB236" s="286" t="e">
        <f t="shared" si="21"/>
        <v>#VALUE!</v>
      </c>
    </row>
    <row r="237" spans="1:28" ht="152.25" customHeight="1" x14ac:dyDescent="0.3">
      <c r="A237" s="327">
        <v>48</v>
      </c>
      <c r="B237" s="237"/>
      <c r="C237" s="238" t="s">
        <v>645</v>
      </c>
      <c r="D237" s="329" t="s">
        <v>633</v>
      </c>
      <c r="E237" s="330" t="s">
        <v>635</v>
      </c>
      <c r="F237" s="238" t="s">
        <v>1134</v>
      </c>
      <c r="G237" s="226"/>
      <c r="H237" s="223"/>
      <c r="I237" s="32"/>
      <c r="J237" s="239">
        <v>48</v>
      </c>
      <c r="K237" s="331" t="s">
        <v>115</v>
      </c>
      <c r="L237" s="332">
        <f>L99-L100-L101-L102-L103-L104-L98</f>
        <v>0</v>
      </c>
      <c r="N237" s="247" t="s">
        <v>652</v>
      </c>
      <c r="P237" s="203"/>
      <c r="Q237" s="318"/>
      <c r="X237" s="286" t="e">
        <v>#N/A</v>
      </c>
      <c r="Y237" s="386"/>
      <c r="AA237" s="386">
        <f t="shared" si="20"/>
        <v>0</v>
      </c>
      <c r="AB237" s="286" t="e">
        <f t="shared" si="21"/>
        <v>#VALUE!</v>
      </c>
    </row>
    <row r="238" spans="1:28" ht="113.4" customHeight="1" x14ac:dyDescent="0.3">
      <c r="A238" s="334"/>
      <c r="B238" s="90"/>
      <c r="C238" s="335"/>
      <c r="D238" s="129"/>
      <c r="E238" s="137"/>
      <c r="F238" s="59"/>
      <c r="G238" s="131"/>
      <c r="H238" s="132"/>
      <c r="I238" s="32"/>
      <c r="J238" s="240">
        <v>998</v>
      </c>
      <c r="K238" s="241" t="s">
        <v>277</v>
      </c>
      <c r="L238" s="336" t="e">
        <f>VLOOKUP('Unit Data from Audit Worksheet'!D2,'Unit Names(H)'!$A$2:$C$95,3,FALSE)</f>
        <v>#N/A</v>
      </c>
      <c r="N238" s="247" t="s">
        <v>646</v>
      </c>
      <c r="P238" s="203"/>
      <c r="Q238" s="318"/>
      <c r="X238" s="286" t="e">
        <v>#N/A</v>
      </c>
      <c r="Y238" s="386"/>
      <c r="AA238" s="386">
        <f t="shared" si="20"/>
        <v>-998</v>
      </c>
      <c r="AB238" s="286" t="e">
        <f t="shared" si="21"/>
        <v>#N/A</v>
      </c>
    </row>
    <row r="239" spans="1:28" ht="119.4" customHeight="1" x14ac:dyDescent="0.3">
      <c r="A239" s="334"/>
      <c r="B239" s="90"/>
      <c r="C239" s="335"/>
      <c r="D239" s="337"/>
      <c r="E239" s="338"/>
      <c r="F239" s="339"/>
      <c r="G239" s="340"/>
      <c r="H239" s="341"/>
      <c r="I239" s="32"/>
      <c r="J239" s="242">
        <v>995</v>
      </c>
      <c r="K239" s="243" t="s">
        <v>275</v>
      </c>
      <c r="L239" s="735" t="e">
        <f>INDEX('PY1 Data(H)'!$A$1:$CZ$282,MATCH('PY1 Data(H)'!$A236,'PY1 Data(H)'!$A$1:$A$282,0),MATCH('Unit Data from Audit Worksheet'!$D$2,'PY1 Data(H)'!$A$1:$CZ$1,0))</f>
        <v>#N/A</v>
      </c>
      <c r="N239" s="247" t="s">
        <v>653</v>
      </c>
      <c r="P239" s="203"/>
      <c r="Q239" s="318"/>
      <c r="X239" s="286" t="e">
        <v>#N/A</v>
      </c>
      <c r="Y239" s="386"/>
      <c r="AA239" s="386">
        <f t="shared" si="20"/>
        <v>-995</v>
      </c>
      <c r="AB239" s="577" t="e">
        <f t="shared" si="21"/>
        <v>#N/A</v>
      </c>
    </row>
    <row r="240" spans="1:28" ht="104.4" customHeight="1" x14ac:dyDescent="0.3">
      <c r="A240" s="334"/>
      <c r="B240" s="90"/>
      <c r="C240" s="335"/>
      <c r="D240" s="337"/>
      <c r="E240" s="338"/>
      <c r="F240" s="339"/>
      <c r="G240" s="340"/>
      <c r="H240" s="341"/>
      <c r="I240" s="32"/>
      <c r="J240" s="242">
        <v>996</v>
      </c>
      <c r="K240" s="243" t="s">
        <v>276</v>
      </c>
      <c r="L240" s="735" t="e">
        <f>INDEX('PY1 Data(H)'!$A$1:$CZ$282,MATCH('PY1 Data(H)'!$A237,'PY1 Data(H)'!$A$1:$A$282,0),MATCH('Unit Data from Audit Worksheet'!$D$2,'PY1 Data(H)'!$A$1:$CZ$1,0))</f>
        <v>#N/A</v>
      </c>
      <c r="N240" s="247" t="s">
        <v>654</v>
      </c>
      <c r="P240" s="203"/>
      <c r="Q240" s="318"/>
      <c r="X240" s="286" t="e">
        <v>#N/A</v>
      </c>
      <c r="Y240" s="386"/>
      <c r="AA240" s="386">
        <f t="shared" si="20"/>
        <v>-996</v>
      </c>
      <c r="AB240" s="577" t="e">
        <f t="shared" si="21"/>
        <v>#N/A</v>
      </c>
    </row>
    <row r="241" spans="1:28" ht="43.2" x14ac:dyDescent="0.3">
      <c r="A241" s="334"/>
      <c r="B241" s="90"/>
      <c r="C241" s="335"/>
      <c r="D241" s="337"/>
      <c r="E241" s="338"/>
      <c r="F241" s="339"/>
      <c r="G241" s="340"/>
      <c r="H241" s="342"/>
      <c r="I241" s="32"/>
      <c r="J241" s="158">
        <v>554</v>
      </c>
      <c r="K241" s="343" t="s">
        <v>320</v>
      </c>
      <c r="L241" s="313"/>
      <c r="N241" s="344"/>
      <c r="P241" s="203"/>
      <c r="Q241" s="318"/>
      <c r="X241" s="286" t="e">
        <v>#N/A</v>
      </c>
      <c r="Y241" s="386"/>
      <c r="AA241" s="386">
        <f t="shared" si="20"/>
        <v>-554</v>
      </c>
      <c r="AB241" s="286">
        <f t="shared" si="21"/>
        <v>0</v>
      </c>
    </row>
    <row r="242" spans="1:28" ht="43.2" x14ac:dyDescent="0.3">
      <c r="A242" s="334"/>
      <c r="B242" s="90"/>
      <c r="C242" s="335"/>
      <c r="D242" s="337"/>
      <c r="E242" s="338"/>
      <c r="F242" s="339"/>
      <c r="G242" s="340"/>
      <c r="H242" s="342"/>
      <c r="I242" s="32"/>
      <c r="J242" s="158">
        <v>555</v>
      </c>
      <c r="K242" s="343" t="s">
        <v>321</v>
      </c>
      <c r="L242" s="313"/>
      <c r="N242" s="344"/>
      <c r="P242" s="203"/>
      <c r="Q242" s="318"/>
      <c r="X242" s="286" t="e">
        <v>#N/A</v>
      </c>
      <c r="Y242" s="386"/>
      <c r="AA242" s="386">
        <f t="shared" si="20"/>
        <v>-555</v>
      </c>
      <c r="AB242" s="286">
        <f t="shared" si="21"/>
        <v>0</v>
      </c>
    </row>
    <row r="243" spans="1:28" ht="43.2" x14ac:dyDescent="0.3">
      <c r="A243" s="334"/>
      <c r="B243" s="90"/>
      <c r="C243" s="335"/>
      <c r="D243" s="337"/>
      <c r="E243" s="338"/>
      <c r="F243" s="339"/>
      <c r="G243" s="340"/>
      <c r="H243" s="342"/>
      <c r="I243" s="32"/>
      <c r="J243" s="158">
        <v>556</v>
      </c>
      <c r="K243" s="343" t="s">
        <v>322</v>
      </c>
      <c r="L243" s="313"/>
      <c r="N243" s="344"/>
      <c r="P243" s="203"/>
      <c r="Q243" s="318"/>
      <c r="X243" s="286" t="e">
        <v>#N/A</v>
      </c>
      <c r="Y243" s="386"/>
      <c r="AA243" s="386">
        <f t="shared" si="20"/>
        <v>-556</v>
      </c>
      <c r="AB243" s="286">
        <f t="shared" si="21"/>
        <v>0</v>
      </c>
    </row>
    <row r="244" spans="1:28" ht="43.2" x14ac:dyDescent="0.3">
      <c r="A244" s="334"/>
      <c r="B244" s="90"/>
      <c r="C244" s="335"/>
      <c r="D244" s="337"/>
      <c r="E244" s="338"/>
      <c r="F244" s="339"/>
      <c r="G244" s="340"/>
      <c r="H244" s="342"/>
      <c r="I244" s="32"/>
      <c r="J244" s="158">
        <v>557</v>
      </c>
      <c r="K244" s="343" t="s">
        <v>323</v>
      </c>
      <c r="L244" s="313"/>
      <c r="N244" s="344"/>
      <c r="P244" s="204"/>
      <c r="X244" s="286" t="e">
        <v>#N/A</v>
      </c>
      <c r="Y244" s="386"/>
      <c r="AA244" s="386">
        <f t="shared" si="20"/>
        <v>-557</v>
      </c>
      <c r="AB244" s="286">
        <f t="shared" si="21"/>
        <v>0</v>
      </c>
    </row>
    <row r="245" spans="1:28" ht="43.2" x14ac:dyDescent="0.3">
      <c r="A245" s="334"/>
      <c r="B245" s="90"/>
      <c r="C245" s="335"/>
      <c r="D245" s="337"/>
      <c r="E245" s="338"/>
      <c r="F245" s="339"/>
      <c r="G245" s="340"/>
      <c r="H245" s="342"/>
      <c r="I245" s="32"/>
      <c r="J245" s="158">
        <v>606</v>
      </c>
      <c r="K245" s="343" t="s">
        <v>450</v>
      </c>
      <c r="L245" s="313"/>
      <c r="N245" s="344"/>
      <c r="P245" s="204"/>
      <c r="X245" s="286" t="e">
        <v>#N/A</v>
      </c>
      <c r="Y245" s="386"/>
      <c r="AA245" s="386">
        <f t="shared" si="20"/>
        <v>-606</v>
      </c>
      <c r="AB245" s="286">
        <f t="shared" si="21"/>
        <v>0</v>
      </c>
    </row>
    <row r="246" spans="1:28" s="18" customFormat="1" ht="22.5" customHeight="1" x14ac:dyDescent="0.3">
      <c r="A246" s="334"/>
      <c r="B246" s="90"/>
      <c r="C246" s="335"/>
      <c r="D246" s="129"/>
      <c r="E246" s="130"/>
      <c r="F246" s="59"/>
      <c r="G246" s="131"/>
      <c r="H246" s="132"/>
      <c r="I246" s="32"/>
      <c r="J246" s="133"/>
      <c r="K246" s="346"/>
      <c r="L246" s="347"/>
      <c r="M246"/>
      <c r="N246" s="246"/>
      <c r="P246" s="204"/>
      <c r="Q246" s="279"/>
      <c r="R246" s="3"/>
      <c r="S246" s="3"/>
      <c r="T246" s="3"/>
      <c r="U246" s="3"/>
      <c r="V246" s="3"/>
      <c r="W246" s="3"/>
      <c r="X246" s="286" t="e">
        <v>#N/A</v>
      </c>
      <c r="Y246" s="386"/>
      <c r="Z246" s="3"/>
      <c r="AA246" s="386">
        <f t="shared" si="20"/>
        <v>0</v>
      </c>
      <c r="AB246" s="286">
        <f t="shared" si="21"/>
        <v>0</v>
      </c>
    </row>
    <row r="247" spans="1:28" ht="99" customHeight="1" x14ac:dyDescent="0.3">
      <c r="A247" s="212">
        <f>'Unit Data from Audit Worksheet'!A269</f>
        <v>947</v>
      </c>
      <c r="B247" s="124"/>
      <c r="C247" s="211" t="str">
        <f>'Unit Data from Audit Worksheet'!D269</f>
        <v>First name of finance officer or interim finance officer (please enter “vacant” for first name if the position is currently vacant)</v>
      </c>
      <c r="D247" s="233"/>
      <c r="E247" s="172">
        <f>'Unit Data from Audit Worksheet'!F269</f>
        <v>0</v>
      </c>
      <c r="F247" s="224" t="str">
        <f>'Unit Data from Audit Worksheet'!G269</f>
        <v>Please do not leave blank</v>
      </c>
      <c r="G247" s="226"/>
      <c r="H247" s="223"/>
      <c r="I247" s="32"/>
      <c r="J247" s="161">
        <v>947</v>
      </c>
      <c r="K247" s="348" t="s">
        <v>409</v>
      </c>
      <c r="L247" s="349">
        <f t="shared" ref="L247:L258" si="24">IF(D247="",E247,D247)</f>
        <v>0</v>
      </c>
      <c r="N247" s="344"/>
      <c r="P247" s="204"/>
      <c r="Q247" s="78"/>
      <c r="X247" s="286">
        <v>947</v>
      </c>
      <c r="Y247" s="3">
        <v>947</v>
      </c>
      <c r="AA247" s="386">
        <f t="shared" si="20"/>
        <v>0</v>
      </c>
      <c r="AB247" s="286" t="b">
        <f>EXACT(E247,L247)</f>
        <v>1</v>
      </c>
    </row>
    <row r="248" spans="1:28" ht="128.25" customHeight="1" x14ac:dyDescent="0.3">
      <c r="A248" s="212">
        <f>'Unit Data from Audit Worksheet'!A270</f>
        <v>948</v>
      </c>
      <c r="B248" s="124"/>
      <c r="C248" s="211" t="str">
        <f>'Unit Data from Audit Worksheet'!D270</f>
        <v>Last name of finance officer or interim finance officer (please enter “vacant” for last name if the position is currently vacant)</v>
      </c>
      <c r="D248" s="233"/>
      <c r="E248" s="350">
        <f>'Unit Data from Audit Worksheet'!F270</f>
        <v>0</v>
      </c>
      <c r="F248" s="224" t="str">
        <f>'Unit Data from Audit Worksheet'!G270</f>
        <v>Please do not leave blank</v>
      </c>
      <c r="G248" s="226"/>
      <c r="H248" s="223"/>
      <c r="I248" s="32"/>
      <c r="J248" s="161">
        <v>948</v>
      </c>
      <c r="K248" s="348" t="s">
        <v>410</v>
      </c>
      <c r="L248" s="349">
        <f t="shared" si="24"/>
        <v>0</v>
      </c>
      <c r="N248" s="344"/>
      <c r="P248" s="204"/>
      <c r="X248" s="286">
        <v>948</v>
      </c>
      <c r="Y248" s="3">
        <v>948</v>
      </c>
      <c r="AA248" s="386">
        <f t="shared" si="20"/>
        <v>0</v>
      </c>
      <c r="AB248" s="286" t="b">
        <f t="shared" ref="AB248:AB260" si="25">EXACT(E248,L248)</f>
        <v>1</v>
      </c>
    </row>
    <row r="249" spans="1:28" ht="61.5" customHeight="1" x14ac:dyDescent="0.3">
      <c r="A249" s="212">
        <f>'Unit Data from Audit Worksheet'!A271</f>
        <v>949</v>
      </c>
      <c r="B249" s="124"/>
      <c r="C249" s="211" t="str">
        <f>'Unit Data from Audit Worksheet'!D271</f>
        <v>Is the finance officer serving in a permanent role or an interim role? (select permanent/interim/vacant)</v>
      </c>
      <c r="D249" s="233"/>
      <c r="E249" s="172">
        <f>'Unit Data from Audit Worksheet'!F271</f>
        <v>0</v>
      </c>
      <c r="F249" s="224" t="str">
        <f>'Unit Data from Audit Worksheet'!G271</f>
        <v>Please do not leave blank</v>
      </c>
      <c r="G249" s="226"/>
      <c r="H249" s="223"/>
      <c r="I249" s="32"/>
      <c r="J249" s="161">
        <v>949</v>
      </c>
      <c r="K249" s="348" t="s">
        <v>433</v>
      </c>
      <c r="L249" s="349">
        <f t="shared" si="24"/>
        <v>0</v>
      </c>
      <c r="N249" s="344"/>
      <c r="P249" s="204"/>
      <c r="X249" s="286">
        <v>949</v>
      </c>
      <c r="Y249" s="3">
        <v>949</v>
      </c>
      <c r="AA249" s="386">
        <f t="shared" si="20"/>
        <v>0</v>
      </c>
      <c r="AB249" s="286" t="b">
        <f t="shared" si="25"/>
        <v>1</v>
      </c>
    </row>
    <row r="250" spans="1:28" ht="93.75" customHeight="1" x14ac:dyDescent="0.3">
      <c r="A250" s="212">
        <f>'Unit Data from Audit Worksheet'!A272</f>
        <v>950</v>
      </c>
      <c r="B250" s="124"/>
      <c r="C250" s="211" t="str">
        <f>'Unit Data from Audit Worksheet'!D272</f>
        <v>Has the finance officer or interim finance officer been formally appointed by the local government, public authority, or designated official?  (Y/N)</v>
      </c>
      <c r="D250" s="233"/>
      <c r="E250" s="172">
        <f>'Unit Data from Audit Worksheet'!F272</f>
        <v>0</v>
      </c>
      <c r="F250" s="224" t="str">
        <f>'Unit Data from Audit Worksheet'!G272</f>
        <v>Please do not leave blank</v>
      </c>
      <c r="G250" s="226"/>
      <c r="H250" s="223"/>
      <c r="I250" s="32"/>
      <c r="J250" s="161">
        <v>950</v>
      </c>
      <c r="K250" s="348" t="s">
        <v>434</v>
      </c>
      <c r="L250" s="349">
        <f t="shared" si="24"/>
        <v>0</v>
      </c>
      <c r="N250" s="344"/>
      <c r="P250" s="204"/>
      <c r="X250" s="286">
        <v>950</v>
      </c>
      <c r="Y250" s="3">
        <v>950</v>
      </c>
      <c r="AA250" s="386">
        <f t="shared" si="20"/>
        <v>0</v>
      </c>
      <c r="AB250" s="286" t="b">
        <f t="shared" si="25"/>
        <v>1</v>
      </c>
    </row>
    <row r="251" spans="1:28" ht="153.75" customHeight="1" x14ac:dyDescent="0.3">
      <c r="A251" s="212">
        <f>'Unit Data from Audit Worksheet'!A273</f>
        <v>952</v>
      </c>
      <c r="B251" s="124"/>
      <c r="C251" s="211" t="str">
        <f>'Unit Data from Audit Worksheet'!D273</f>
        <v>Date on which the local government, public authority, or designated official appointed the finance officer?      Date Format  MM/DD/YYYY</v>
      </c>
      <c r="D251" s="233"/>
      <c r="E251" s="656" t="str">
        <f>IF('Unit Data from Audit Worksheet'!F273&gt;0,'Unit Data from Audit Worksheet'!F273," ")</f>
        <v xml:space="preserve"> </v>
      </c>
      <c r="F251" s="224" t="str">
        <f>'Unit Data from Audit Worksheet'!G273</f>
        <v>Leave blank if data not available</v>
      </c>
      <c r="G251" s="226"/>
      <c r="H251" s="223"/>
      <c r="I251" s="32"/>
      <c r="J251" s="161">
        <v>952</v>
      </c>
      <c r="K251" s="348" t="s">
        <v>435</v>
      </c>
      <c r="L251" s="351" t="str">
        <f t="shared" si="24"/>
        <v xml:space="preserve"> </v>
      </c>
      <c r="N251" s="344"/>
      <c r="P251" s="204"/>
      <c r="X251" s="286">
        <v>952</v>
      </c>
      <c r="Y251" s="3">
        <v>952</v>
      </c>
      <c r="AA251" s="386">
        <f t="shared" si="20"/>
        <v>0</v>
      </c>
      <c r="AB251" s="286" t="b">
        <f t="shared" si="25"/>
        <v>1</v>
      </c>
    </row>
    <row r="252" spans="1:28" ht="30.75" customHeight="1" x14ac:dyDescent="0.3">
      <c r="A252" s="352">
        <f>'Unit Data from Audit Worksheet'!A281</f>
        <v>960</v>
      </c>
      <c r="B252" s="168"/>
      <c r="C252" s="169" t="str">
        <f>'Unit Data from Audit Worksheet'!B281</f>
        <v>Name of Finance Officer</v>
      </c>
      <c r="D252" s="233"/>
      <c r="E252" s="353">
        <f>'Unit Data from Audit Worksheet'!D281</f>
        <v>0</v>
      </c>
      <c r="F252" s="354" t="str">
        <f>'Unit Data from Audit Worksheet'!F281</f>
        <v>Required</v>
      </c>
      <c r="G252" s="226"/>
      <c r="H252" s="223"/>
      <c r="I252" s="32"/>
      <c r="J252" s="171">
        <v>960</v>
      </c>
      <c r="K252" s="355" t="s">
        <v>429</v>
      </c>
      <c r="L252" s="356">
        <f t="shared" si="24"/>
        <v>0</v>
      </c>
      <c r="N252" s="311"/>
      <c r="P252" s="204"/>
      <c r="X252" s="286">
        <v>960</v>
      </c>
      <c r="Y252" s="3">
        <v>960</v>
      </c>
      <c r="AA252" s="386">
        <f t="shared" si="20"/>
        <v>0</v>
      </c>
      <c r="AB252" s="286" t="b">
        <f t="shared" si="25"/>
        <v>1</v>
      </c>
    </row>
    <row r="253" spans="1:28" ht="30.75" customHeight="1" x14ac:dyDescent="0.3">
      <c r="A253" s="352">
        <f>'Unit Data from Audit Worksheet'!A282</f>
        <v>962</v>
      </c>
      <c r="B253" s="168"/>
      <c r="C253" s="169" t="str">
        <f>'Unit Data from Audit Worksheet'!B282</f>
        <v>Title of Official</v>
      </c>
      <c r="D253" s="233"/>
      <c r="E253" s="353">
        <f>'Unit Data from Audit Worksheet'!D282</f>
        <v>0</v>
      </c>
      <c r="F253" s="354" t="str">
        <f>'Unit Data from Audit Worksheet'!F282</f>
        <v>Required</v>
      </c>
      <c r="G253" s="226"/>
      <c r="H253" s="223"/>
      <c r="I253" s="32"/>
      <c r="J253" s="171">
        <v>962</v>
      </c>
      <c r="K253" s="355" t="s">
        <v>405</v>
      </c>
      <c r="L253" s="356">
        <f t="shared" si="24"/>
        <v>0</v>
      </c>
      <c r="N253" s="311"/>
      <c r="P253" s="204"/>
      <c r="X253" s="286">
        <v>962</v>
      </c>
      <c r="Y253" s="3">
        <v>962</v>
      </c>
      <c r="AA253" s="386">
        <f t="shared" si="20"/>
        <v>0</v>
      </c>
      <c r="AB253" s="286" t="b">
        <f t="shared" si="25"/>
        <v>1</v>
      </c>
    </row>
    <row r="254" spans="1:28" ht="30.75" customHeight="1" x14ac:dyDescent="0.3">
      <c r="A254" s="352">
        <f>'Unit Data from Audit Worksheet'!A283</f>
        <v>964</v>
      </c>
      <c r="B254" s="168"/>
      <c r="C254" s="170" t="str">
        <f>'Unit Data from Audit Worksheet'!B283</f>
        <v>Date                        (Enter as "MM/DD/YYYY")</v>
      </c>
      <c r="D254" s="233"/>
      <c r="E254" s="357">
        <f>'Unit Data from Audit Worksheet'!D283</f>
        <v>0</v>
      </c>
      <c r="F254" s="354" t="str">
        <f>'Unit Data from Audit Worksheet'!F283</f>
        <v>Required</v>
      </c>
      <c r="G254" s="580"/>
      <c r="H254" s="223"/>
      <c r="I254" s="32"/>
      <c r="J254" s="171">
        <v>964</v>
      </c>
      <c r="K254" s="355" t="s">
        <v>460</v>
      </c>
      <c r="L254" s="358">
        <f t="shared" si="24"/>
        <v>0</v>
      </c>
      <c r="N254" s="311"/>
      <c r="P254" s="204"/>
      <c r="X254" s="286">
        <v>964</v>
      </c>
      <c r="Y254" s="3">
        <v>964</v>
      </c>
      <c r="AA254" s="386">
        <f t="shared" si="20"/>
        <v>0</v>
      </c>
      <c r="AB254" s="286" t="b">
        <f t="shared" si="25"/>
        <v>1</v>
      </c>
    </row>
    <row r="255" spans="1:28" ht="30.75" customHeight="1" x14ac:dyDescent="0.3">
      <c r="A255" s="352">
        <f>'Unit Data from Audit Worksheet'!A284</f>
        <v>966</v>
      </c>
      <c r="B255" s="168"/>
      <c r="C255" s="169" t="s">
        <v>1136</v>
      </c>
      <c r="D255" s="233"/>
      <c r="E255" s="579" t="str">
        <f>_xlfn.TEXTJOIN(",",,TEXT('Unit Data from Audit Worksheet'!D284,"###-###-####")," "&amp;'Unit Data from Audit Worksheet'!D285)</f>
        <v xml:space="preserve">--, </v>
      </c>
      <c r="F255" s="354" t="str">
        <f>'Unit Data from Audit Worksheet'!F284</f>
        <v>Required</v>
      </c>
      <c r="G255" s="226"/>
      <c r="H255" s="223"/>
      <c r="I255" s="32"/>
      <c r="J255" s="171">
        <v>966</v>
      </c>
      <c r="K255" s="355" t="s">
        <v>407</v>
      </c>
      <c r="L255" s="356" t="str">
        <f t="shared" si="24"/>
        <v xml:space="preserve">--, </v>
      </c>
      <c r="N255" s="311"/>
      <c r="P255" s="204"/>
      <c r="X255" s="286">
        <v>966</v>
      </c>
      <c r="Y255" s="3">
        <v>966</v>
      </c>
      <c r="AA255" s="386">
        <f t="shared" si="20"/>
        <v>0</v>
      </c>
      <c r="AB255" s="286" t="b">
        <f t="shared" si="25"/>
        <v>1</v>
      </c>
    </row>
    <row r="256" spans="1:28" ht="30.75" customHeight="1" x14ac:dyDescent="0.3">
      <c r="A256" s="352">
        <f>'Unit Data from Audit Worksheet'!A286</f>
        <v>968</v>
      </c>
      <c r="B256" s="168"/>
      <c r="C256" s="169" t="str">
        <f>'Unit Data from Audit Worksheet'!B286</f>
        <v>E-mail address</v>
      </c>
      <c r="D256" s="233"/>
      <c r="E256" s="353">
        <f>'Unit Data from Audit Worksheet'!D286</f>
        <v>0</v>
      </c>
      <c r="F256" s="354" t="str">
        <f>'Unit Data from Audit Worksheet'!F286</f>
        <v>Required</v>
      </c>
      <c r="G256" s="226"/>
      <c r="H256" s="223"/>
      <c r="I256" s="32"/>
      <c r="J256" s="171">
        <v>968</v>
      </c>
      <c r="K256" s="355" t="s">
        <v>408</v>
      </c>
      <c r="L256" s="356">
        <f t="shared" si="24"/>
        <v>0</v>
      </c>
      <c r="N256" s="311"/>
      <c r="P256" s="204"/>
      <c r="X256" s="286">
        <v>968</v>
      </c>
      <c r="Y256" s="3">
        <v>968</v>
      </c>
      <c r="AA256" s="386">
        <f t="shared" si="20"/>
        <v>0</v>
      </c>
      <c r="AB256" s="286" t="b">
        <f t="shared" si="25"/>
        <v>1</v>
      </c>
    </row>
    <row r="257" spans="1:28" ht="111" customHeight="1" x14ac:dyDescent="0.3">
      <c r="A257" s="359">
        <v>980</v>
      </c>
      <c r="B257" s="237" t="s">
        <v>600</v>
      </c>
      <c r="C257" s="24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57" s="233"/>
      <c r="E257" s="635" t="str">
        <f>IF('TD Info Completed by Auditor'!C32&gt;0,'TD Info Completed by Auditor'!C32," ")</f>
        <v xml:space="preserve"> </v>
      </c>
      <c r="F257" s="360" t="s">
        <v>657</v>
      </c>
      <c r="G257" s="226"/>
      <c r="H257" s="223"/>
      <c r="I257" s="32"/>
      <c r="J257" s="249">
        <v>980</v>
      </c>
      <c r="K257" s="250" t="s">
        <v>592</v>
      </c>
      <c r="L257" s="361" t="str">
        <f t="shared" si="24"/>
        <v xml:space="preserve"> </v>
      </c>
      <c r="N257" s="389" t="s">
        <v>658</v>
      </c>
      <c r="P257" s="204"/>
      <c r="X257" s="286" t="e">
        <v>#N/A</v>
      </c>
      <c r="AA257" s="386">
        <f t="shared" si="20"/>
        <v>0</v>
      </c>
      <c r="AB257" s="286" t="b">
        <f t="shared" si="25"/>
        <v>1</v>
      </c>
    </row>
    <row r="258" spans="1:28" s="386" customFormat="1" ht="135.6" customHeight="1" x14ac:dyDescent="0.3">
      <c r="A258" s="212">
        <f>'Unit Data from Audit Worksheet'!A77</f>
        <v>590</v>
      </c>
      <c r="B258" s="212" t="str">
        <f>'Unit Data from Audit Worksheet'!B77</f>
        <v>Fiscal Review, UAL Determination, Financial Performance Indicator</v>
      </c>
      <c r="C258" s="74" t="str">
        <f>'Unit Data from Audit Worksheet'!D77</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8" s="233"/>
      <c r="E258" s="664" t="str">
        <f>CONCATENATE('Unit Data from Audit Worksheet'!F77," - ",'Unit Data from Audit Worksheet'!G77)</f>
        <v xml:space="preserve"> - </v>
      </c>
      <c r="F258" s="660"/>
      <c r="G258" s="226"/>
      <c r="H258" s="223"/>
      <c r="I258" s="32"/>
      <c r="J258" s="249">
        <v>590</v>
      </c>
      <c r="K258" s="250" t="s">
        <v>1548</v>
      </c>
      <c r="L258" s="665" t="str">
        <f t="shared" si="24"/>
        <v xml:space="preserve"> - </v>
      </c>
      <c r="M258"/>
      <c r="N258" s="389"/>
      <c r="P258" s="204"/>
      <c r="Q258" s="279"/>
      <c r="X258" s="286"/>
      <c r="AB258" s="286"/>
    </row>
    <row r="259" spans="1:28" s="386" customFormat="1" ht="135.6" customHeight="1" x14ac:dyDescent="0.3">
      <c r="A259" s="1025">
        <f>'TD Info Completed by Auditor'!A31</f>
        <v>1079</v>
      </c>
      <c r="B259" s="1025"/>
      <c r="C259" s="1026" t="str">
        <f>'TD Info Completed by Auditor'!B31</f>
        <v>What date was the audit report submitted to the LGC?  (Note audit reports are due four months after fiscal year end regardless of the contract submission date.)  Enter as "MM/DD/YYYY"</v>
      </c>
      <c r="D259" s="233"/>
      <c r="E259" s="1027">
        <f>'TD Info Completed by Auditor'!C31</f>
        <v>0</v>
      </c>
      <c r="F259" s="1028"/>
      <c r="G259" s="226"/>
      <c r="H259" s="223"/>
      <c r="I259" s="1029"/>
      <c r="J259" s="1030">
        <v>1079</v>
      </c>
      <c r="K259" s="1031" t="s">
        <v>2653</v>
      </c>
      <c r="L259" s="1032">
        <f>E259</f>
        <v>0</v>
      </c>
      <c r="M259" s="180"/>
      <c r="N259" s="389"/>
      <c r="P259" s="204"/>
      <c r="Q259" s="279"/>
      <c r="X259" s="286"/>
      <c r="AB259" s="286"/>
    </row>
    <row r="260" spans="1:28" ht="83.4" customHeight="1" x14ac:dyDescent="0.3">
      <c r="A260" s="334"/>
      <c r="B260" s="90"/>
      <c r="C260" s="335"/>
      <c r="D260" s="337"/>
      <c r="E260" s="338"/>
      <c r="F260" s="339"/>
      <c r="G260" s="340"/>
      <c r="H260" s="341"/>
      <c r="I260" s="32"/>
      <c r="J260" s="161">
        <v>999</v>
      </c>
      <c r="K260" s="348" t="s">
        <v>278</v>
      </c>
      <c r="L260" s="362" t="e">
        <f>'Unit Data from Audit Worksheet'!D3</f>
        <v>#N/A</v>
      </c>
      <c r="N260" s="363" t="s">
        <v>656</v>
      </c>
      <c r="O260" s="363" t="s">
        <v>655</v>
      </c>
      <c r="P260" s="204"/>
      <c r="X260" s="286" t="e">
        <v>#N/A</v>
      </c>
      <c r="AA260" s="386">
        <f t="shared" si="20"/>
        <v>-999</v>
      </c>
      <c r="AB260" s="286" t="e">
        <f t="shared" si="25"/>
        <v>#N/A</v>
      </c>
    </row>
    <row r="261" spans="1:28" x14ac:dyDescent="0.3">
      <c r="A261" s="187"/>
      <c r="B261" s="187"/>
      <c r="C261" s="187"/>
      <c r="D261" s="187"/>
      <c r="E261" s="187"/>
      <c r="F261" s="187"/>
      <c r="G261" s="187"/>
      <c r="H261" s="187"/>
      <c r="I261" s="187"/>
      <c r="J261" s="3"/>
      <c r="K261" s="3"/>
      <c r="L261" s="3"/>
      <c r="N261" s="4"/>
      <c r="P261" s="204"/>
      <c r="AA261" s="386"/>
    </row>
    <row r="262" spans="1:28" s="386" customFormat="1" x14ac:dyDescent="0.3">
      <c r="A262" s="187"/>
      <c r="B262" s="187"/>
      <c r="C262" s="187"/>
      <c r="D262" s="187"/>
      <c r="E262" s="187"/>
      <c r="F262" s="187"/>
      <c r="G262" s="187"/>
      <c r="H262" s="187"/>
      <c r="I262" s="187"/>
      <c r="M262"/>
      <c r="N262" s="4"/>
      <c r="P262" s="204"/>
      <c r="Q262" s="279"/>
    </row>
    <row r="263" spans="1:28" x14ac:dyDescent="0.3">
      <c r="C263" s="646"/>
      <c r="D263" s="365"/>
      <c r="E263" s="366"/>
      <c r="F263" s="366"/>
      <c r="G263" s="367"/>
      <c r="H263" s="366"/>
      <c r="I263" s="368"/>
      <c r="K263" s="728" t="s">
        <v>1549</v>
      </c>
      <c r="L263" s="730" t="e">
        <f>SUM(L4:L245)</f>
        <v>#N/A</v>
      </c>
      <c r="N263" s="4"/>
      <c r="P263" s="204"/>
      <c r="AA263" s="386"/>
    </row>
    <row r="264" spans="1:28" ht="19.2" customHeight="1" x14ac:dyDescent="0.3">
      <c r="A264"/>
      <c r="B264"/>
      <c r="C264"/>
      <c r="D264"/>
      <c r="E264"/>
      <c r="F264"/>
      <c r="G264" s="367"/>
      <c r="H264" s="366"/>
      <c r="I264" s="368"/>
      <c r="K264" s="729" t="s">
        <v>1533</v>
      </c>
      <c r="L264" s="730"/>
      <c r="N264" s="4"/>
      <c r="P264" s="204"/>
      <c r="AA264" s="386"/>
    </row>
    <row r="265" spans="1:28" ht="21.6" customHeight="1" x14ac:dyDescent="0.7">
      <c r="B265" s="3"/>
      <c r="C265" s="3"/>
      <c r="D265" s="73"/>
      <c r="E265" s="96"/>
      <c r="F265" s="73"/>
      <c r="G265" s="367"/>
      <c r="H265" s="366"/>
      <c r="I265" s="368"/>
      <c r="J265" s="148"/>
      <c r="K265" s="147"/>
      <c r="L265" s="730" t="e">
        <f>L263-L264</f>
        <v>#N/A</v>
      </c>
      <c r="N265" s="4"/>
      <c r="P265" s="204"/>
      <c r="Y265" s="386">
        <v>590</v>
      </c>
      <c r="AA265" s="386"/>
    </row>
    <row r="266" spans="1:28" ht="25.2" customHeight="1" x14ac:dyDescent="0.3">
      <c r="A266" s="187"/>
      <c r="B266" s="187"/>
      <c r="C266" s="187"/>
      <c r="D266" s="187"/>
      <c r="E266" s="187"/>
      <c r="F266" s="366"/>
      <c r="G266" s="367"/>
      <c r="H266" s="366"/>
      <c r="I266" s="368"/>
      <c r="K266" s="10"/>
      <c r="L266" s="369"/>
      <c r="P266" s="204"/>
      <c r="X266" s="286">
        <f>SUM(X5:X211)</f>
        <v>83710</v>
      </c>
      <c r="Y266" s="3">
        <v>96734</v>
      </c>
      <c r="AA266" s="386"/>
    </row>
    <row r="267" spans="1:28" x14ac:dyDescent="0.3">
      <c r="A267" s="187"/>
      <c r="B267" s="187"/>
      <c r="C267" s="187"/>
      <c r="D267" s="187"/>
      <c r="E267" s="187"/>
      <c r="F267" s="366"/>
      <c r="G267" s="367"/>
      <c r="H267" s="366"/>
      <c r="I267" s="368"/>
      <c r="K267" s="10"/>
      <c r="P267" s="204"/>
      <c r="X267" s="286">
        <f>SUM(X247:X256)</f>
        <v>9566</v>
      </c>
      <c r="AA267" s="386"/>
    </row>
    <row r="268" spans="1:28" ht="18.75" customHeight="1" x14ac:dyDescent="0.3">
      <c r="A268" s="187"/>
      <c r="B268" s="187"/>
      <c r="C268" s="187"/>
      <c r="D268" s="187"/>
      <c r="E268" s="187"/>
      <c r="F268" s="366"/>
      <c r="G268" s="367"/>
      <c r="H268" s="366"/>
      <c r="I268" s="368"/>
      <c r="K268" s="10"/>
      <c r="L268"/>
      <c r="P268" s="204"/>
      <c r="Y268" s="3" t="s">
        <v>893</v>
      </c>
      <c r="AA268" s="386"/>
    </row>
    <row r="269" spans="1:28" ht="30.75" customHeight="1" x14ac:dyDescent="0.3">
      <c r="A269" s="187"/>
      <c r="B269" s="187"/>
      <c r="C269" s="187"/>
      <c r="D269" s="187"/>
      <c r="E269" s="187"/>
      <c r="F269" s="366"/>
      <c r="G269" s="367"/>
      <c r="H269" s="366"/>
      <c r="I269" s="368"/>
      <c r="K269" s="10"/>
      <c r="L269" s="369"/>
      <c r="P269" s="204"/>
      <c r="X269" s="286">
        <f>SUM(X266:X268)</f>
        <v>93276</v>
      </c>
      <c r="Y269" s="3">
        <f>Y266</f>
        <v>96734</v>
      </c>
      <c r="Z269" s="286">
        <f>X269-Y269</f>
        <v>-3458</v>
      </c>
      <c r="AA269" s="386"/>
    </row>
    <row r="270" spans="1:28" ht="30.75" customHeight="1" x14ac:dyDescent="0.3">
      <c r="A270" s="187"/>
      <c r="B270" s="187"/>
      <c r="C270" s="187"/>
      <c r="D270" s="187"/>
      <c r="E270" s="187"/>
      <c r="F270" s="366"/>
      <c r="G270" s="367"/>
      <c r="H270" s="366"/>
      <c r="I270" s="368"/>
      <c r="K270" s="10"/>
      <c r="L270" s="369"/>
      <c r="P270" s="204"/>
      <c r="AA270" s="386"/>
    </row>
    <row r="271" spans="1:28" ht="30.75" customHeight="1" x14ac:dyDescent="0.3">
      <c r="A271" s="187"/>
      <c r="B271" s="187"/>
      <c r="C271" s="187"/>
      <c r="D271" s="187"/>
      <c r="E271" s="187"/>
      <c r="F271" s="366"/>
      <c r="G271" s="367"/>
      <c r="H271" s="366"/>
      <c r="I271" s="368"/>
      <c r="K271" s="10"/>
      <c r="L271" s="369"/>
      <c r="P271" s="204"/>
      <c r="AA271" s="386"/>
    </row>
    <row r="272" spans="1:28" ht="30.75" customHeight="1" x14ac:dyDescent="0.3">
      <c r="A272" s="187"/>
      <c r="B272" s="187"/>
      <c r="C272" s="187"/>
      <c r="D272" s="187"/>
      <c r="E272" s="187"/>
      <c r="F272" s="366"/>
      <c r="G272" s="367"/>
      <c r="H272" s="366"/>
      <c r="I272" s="368"/>
      <c r="K272" s="10"/>
      <c r="L272" s="369"/>
      <c r="P272" s="204"/>
      <c r="AA272" s="386"/>
    </row>
    <row r="273" spans="1:27" ht="30.75" customHeight="1" x14ac:dyDescent="0.3">
      <c r="A273" s="187"/>
      <c r="B273" s="187"/>
      <c r="C273" s="187"/>
      <c r="D273" s="187"/>
      <c r="E273" s="187"/>
      <c r="F273" s="366"/>
      <c r="G273" s="367"/>
      <c r="H273" s="366"/>
      <c r="I273" s="368"/>
      <c r="K273" s="10"/>
      <c r="L273" s="369"/>
      <c r="P273" s="204"/>
      <c r="AA273" s="386"/>
    </row>
    <row r="274" spans="1:27" x14ac:dyDescent="0.3">
      <c r="A274" s="187"/>
      <c r="B274" s="187"/>
      <c r="C274" s="187"/>
      <c r="D274" s="187"/>
      <c r="E274" s="187"/>
      <c r="I274" s="368"/>
      <c r="K274" s="10"/>
      <c r="L274" s="369"/>
      <c r="P274" s="204"/>
      <c r="AA274" s="386"/>
    </row>
    <row r="275" spans="1:27" x14ac:dyDescent="0.3">
      <c r="A275" s="187"/>
      <c r="B275" s="187"/>
      <c r="C275" s="187"/>
      <c r="D275" s="187"/>
      <c r="E275" s="187"/>
      <c r="I275" s="368"/>
      <c r="L275" s="369"/>
      <c r="P275" s="204"/>
      <c r="AA275" s="386"/>
    </row>
    <row r="276" spans="1:27" x14ac:dyDescent="0.3">
      <c r="A276" s="5"/>
      <c r="B276" s="370"/>
      <c r="C276" s="23"/>
      <c r="D276" s="72"/>
      <c r="I276" s="368"/>
      <c r="L276" s="369"/>
      <c r="P276" s="204"/>
      <c r="AA276" s="386"/>
    </row>
    <row r="277" spans="1:27" x14ac:dyDescent="0.3">
      <c r="A277" s="5"/>
      <c r="B277" s="370"/>
      <c r="C277" s="23"/>
      <c r="D277" s="72"/>
      <c r="L277" s="369"/>
      <c r="P277" s="204"/>
      <c r="AA277" s="386"/>
    </row>
    <row r="278" spans="1:27" x14ac:dyDescent="0.3">
      <c r="D278" s="72"/>
      <c r="P278" s="204"/>
      <c r="AA278" s="386"/>
    </row>
    <row r="279" spans="1:27" x14ac:dyDescent="0.3">
      <c r="D279" s="72"/>
      <c r="P279" s="204"/>
      <c r="AA279" s="386"/>
    </row>
    <row r="280" spans="1:27" x14ac:dyDescent="0.3">
      <c r="D280" s="72"/>
      <c r="P280" s="204"/>
      <c r="AA280" s="386"/>
    </row>
    <row r="281" spans="1:27" x14ac:dyDescent="0.3">
      <c r="D281" s="72"/>
      <c r="P281" s="204"/>
      <c r="AA281" s="386"/>
    </row>
    <row r="282" spans="1:27" x14ac:dyDescent="0.3">
      <c r="A282" s="5"/>
      <c r="B282" s="370"/>
      <c r="C282" s="23"/>
      <c r="D282" s="72"/>
      <c r="P282" s="204"/>
      <c r="AA282" s="386"/>
    </row>
    <row r="283" spans="1:27" x14ac:dyDescent="0.3">
      <c r="A283" s="5"/>
      <c r="B283" s="370"/>
      <c r="C283" s="23"/>
      <c r="D283" s="72"/>
      <c r="P283" s="204"/>
      <c r="AA283" s="386"/>
    </row>
    <row r="284" spans="1:27" x14ac:dyDescent="0.3">
      <c r="D284" s="72"/>
      <c r="P284" s="204"/>
      <c r="AA284" s="386"/>
    </row>
    <row r="285" spans="1:27" x14ac:dyDescent="0.3">
      <c r="D285" s="72"/>
      <c r="P285" s="204"/>
      <c r="AA285" s="386"/>
    </row>
    <row r="286" spans="1:27" x14ac:dyDescent="0.3">
      <c r="D286" s="72"/>
      <c r="P286" s="204"/>
      <c r="AA286" s="386"/>
    </row>
    <row r="287" spans="1:27" x14ac:dyDescent="0.3">
      <c r="D287" s="72"/>
      <c r="P287" s="204"/>
      <c r="AA287" s="386"/>
    </row>
    <row r="288" spans="1:27" x14ac:dyDescent="0.3">
      <c r="A288" s="5"/>
      <c r="B288" s="370"/>
      <c r="C288" s="23"/>
      <c r="D288" s="72"/>
      <c r="P288" s="204"/>
      <c r="AA288" s="386"/>
    </row>
    <row r="289" spans="1:27" x14ac:dyDescent="0.3">
      <c r="A289" s="5"/>
      <c r="B289" s="370"/>
      <c r="C289" s="23"/>
      <c r="D289" s="72"/>
      <c r="P289" s="204"/>
      <c r="AA289" s="386"/>
    </row>
    <row r="290" spans="1:27" x14ac:dyDescent="0.3">
      <c r="D290" s="72"/>
      <c r="P290" s="204"/>
      <c r="AA290" s="386"/>
    </row>
    <row r="291" spans="1:27" x14ac:dyDescent="0.3">
      <c r="D291" s="72"/>
      <c r="P291" s="204"/>
      <c r="AA291" s="386"/>
    </row>
    <row r="292" spans="1:27" x14ac:dyDescent="0.3">
      <c r="D292" s="72"/>
      <c r="P292" s="204"/>
      <c r="AA292" s="386"/>
    </row>
    <row r="293" spans="1:27" x14ac:dyDescent="0.3">
      <c r="D293" s="72"/>
      <c r="P293" s="204"/>
      <c r="AA293" s="386"/>
    </row>
    <row r="294" spans="1:27" x14ac:dyDescent="0.3">
      <c r="A294" s="5"/>
      <c r="B294" s="370"/>
      <c r="C294" s="23"/>
      <c r="D294" s="72"/>
      <c r="P294" s="204"/>
      <c r="AA294" s="386"/>
    </row>
    <row r="295" spans="1:27" x14ac:dyDescent="0.3">
      <c r="A295" s="5"/>
      <c r="B295" s="370"/>
      <c r="C295" s="23"/>
      <c r="D295" s="72"/>
      <c r="P295" s="204"/>
      <c r="AA295" s="386"/>
    </row>
    <row r="296" spans="1:27" x14ac:dyDescent="0.3">
      <c r="A296" s="5"/>
      <c r="B296" s="370"/>
      <c r="C296" s="23"/>
      <c r="D296" s="72"/>
      <c r="P296" s="204"/>
      <c r="AA296" s="386"/>
    </row>
    <row r="297" spans="1:27" x14ac:dyDescent="0.3">
      <c r="A297" s="5"/>
      <c r="B297" s="370"/>
      <c r="C297" s="23"/>
      <c r="D297" s="72"/>
      <c r="P297" s="204"/>
      <c r="AA297" s="386"/>
    </row>
    <row r="298" spans="1:27" x14ac:dyDescent="0.3">
      <c r="D298" s="72"/>
      <c r="P298" s="204"/>
      <c r="AA298" s="386"/>
    </row>
    <row r="299" spans="1:27" x14ac:dyDescent="0.3">
      <c r="D299" s="72"/>
      <c r="P299" s="204"/>
      <c r="AA299" s="386"/>
    </row>
    <row r="300" spans="1:27" x14ac:dyDescent="0.3">
      <c r="D300" s="72"/>
      <c r="P300" s="204"/>
      <c r="AA300" s="386"/>
    </row>
    <row r="301" spans="1:27" x14ac:dyDescent="0.3">
      <c r="A301" s="5"/>
      <c r="B301" s="370"/>
      <c r="C301" s="23"/>
      <c r="D301" s="72"/>
      <c r="P301" s="204"/>
      <c r="AA301" s="386"/>
    </row>
    <row r="302" spans="1:27" x14ac:dyDescent="0.3">
      <c r="A302" s="5"/>
      <c r="B302" s="370"/>
      <c r="C302" s="23"/>
      <c r="D302" s="72"/>
      <c r="P302" s="204"/>
      <c r="AA302" s="386"/>
    </row>
    <row r="303" spans="1:27" x14ac:dyDescent="0.3">
      <c r="A303" s="5"/>
      <c r="B303" s="370"/>
      <c r="C303" s="23"/>
      <c r="D303" s="72"/>
      <c r="P303" s="204"/>
      <c r="AA303" s="386"/>
    </row>
    <row r="304" spans="1:27" x14ac:dyDescent="0.3">
      <c r="A304" s="5"/>
      <c r="B304" s="370"/>
      <c r="C304" s="23"/>
      <c r="D304" s="72"/>
      <c r="P304" s="204"/>
      <c r="AA304" s="386"/>
    </row>
    <row r="305" spans="1:27" x14ac:dyDescent="0.3">
      <c r="A305" s="5"/>
      <c r="B305" s="370"/>
      <c r="C305" s="23"/>
      <c r="D305" s="72"/>
      <c r="P305" s="204"/>
      <c r="AA305" s="386"/>
    </row>
    <row r="306" spans="1:27" x14ac:dyDescent="0.3">
      <c r="A306" s="5"/>
      <c r="B306" s="370"/>
      <c r="C306" s="23"/>
      <c r="D306" s="72"/>
      <c r="P306" s="204"/>
      <c r="AA306" s="386"/>
    </row>
    <row r="307" spans="1:27" x14ac:dyDescent="0.3">
      <c r="A307" s="5"/>
      <c r="B307" s="370"/>
      <c r="C307" s="23"/>
      <c r="D307" s="72"/>
      <c r="P307" s="204"/>
      <c r="AA307" s="386"/>
    </row>
    <row r="308" spans="1:27" x14ac:dyDescent="0.3">
      <c r="A308" s="5"/>
      <c r="B308" s="370"/>
      <c r="C308" s="23"/>
      <c r="D308" s="72"/>
      <c r="P308" s="204"/>
      <c r="AA308" s="386"/>
    </row>
    <row r="309" spans="1:27" x14ac:dyDescent="0.3">
      <c r="A309" s="5"/>
      <c r="B309" s="370"/>
      <c r="C309" s="23"/>
      <c r="D309" s="72"/>
      <c r="P309" s="204"/>
      <c r="AA309" s="386"/>
    </row>
    <row r="310" spans="1:27" x14ac:dyDescent="0.3">
      <c r="A310" s="5"/>
      <c r="B310" s="370"/>
      <c r="C310" s="23"/>
      <c r="D310" s="72"/>
      <c r="P310" s="204"/>
      <c r="AA310" s="386"/>
    </row>
    <row r="311" spans="1:27" x14ac:dyDescent="0.3">
      <c r="A311" s="5"/>
      <c r="B311" s="370"/>
      <c r="C311" s="23"/>
      <c r="D311" s="72"/>
      <c r="P311" s="204"/>
      <c r="AA311" s="386"/>
    </row>
    <row r="312" spans="1:27" x14ac:dyDescent="0.3">
      <c r="A312" s="5"/>
      <c r="B312" s="370"/>
      <c r="C312" s="23"/>
      <c r="D312" s="72"/>
      <c r="P312" s="204"/>
      <c r="AA312" s="386"/>
    </row>
    <row r="313" spans="1:27" x14ac:dyDescent="0.3">
      <c r="A313" s="5"/>
      <c r="B313" s="370"/>
      <c r="C313" s="23"/>
      <c r="D313" s="72"/>
      <c r="P313" s="204"/>
      <c r="AA313" s="386"/>
    </row>
    <row r="314" spans="1:27" x14ac:dyDescent="0.3">
      <c r="A314" s="5"/>
      <c r="B314" s="370"/>
      <c r="C314" s="23"/>
      <c r="D314" s="72"/>
      <c r="P314" s="204"/>
      <c r="AA314" s="386"/>
    </row>
    <row r="315" spans="1:27" x14ac:dyDescent="0.3">
      <c r="A315" s="5"/>
      <c r="B315" s="370"/>
      <c r="C315" s="23"/>
      <c r="D315" s="72"/>
      <c r="P315" s="204"/>
      <c r="AA315" s="386"/>
    </row>
    <row r="316" spans="1:27" x14ac:dyDescent="0.3">
      <c r="A316" s="5"/>
      <c r="B316" s="370"/>
      <c r="C316" s="23"/>
      <c r="D316" s="72"/>
      <c r="P316" s="204"/>
      <c r="AA316" s="386"/>
    </row>
    <row r="317" spans="1:27" x14ac:dyDescent="0.3">
      <c r="A317" s="5"/>
      <c r="B317" s="370"/>
      <c r="C317" s="23"/>
      <c r="D317" s="72"/>
      <c r="P317" s="204"/>
      <c r="AA317" s="386"/>
    </row>
    <row r="318" spans="1:27" x14ac:dyDescent="0.3">
      <c r="A318" s="5"/>
      <c r="B318" s="370"/>
      <c r="C318" s="23"/>
      <c r="D318" s="72"/>
      <c r="P318" s="204"/>
      <c r="AA318" s="386"/>
    </row>
    <row r="319" spans="1:27" x14ac:dyDescent="0.3">
      <c r="A319" s="5"/>
      <c r="B319" s="370"/>
      <c r="C319" s="23"/>
      <c r="D319" s="72"/>
      <c r="P319" s="204"/>
      <c r="AA319" s="386"/>
    </row>
    <row r="320" spans="1:27" x14ac:dyDescent="0.3">
      <c r="A320" s="5"/>
      <c r="B320" s="370"/>
      <c r="C320" s="23"/>
      <c r="D320" s="72"/>
      <c r="P320" s="204"/>
    </row>
    <row r="321" spans="1:16" x14ac:dyDescent="0.3">
      <c r="A321" s="5"/>
      <c r="B321" s="370"/>
      <c r="C321" s="23"/>
      <c r="D321" s="72"/>
      <c r="P321" s="204"/>
    </row>
    <row r="322" spans="1:16" x14ac:dyDescent="0.3">
      <c r="A322" s="5"/>
      <c r="B322" s="370"/>
      <c r="C322" s="23"/>
      <c r="D322" s="72"/>
      <c r="P322" s="204"/>
    </row>
    <row r="323" spans="1:16" x14ac:dyDescent="0.3">
      <c r="A323" s="5"/>
      <c r="B323" s="370"/>
      <c r="C323" s="23"/>
      <c r="D323" s="72"/>
      <c r="P323" s="204"/>
    </row>
    <row r="324" spans="1:16" x14ac:dyDescent="0.3">
      <c r="A324" s="5"/>
      <c r="B324" s="370"/>
      <c r="C324" s="23"/>
      <c r="D324" s="72"/>
      <c r="P324" s="204"/>
    </row>
    <row r="325" spans="1:16" x14ac:dyDescent="0.3">
      <c r="A325" s="5"/>
      <c r="B325" s="370"/>
      <c r="C325" s="23"/>
      <c r="D325" s="72"/>
      <c r="P325" s="204"/>
    </row>
    <row r="326" spans="1:16" x14ac:dyDescent="0.3">
      <c r="A326" s="5"/>
      <c r="B326" s="370"/>
      <c r="C326" s="23"/>
      <c r="D326" s="72"/>
      <c r="P326" s="204"/>
    </row>
    <row r="327" spans="1:16" x14ac:dyDescent="0.3">
      <c r="A327" s="5"/>
      <c r="B327" s="370"/>
      <c r="C327" s="23"/>
      <c r="D327" s="72"/>
      <c r="P327" s="204"/>
    </row>
    <row r="328" spans="1:16" x14ac:dyDescent="0.3">
      <c r="A328" s="5"/>
      <c r="B328" s="370"/>
      <c r="C328" s="23"/>
      <c r="D328" s="72"/>
      <c r="P328" s="204"/>
    </row>
    <row r="329" spans="1:16" x14ac:dyDescent="0.3">
      <c r="A329" s="5"/>
      <c r="B329" s="370"/>
      <c r="C329" s="23"/>
      <c r="D329" s="72"/>
      <c r="P329" s="204"/>
    </row>
    <row r="330" spans="1:16" x14ac:dyDescent="0.3">
      <c r="A330" s="5"/>
      <c r="B330" s="370"/>
      <c r="C330" s="23"/>
      <c r="D330" s="72"/>
      <c r="P330" s="204"/>
    </row>
    <row r="331" spans="1:16" x14ac:dyDescent="0.3">
      <c r="A331" s="5"/>
      <c r="B331" s="370"/>
      <c r="C331" s="23"/>
      <c r="D331" s="72"/>
      <c r="P331" s="204"/>
    </row>
    <row r="332" spans="1:16" x14ac:dyDescent="0.3">
      <c r="A332" s="5"/>
      <c r="B332" s="370"/>
      <c r="C332" s="23"/>
      <c r="D332" s="72"/>
      <c r="P332" s="204"/>
    </row>
    <row r="333" spans="1:16" x14ac:dyDescent="0.3">
      <c r="A333" s="5"/>
      <c r="B333" s="370"/>
      <c r="C333" s="23"/>
      <c r="D333" s="72"/>
      <c r="P333" s="204"/>
    </row>
    <row r="334" spans="1:16" x14ac:dyDescent="0.3">
      <c r="A334" s="5"/>
      <c r="B334" s="370"/>
      <c r="C334" s="23"/>
      <c r="D334" s="72"/>
      <c r="P334" s="204"/>
    </row>
    <row r="335" spans="1:16" x14ac:dyDescent="0.3">
      <c r="A335" s="5"/>
      <c r="B335" s="370"/>
      <c r="C335" s="23"/>
      <c r="D335" s="72"/>
      <c r="P335" s="204"/>
    </row>
    <row r="336" spans="1:16" x14ac:dyDescent="0.3">
      <c r="A336" s="5"/>
      <c r="B336" s="370"/>
      <c r="C336" s="23"/>
      <c r="D336" s="72"/>
      <c r="P336" s="204"/>
    </row>
    <row r="337" spans="1:16" x14ac:dyDescent="0.3">
      <c r="A337" s="5"/>
      <c r="B337" s="370"/>
      <c r="C337" s="23"/>
      <c r="D337" s="72"/>
      <c r="P337" s="204"/>
    </row>
    <row r="338" spans="1:16" x14ac:dyDescent="0.3">
      <c r="A338" s="5"/>
      <c r="B338" s="370"/>
      <c r="C338" s="23"/>
      <c r="D338" s="72"/>
      <c r="P338" s="204"/>
    </row>
    <row r="339" spans="1:16" x14ac:dyDescent="0.3">
      <c r="A339" s="5"/>
      <c r="B339" s="370"/>
      <c r="C339" s="23"/>
      <c r="D339" s="72"/>
      <c r="P339" s="204"/>
    </row>
    <row r="340" spans="1:16" x14ac:dyDescent="0.3">
      <c r="A340" s="5"/>
      <c r="B340" s="370"/>
      <c r="C340" s="23"/>
      <c r="D340" s="72"/>
      <c r="P340" s="204"/>
    </row>
    <row r="341" spans="1:16" x14ac:dyDescent="0.3">
      <c r="A341" s="5"/>
      <c r="B341" s="370"/>
      <c r="C341" s="23"/>
      <c r="D341" s="72"/>
      <c r="P341" s="204"/>
    </row>
    <row r="342" spans="1:16" x14ac:dyDescent="0.3">
      <c r="A342" s="5"/>
      <c r="B342" s="370"/>
      <c r="C342" s="23"/>
      <c r="D342" s="72"/>
      <c r="P342" s="204"/>
    </row>
    <row r="343" spans="1:16" x14ac:dyDescent="0.3">
      <c r="A343" s="5"/>
      <c r="B343" s="370"/>
      <c r="C343" s="23"/>
      <c r="D343" s="72"/>
      <c r="P343" s="204"/>
    </row>
    <row r="344" spans="1:16" x14ac:dyDescent="0.3">
      <c r="A344" s="5"/>
      <c r="B344" s="370"/>
      <c r="C344" s="23"/>
      <c r="D344" s="72"/>
      <c r="P344" s="204"/>
    </row>
    <row r="345" spans="1:16" x14ac:dyDescent="0.3">
      <c r="A345" s="5"/>
      <c r="B345" s="370"/>
      <c r="C345" s="23"/>
      <c r="D345" s="72"/>
      <c r="P345" s="204"/>
    </row>
    <row r="346" spans="1:16" x14ac:dyDescent="0.3">
      <c r="A346" s="5"/>
      <c r="B346" s="370"/>
      <c r="C346" s="23"/>
      <c r="D346" s="72"/>
      <c r="P346" s="204"/>
    </row>
    <row r="347" spans="1:16" x14ac:dyDescent="0.3">
      <c r="A347" s="5"/>
      <c r="B347" s="370"/>
      <c r="C347" s="23"/>
      <c r="D347" s="72"/>
      <c r="P347" s="204"/>
    </row>
    <row r="348" spans="1:16" x14ac:dyDescent="0.3">
      <c r="A348" s="5"/>
      <c r="B348" s="370"/>
      <c r="C348" s="23"/>
      <c r="D348" s="72"/>
      <c r="P348" s="204"/>
    </row>
    <row r="349" spans="1:16" x14ac:dyDescent="0.3">
      <c r="A349" s="5"/>
      <c r="B349" s="370"/>
      <c r="C349" s="23"/>
      <c r="D349" s="72"/>
      <c r="P349" s="204"/>
    </row>
    <row r="350" spans="1:16" x14ac:dyDescent="0.3">
      <c r="A350" s="5"/>
      <c r="B350" s="370"/>
      <c r="C350" s="23"/>
      <c r="D350" s="72"/>
      <c r="P350" s="204"/>
    </row>
    <row r="351" spans="1:16" x14ac:dyDescent="0.3">
      <c r="A351" s="5"/>
      <c r="B351" s="370"/>
      <c r="C351" s="23"/>
      <c r="D351" s="72"/>
      <c r="P351" s="204"/>
    </row>
    <row r="352" spans="1:16" x14ac:dyDescent="0.3">
      <c r="A352" s="5"/>
      <c r="B352" s="370"/>
      <c r="C352" s="23"/>
      <c r="D352" s="72"/>
      <c r="P352" s="204"/>
    </row>
    <row r="353" spans="1:16" x14ac:dyDescent="0.3">
      <c r="A353" s="5"/>
      <c r="B353" s="370"/>
      <c r="C353" s="23"/>
      <c r="D353" s="72"/>
      <c r="P353" s="204"/>
    </row>
    <row r="354" spans="1:16" x14ac:dyDescent="0.3">
      <c r="A354" s="5"/>
      <c r="B354" s="370"/>
      <c r="C354" s="23"/>
      <c r="D354" s="72"/>
      <c r="P354" s="204"/>
    </row>
    <row r="355" spans="1:16" x14ac:dyDescent="0.3">
      <c r="A355" s="5"/>
      <c r="B355" s="370"/>
      <c r="C355" s="23"/>
      <c r="D355" s="72"/>
      <c r="P355" s="204"/>
    </row>
    <row r="356" spans="1:16" x14ac:dyDescent="0.3">
      <c r="A356" s="5"/>
      <c r="B356" s="370"/>
      <c r="C356" s="23"/>
      <c r="D356" s="72"/>
      <c r="P356" s="204"/>
    </row>
    <row r="357" spans="1:16" x14ac:dyDescent="0.3">
      <c r="A357" s="5"/>
      <c r="B357" s="370"/>
      <c r="C357" s="23"/>
      <c r="D357" s="72"/>
      <c r="P357" s="204"/>
    </row>
    <row r="358" spans="1:16" x14ac:dyDescent="0.3">
      <c r="A358" s="5"/>
      <c r="B358" s="370"/>
      <c r="C358" s="23"/>
      <c r="D358" s="72"/>
      <c r="P358" s="204"/>
    </row>
    <row r="359" spans="1:16" x14ac:dyDescent="0.3">
      <c r="A359" s="5"/>
      <c r="B359" s="370"/>
      <c r="C359" s="23"/>
      <c r="D359" s="72"/>
      <c r="P359" s="204"/>
    </row>
    <row r="360" spans="1:16" x14ac:dyDescent="0.3">
      <c r="A360" s="5"/>
      <c r="B360" s="370"/>
      <c r="C360" s="23"/>
      <c r="D360" s="72"/>
      <c r="P360" s="204"/>
    </row>
    <row r="361" spans="1:16" x14ac:dyDescent="0.3">
      <c r="A361" s="5"/>
      <c r="B361" s="370"/>
      <c r="C361" s="23"/>
      <c r="D361" s="72"/>
      <c r="P361" s="204"/>
    </row>
    <row r="362" spans="1:16" x14ac:dyDescent="0.3">
      <c r="A362" s="5"/>
      <c r="B362" s="370"/>
      <c r="C362" s="23"/>
      <c r="D362" s="72"/>
      <c r="P362" s="204"/>
    </row>
    <row r="363" spans="1:16" x14ac:dyDescent="0.3">
      <c r="A363" s="5"/>
      <c r="B363" s="370"/>
      <c r="C363" s="23"/>
      <c r="D363" s="72"/>
      <c r="P363" s="204"/>
    </row>
    <row r="364" spans="1:16" x14ac:dyDescent="0.3">
      <c r="A364" s="5"/>
      <c r="B364" s="370"/>
      <c r="C364" s="23"/>
      <c r="D364" s="72"/>
      <c r="P364" s="204"/>
    </row>
    <row r="365" spans="1:16" x14ac:dyDescent="0.3">
      <c r="A365" s="5"/>
      <c r="B365" s="370"/>
      <c r="C365" s="23"/>
      <c r="D365" s="72"/>
      <c r="P365" s="204"/>
    </row>
    <row r="366" spans="1:16" x14ac:dyDescent="0.3">
      <c r="A366" s="5"/>
      <c r="B366" s="370"/>
      <c r="C366" s="23"/>
      <c r="D366" s="72"/>
      <c r="P366" s="204"/>
    </row>
    <row r="367" spans="1:16" x14ac:dyDescent="0.3">
      <c r="A367" s="5"/>
      <c r="B367" s="370"/>
      <c r="C367" s="23"/>
      <c r="D367" s="72"/>
      <c r="P367" s="204"/>
    </row>
    <row r="368" spans="1:16" x14ac:dyDescent="0.3">
      <c r="A368" s="5"/>
      <c r="B368" s="370"/>
      <c r="C368" s="23"/>
      <c r="D368" s="72"/>
      <c r="P368" s="204"/>
    </row>
    <row r="369" spans="1:16" x14ac:dyDescent="0.3">
      <c r="A369" s="5"/>
      <c r="B369" s="370"/>
      <c r="C369" s="23"/>
      <c r="D369" s="72"/>
      <c r="P369" s="204"/>
    </row>
    <row r="370" spans="1:16" x14ac:dyDescent="0.3">
      <c r="A370" s="5"/>
      <c r="B370" s="370"/>
      <c r="C370" s="23"/>
      <c r="D370" s="72"/>
      <c r="P370" s="204"/>
    </row>
    <row r="371" spans="1:16" x14ac:dyDescent="0.3">
      <c r="A371" s="5"/>
      <c r="B371" s="370"/>
      <c r="C371" s="23"/>
      <c r="D371" s="72"/>
      <c r="P371" s="204"/>
    </row>
    <row r="372" spans="1:16" x14ac:dyDescent="0.3">
      <c r="A372" s="5"/>
      <c r="B372" s="370"/>
      <c r="C372" s="23"/>
      <c r="D372" s="72"/>
      <c r="P372" s="204"/>
    </row>
    <row r="373" spans="1:16" x14ac:dyDescent="0.3">
      <c r="A373" s="5"/>
      <c r="B373" s="370"/>
      <c r="C373" s="23"/>
      <c r="D373" s="72"/>
      <c r="P373" s="204"/>
    </row>
    <row r="374" spans="1:16" x14ac:dyDescent="0.3">
      <c r="A374" s="5"/>
      <c r="B374" s="370"/>
      <c r="C374" s="23"/>
      <c r="D374" s="72"/>
      <c r="P374" s="204"/>
    </row>
    <row r="375" spans="1:16" x14ac:dyDescent="0.3">
      <c r="A375" s="5"/>
      <c r="B375" s="370"/>
      <c r="C375" s="23"/>
      <c r="D375" s="72"/>
      <c r="P375" s="204"/>
    </row>
    <row r="376" spans="1:16" x14ac:dyDescent="0.3">
      <c r="A376" s="5"/>
      <c r="B376" s="370"/>
      <c r="C376" s="23"/>
      <c r="D376" s="72"/>
      <c r="P376" s="204"/>
    </row>
    <row r="377" spans="1:16" x14ac:dyDescent="0.3">
      <c r="A377" s="5"/>
      <c r="B377" s="370"/>
      <c r="C377" s="23"/>
      <c r="D377" s="72"/>
      <c r="P377" s="204"/>
    </row>
    <row r="378" spans="1:16" x14ac:dyDescent="0.3">
      <c r="A378" s="5"/>
      <c r="B378" s="370"/>
      <c r="C378" s="23"/>
      <c r="D378" s="72"/>
      <c r="P378" s="204"/>
    </row>
    <row r="379" spans="1:16" x14ac:dyDescent="0.3">
      <c r="A379" s="5"/>
      <c r="B379" s="370"/>
      <c r="C379" s="23"/>
      <c r="D379" s="72"/>
    </row>
    <row r="380" spans="1:16" x14ac:dyDescent="0.3">
      <c r="A380" s="5"/>
      <c r="B380" s="370"/>
      <c r="C380" s="23"/>
      <c r="D380" s="72"/>
      <c r="P380" s="204"/>
    </row>
    <row r="381" spans="1:16" x14ac:dyDescent="0.3">
      <c r="A381" s="5"/>
      <c r="B381" s="370"/>
      <c r="C381" s="23"/>
      <c r="D381" s="72"/>
    </row>
    <row r="382" spans="1:16" x14ac:dyDescent="0.3">
      <c r="A382" s="5"/>
      <c r="B382" s="370"/>
      <c r="C382" s="23"/>
      <c r="D382" s="72"/>
    </row>
    <row r="383" spans="1:16" x14ac:dyDescent="0.3">
      <c r="A383" s="5"/>
      <c r="B383" s="370"/>
      <c r="C383" s="23"/>
      <c r="D383" s="72"/>
    </row>
    <row r="384" spans="1:16" x14ac:dyDescent="0.3">
      <c r="A384" s="5"/>
      <c r="B384" s="370"/>
      <c r="C384" s="23"/>
      <c r="D384" s="72"/>
    </row>
    <row r="385" spans="1:4" x14ac:dyDescent="0.3">
      <c r="A385" s="5"/>
      <c r="B385" s="370"/>
      <c r="C385" s="23"/>
      <c r="D385" s="72"/>
    </row>
    <row r="386" spans="1:4" x14ac:dyDescent="0.3">
      <c r="A386" s="5"/>
      <c r="B386" s="370"/>
      <c r="C386" s="23"/>
      <c r="D386" s="72"/>
    </row>
    <row r="387" spans="1:4" x14ac:dyDescent="0.3">
      <c r="A387" s="5"/>
      <c r="B387" s="370"/>
      <c r="C387" s="23"/>
      <c r="D387" s="72"/>
    </row>
    <row r="388" spans="1:4" x14ac:dyDescent="0.3">
      <c r="A388" s="5"/>
      <c r="B388" s="370"/>
      <c r="C388" s="23"/>
      <c r="D388" s="72"/>
    </row>
    <row r="389" spans="1:4" x14ac:dyDescent="0.3">
      <c r="A389" s="5"/>
      <c r="B389" s="370"/>
      <c r="C389" s="23"/>
      <c r="D389" s="72"/>
    </row>
    <row r="390" spans="1:4" x14ac:dyDescent="0.3">
      <c r="A390" s="5"/>
      <c r="B390" s="370"/>
      <c r="C390" s="23"/>
      <c r="D390" s="72"/>
    </row>
    <row r="391" spans="1:4" x14ac:dyDescent="0.3">
      <c r="A391" s="5"/>
      <c r="B391" s="370"/>
      <c r="C391" s="23"/>
      <c r="D391" s="72"/>
    </row>
    <row r="392" spans="1:4" x14ac:dyDescent="0.3">
      <c r="A392" s="5"/>
      <c r="B392" s="370"/>
      <c r="C392" s="23"/>
      <c r="D392" s="72"/>
    </row>
    <row r="393" spans="1:4" x14ac:dyDescent="0.3">
      <c r="A393" s="5"/>
      <c r="B393" s="370"/>
      <c r="C393" s="23"/>
      <c r="D393" s="72"/>
    </row>
    <row r="394" spans="1:4" x14ac:dyDescent="0.3">
      <c r="A394" s="5"/>
      <c r="B394" s="370"/>
      <c r="C394" s="23"/>
      <c r="D394" s="72"/>
    </row>
    <row r="395" spans="1:4" x14ac:dyDescent="0.3">
      <c r="A395" s="5"/>
      <c r="B395" s="370"/>
      <c r="C395" s="23"/>
      <c r="D395" s="72"/>
    </row>
    <row r="396" spans="1:4" x14ac:dyDescent="0.3">
      <c r="A396" s="5"/>
      <c r="B396" s="370"/>
      <c r="C396" s="23"/>
      <c r="D396" s="72"/>
    </row>
    <row r="397" spans="1:4" x14ac:dyDescent="0.3">
      <c r="A397" s="5"/>
      <c r="B397" s="370"/>
      <c r="C397" s="23"/>
      <c r="D397" s="72"/>
    </row>
    <row r="398" spans="1:4" x14ac:dyDescent="0.3">
      <c r="A398" s="5"/>
      <c r="B398" s="370"/>
      <c r="C398" s="23"/>
      <c r="D398" s="72"/>
    </row>
    <row r="399" spans="1:4" x14ac:dyDescent="0.3">
      <c r="A399" s="5"/>
      <c r="B399" s="370"/>
      <c r="C399" s="23"/>
      <c r="D399" s="72"/>
    </row>
    <row r="400" spans="1:4" x14ac:dyDescent="0.3">
      <c r="A400" s="5"/>
      <c r="B400" s="370"/>
      <c r="C400" s="23"/>
      <c r="D400" s="72"/>
    </row>
    <row r="401" spans="1:4" x14ac:dyDescent="0.3">
      <c r="A401" s="5"/>
      <c r="B401" s="370"/>
      <c r="C401" s="23"/>
      <c r="D401" s="72"/>
    </row>
    <row r="402" spans="1:4" x14ac:dyDescent="0.3">
      <c r="A402" s="5"/>
      <c r="B402" s="370"/>
      <c r="C402" s="23"/>
      <c r="D402" s="72"/>
    </row>
    <row r="403" spans="1:4" x14ac:dyDescent="0.3">
      <c r="A403" s="5"/>
      <c r="B403" s="370"/>
      <c r="C403" s="23"/>
      <c r="D403" s="72"/>
    </row>
    <row r="404" spans="1:4" x14ac:dyDescent="0.3">
      <c r="A404" s="5"/>
      <c r="B404" s="370"/>
      <c r="C404" s="23"/>
      <c r="D404" s="72"/>
    </row>
    <row r="405" spans="1:4" x14ac:dyDescent="0.3">
      <c r="A405" s="5"/>
      <c r="B405" s="370"/>
      <c r="C405" s="23"/>
      <c r="D405" s="72"/>
    </row>
    <row r="406" spans="1:4" x14ac:dyDescent="0.3">
      <c r="A406" s="5"/>
      <c r="B406" s="370"/>
      <c r="C406" s="23"/>
      <c r="D406" s="72"/>
    </row>
    <row r="407" spans="1:4" x14ac:dyDescent="0.3">
      <c r="A407" s="5"/>
      <c r="B407" s="370"/>
      <c r="C407" s="23"/>
      <c r="D407" s="72"/>
    </row>
    <row r="408" spans="1:4" x14ac:dyDescent="0.3">
      <c r="A408" s="5"/>
      <c r="B408" s="370"/>
      <c r="C408" s="23"/>
      <c r="D408" s="72"/>
    </row>
    <row r="409" spans="1:4" x14ac:dyDescent="0.3">
      <c r="A409" s="5"/>
      <c r="B409" s="370"/>
      <c r="C409" s="23"/>
      <c r="D409" s="72"/>
    </row>
    <row r="410" spans="1:4" x14ac:dyDescent="0.3">
      <c r="A410" s="5"/>
      <c r="B410" s="370"/>
      <c r="C410" s="23"/>
      <c r="D410" s="72"/>
    </row>
    <row r="411" spans="1:4" x14ac:dyDescent="0.3">
      <c r="A411" s="5"/>
      <c r="B411" s="370"/>
      <c r="C411" s="23"/>
      <c r="D411" s="72"/>
    </row>
    <row r="412" spans="1:4" x14ac:dyDescent="0.3">
      <c r="A412" s="5"/>
      <c r="B412" s="370"/>
      <c r="C412" s="2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row r="713" spans="4:4" x14ac:dyDescent="0.3">
      <c r="D713" s="72"/>
    </row>
    <row r="714" spans="4:4" x14ac:dyDescent="0.3">
      <c r="D714" s="72"/>
    </row>
  </sheetData>
  <sheetProtection formatCells="0" formatColumns="0" formatRows="0"/>
  <conditionalFormatting sqref="G33 G68:G69">
    <cfRule type="cellIs" dxfId="79" priority="93" stopIfTrue="1" operator="notEqual">
      <formula>0</formula>
    </cfRule>
  </conditionalFormatting>
  <conditionalFormatting sqref="G34">
    <cfRule type="cellIs" dxfId="78" priority="92" stopIfTrue="1" operator="notEqual">
      <formula>0</formula>
    </cfRule>
  </conditionalFormatting>
  <conditionalFormatting sqref="G51">
    <cfRule type="cellIs" dxfId="77" priority="91" stopIfTrue="1" operator="notEqual">
      <formula>0</formula>
    </cfRule>
  </conditionalFormatting>
  <conditionalFormatting sqref="G67">
    <cfRule type="cellIs" dxfId="76" priority="90" stopIfTrue="1" operator="notEqual">
      <formula>0</formula>
    </cfRule>
  </conditionalFormatting>
  <conditionalFormatting sqref="G89">
    <cfRule type="cellIs" dxfId="75" priority="88" stopIfTrue="1" operator="notEqual">
      <formula>0</formula>
    </cfRule>
  </conditionalFormatting>
  <conditionalFormatting sqref="G107">
    <cfRule type="cellIs" dxfId="74" priority="87" stopIfTrue="1" operator="notEqual">
      <formula>0</formula>
    </cfRule>
  </conditionalFormatting>
  <conditionalFormatting sqref="G120">
    <cfRule type="cellIs" dxfId="73" priority="86" stopIfTrue="1" operator="notEqual">
      <formula>0</formula>
    </cfRule>
  </conditionalFormatting>
  <conditionalFormatting sqref="G121">
    <cfRule type="cellIs" dxfId="72" priority="85" stopIfTrue="1" operator="notEqual">
      <formula>0</formula>
    </cfRule>
  </conditionalFormatting>
  <conditionalFormatting sqref="G136">
    <cfRule type="cellIs" dxfId="71" priority="84" stopIfTrue="1" operator="notEqual">
      <formula>0</formula>
    </cfRule>
  </conditionalFormatting>
  <conditionalFormatting sqref="G137">
    <cfRule type="cellIs" dxfId="70" priority="83" stopIfTrue="1" operator="notEqual">
      <formula>0</formula>
    </cfRule>
  </conditionalFormatting>
  <conditionalFormatting sqref="H203:H205">
    <cfRule type="cellIs" priority="79" stopIfTrue="1" operator="equal">
      <formula>";;;"</formula>
    </cfRule>
  </conditionalFormatting>
  <conditionalFormatting sqref="H203">
    <cfRule type="cellIs" dxfId="69" priority="78" stopIfTrue="1" operator="equal">
      <formula>0</formula>
    </cfRule>
  </conditionalFormatting>
  <conditionalFormatting sqref="H204">
    <cfRule type="cellIs" dxfId="68" priority="77" stopIfTrue="1" operator="equal">
      <formula>0</formula>
    </cfRule>
  </conditionalFormatting>
  <conditionalFormatting sqref="H205">
    <cfRule type="cellIs" dxfId="67" priority="76" stopIfTrue="1" operator="equal">
      <formula>0</formula>
    </cfRule>
  </conditionalFormatting>
  <conditionalFormatting sqref="H205">
    <cfRule type="cellIs" dxfId="66" priority="75" stopIfTrue="1" operator="equal">
      <formula>0</formula>
    </cfRule>
  </conditionalFormatting>
  <conditionalFormatting sqref="H203">
    <cfRule type="cellIs" dxfId="65" priority="74" stopIfTrue="1" operator="equal">
      <formula>0</formula>
    </cfRule>
  </conditionalFormatting>
  <conditionalFormatting sqref="G21">
    <cfRule type="cellIs" dxfId="64" priority="73" stopIfTrue="1" operator="notEqual">
      <formula>0</formula>
    </cfRule>
  </conditionalFormatting>
  <conditionalFormatting sqref="G7">
    <cfRule type="containsText" dxfId="63" priority="71" stopIfTrue="1" operator="containsText" text="Included in error count">
      <formula>NOT(ISERROR(SEARCH("Included in error count",G7)))</formula>
    </cfRule>
    <cfRule type="cellIs" dxfId="62" priority="72" stopIfTrue="1" operator="equal">
      <formula>1</formula>
    </cfRule>
  </conditionalFormatting>
  <conditionalFormatting sqref="G41">
    <cfRule type="containsText" dxfId="61" priority="69" stopIfTrue="1" operator="containsText" text="Included in error count">
      <formula>NOT(ISERROR(SEARCH("Included in error count",G41)))</formula>
    </cfRule>
    <cfRule type="cellIs" dxfId="60" priority="70" stopIfTrue="1" operator="equal">
      <formula>1</formula>
    </cfRule>
  </conditionalFormatting>
  <conditionalFormatting sqref="G76:G77">
    <cfRule type="containsText" dxfId="59" priority="67" stopIfTrue="1" operator="containsText" text="Included in error count">
      <formula>NOT(ISERROR(SEARCH("Included in error count",G76)))</formula>
    </cfRule>
    <cfRule type="cellIs" dxfId="58" priority="68" stopIfTrue="1" operator="equal">
      <formula>1</formula>
    </cfRule>
  </conditionalFormatting>
  <conditionalFormatting sqref="G78">
    <cfRule type="containsText" dxfId="57" priority="65" stopIfTrue="1" operator="containsText" text="Included in error count">
      <formula>NOT(ISERROR(SEARCH("Included in error count",G78)))</formula>
    </cfRule>
    <cfRule type="cellIs" dxfId="56" priority="66" stopIfTrue="1" operator="equal">
      <formula>1</formula>
    </cfRule>
  </conditionalFormatting>
  <conditionalFormatting sqref="G87">
    <cfRule type="containsText" dxfId="55" priority="61" stopIfTrue="1" operator="containsText" text="Included in error count">
      <formula>NOT(ISERROR(SEARCH("Included in error count",G87)))</formula>
    </cfRule>
    <cfRule type="cellIs" dxfId="54" priority="62" stopIfTrue="1" operator="equal">
      <formula>1</formula>
    </cfRule>
  </conditionalFormatting>
  <conditionalFormatting sqref="G109">
    <cfRule type="containsText" dxfId="53" priority="57" stopIfTrue="1" operator="containsText" text="Included in error count">
      <formula>NOT(ISERROR(SEARCH("Included in error count",G109)))</formula>
    </cfRule>
    <cfRule type="cellIs" dxfId="52" priority="58" stopIfTrue="1" operator="equal">
      <formula>1</formula>
    </cfRule>
  </conditionalFormatting>
  <conditionalFormatting sqref="G203">
    <cfRule type="containsText" dxfId="51" priority="46" stopIfTrue="1" operator="containsText" text="Included in error count">
      <formula>NOT(ISERROR(SEARCH("Included in error count",G203)))</formula>
    </cfRule>
    <cfRule type="cellIs" dxfId="50" priority="47" stopIfTrue="1" operator="equal">
      <formula>1</formula>
    </cfRule>
  </conditionalFormatting>
  <conditionalFormatting sqref="G204">
    <cfRule type="containsText" dxfId="49" priority="44" stopIfTrue="1" operator="containsText" text="Included in error count">
      <formula>NOT(ISERROR(SEARCH("Included in error count",G204)))</formula>
    </cfRule>
    <cfRule type="cellIs" dxfId="48" priority="45" stopIfTrue="1" operator="equal">
      <formula>1</formula>
    </cfRule>
  </conditionalFormatting>
  <conditionalFormatting sqref="G205">
    <cfRule type="containsText" dxfId="47" priority="42" stopIfTrue="1" operator="containsText" text="Included in error count">
      <formula>NOT(ISERROR(SEARCH("Included in error count",G205)))</formula>
    </cfRule>
    <cfRule type="cellIs" dxfId="46" priority="43" stopIfTrue="1" operator="equal">
      <formula>1</formula>
    </cfRule>
  </conditionalFormatting>
  <conditionalFormatting sqref="G125">
    <cfRule type="containsText" dxfId="45" priority="40" stopIfTrue="1" operator="containsText" text="Included in error count">
      <formula>NOT(ISERROR(SEARCH("Included in error count",G125)))</formula>
    </cfRule>
    <cfRule type="cellIs" dxfId="44"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7"/>
  <sheetViews>
    <sheetView showGridLines="0" zoomScale="80" zoomScaleNormal="80" workbookViewId="0">
      <selection activeCell="F4" sqref="F4:G5"/>
    </sheetView>
  </sheetViews>
  <sheetFormatPr defaultColWidth="9.109375" defaultRowHeight="14.4" x14ac:dyDescent="0.3"/>
  <cols>
    <col min="1" max="1" width="6.33203125" style="831" customWidth="1"/>
    <col min="2" max="2" width="44.5546875" style="831" customWidth="1"/>
    <col min="3" max="3" width="14.44140625" style="831" customWidth="1"/>
    <col min="4" max="4" width="15.88671875" style="831" customWidth="1"/>
    <col min="5" max="5" width="16.21875" style="831" customWidth="1"/>
    <col min="6" max="6" width="18.44140625" style="831" customWidth="1"/>
    <col min="7" max="7" width="16.21875" style="831" customWidth="1"/>
    <col min="8" max="8" width="71.44140625" style="831" customWidth="1"/>
    <col min="9" max="9" width="56.77734375" style="936" customWidth="1"/>
    <col min="10" max="10" width="46.109375" style="936" customWidth="1"/>
    <col min="11" max="11" width="9.109375" style="935" customWidth="1"/>
    <col min="12" max="12" width="23.6640625" style="828" hidden="1" customWidth="1"/>
    <col min="13" max="13" width="21.109375" style="828" hidden="1" customWidth="1"/>
    <col min="14" max="14" width="24" style="828" hidden="1" customWidth="1"/>
    <col min="15" max="15" width="21" style="828" hidden="1" customWidth="1"/>
    <col min="16" max="16" width="25" style="829" hidden="1" customWidth="1"/>
    <col min="17" max="17" width="25.6640625" style="830" hidden="1" customWidth="1"/>
    <col min="18" max="18" width="33.77734375" style="830" customWidth="1"/>
    <col min="19" max="19" width="9.109375" style="830" customWidth="1"/>
    <col min="20" max="59" width="9.109375" style="830"/>
    <col min="60" max="16384" width="9.109375" style="831"/>
  </cols>
  <sheetData>
    <row r="1" spans="1:78" ht="40.5" customHeight="1" thickBot="1" x14ac:dyDescent="0.35">
      <c r="A1" s="826"/>
      <c r="B1" s="1117" t="s">
        <v>1138</v>
      </c>
      <c r="C1" s="1117"/>
      <c r="D1" s="1117"/>
      <c r="E1" s="1117"/>
      <c r="F1" s="1117"/>
      <c r="G1" s="1117"/>
      <c r="H1" s="1118"/>
      <c r="I1" s="1115"/>
      <c r="J1" s="1116"/>
      <c r="K1" s="827"/>
    </row>
    <row r="2" spans="1:78" ht="72" customHeight="1" thickBot="1" x14ac:dyDescent="0.35">
      <c r="A2" s="832"/>
      <c r="B2" s="1119" t="s">
        <v>1139</v>
      </c>
      <c r="C2" s="1120"/>
      <c r="D2" s="1120"/>
      <c r="E2" s="1120"/>
      <c r="F2" s="1120"/>
      <c r="G2" s="1120"/>
      <c r="H2" s="1121"/>
      <c r="I2" s="1134" t="s">
        <v>1140</v>
      </c>
      <c r="J2" s="1137" t="s">
        <v>1547</v>
      </c>
      <c r="K2" s="833"/>
    </row>
    <row r="3" spans="1:78" ht="15" customHeight="1" thickBot="1" x14ac:dyDescent="0.35">
      <c r="A3" s="834"/>
      <c r="B3" s="835"/>
      <c r="C3" s="836"/>
      <c r="D3" s="836"/>
      <c r="E3" s="836"/>
      <c r="F3" s="836"/>
      <c r="G3" s="837"/>
      <c r="H3" s="838"/>
      <c r="I3" s="1135"/>
      <c r="J3" s="1138"/>
      <c r="K3" s="833"/>
    </row>
    <row r="4" spans="1:78" ht="21.75" customHeight="1" thickBot="1" x14ac:dyDescent="0.35">
      <c r="A4" s="839"/>
      <c r="B4" s="840" t="s">
        <v>609</v>
      </c>
      <c r="C4" s="1122" t="str">
        <f>'Unit Data from Audit Worksheet'!D2</f>
        <v>Select Unit Name from Drop Down List</v>
      </c>
      <c r="D4" s="1123"/>
      <c r="E4" s="1124"/>
      <c r="F4" s="1125" t="s">
        <v>1939</v>
      </c>
      <c r="G4" s="1126"/>
      <c r="H4" s="1129" t="s">
        <v>1544</v>
      </c>
      <c r="I4" s="1135"/>
      <c r="J4" s="1138"/>
      <c r="K4" s="841"/>
      <c r="L4" s="842"/>
    </row>
    <row r="5" spans="1:78" ht="21.6" thickBot="1" x14ac:dyDescent="0.35">
      <c r="A5" s="843"/>
      <c r="B5" s="844" t="s">
        <v>588</v>
      </c>
      <c r="C5" s="1131" t="e">
        <f>'Unit Data from Audit Worksheet'!D3</f>
        <v>#N/A</v>
      </c>
      <c r="D5" s="1132"/>
      <c r="E5" s="1133"/>
      <c r="F5" s="1127"/>
      <c r="G5" s="1128"/>
      <c r="H5" s="1130"/>
      <c r="I5" s="1135"/>
      <c r="J5" s="1138"/>
      <c r="K5" s="845"/>
      <c r="L5" s="846" t="s">
        <v>598</v>
      </c>
    </row>
    <row r="6" spans="1:78" ht="18.75" customHeight="1" x14ac:dyDescent="0.3">
      <c r="A6" s="834"/>
      <c r="B6" s="1140" t="s">
        <v>1497</v>
      </c>
      <c r="C6" s="1140"/>
      <c r="D6" s="1140"/>
      <c r="E6" s="1140"/>
      <c r="F6" s="1140"/>
      <c r="G6" s="1140"/>
      <c r="H6" s="1141"/>
      <c r="I6" s="1135"/>
      <c r="J6" s="1138"/>
      <c r="K6" s="845"/>
      <c r="L6" s="846"/>
    </row>
    <row r="7" spans="1:78" ht="116.25" customHeight="1" thickBot="1" x14ac:dyDescent="0.35">
      <c r="A7" s="847"/>
      <c r="B7" s="1142"/>
      <c r="C7" s="1142"/>
      <c r="D7" s="1142"/>
      <c r="E7" s="1142"/>
      <c r="F7" s="1142"/>
      <c r="G7" s="1142"/>
      <c r="H7" s="1143"/>
      <c r="I7" s="1136"/>
      <c r="J7" s="1139"/>
      <c r="K7" s="845"/>
      <c r="L7" s="846"/>
    </row>
    <row r="8" spans="1:78" ht="185.1" customHeight="1" thickBot="1" x14ac:dyDescent="0.35">
      <c r="A8" s="848"/>
      <c r="B8" s="1108"/>
      <c r="C8" s="1108"/>
      <c r="D8" s="1108"/>
      <c r="E8" s="1108"/>
      <c r="F8" s="1108"/>
      <c r="G8" s="1109"/>
      <c r="H8" s="1146" t="s">
        <v>1143</v>
      </c>
      <c r="I8" s="849"/>
      <c r="J8" s="1144"/>
      <c r="K8" s="845"/>
      <c r="L8" s="850" t="b">
        <f>IF($L$9&gt;10000000,"25%",IF($L$9&gt;999999,"34%",IF($L$9&gt;99999,"71%",IF($L$9&gt;1,"100%"))))</f>
        <v>0</v>
      </c>
      <c r="N8" s="851"/>
    </row>
    <row r="9" spans="1:78" ht="132" customHeight="1" thickBot="1" x14ac:dyDescent="0.35">
      <c r="A9" s="848"/>
      <c r="B9" s="1110"/>
      <c r="C9" s="1110"/>
      <c r="D9" s="1110"/>
      <c r="E9" s="1110"/>
      <c r="F9" s="1110"/>
      <c r="G9" s="1111"/>
      <c r="H9" s="1147"/>
      <c r="I9" s="849"/>
      <c r="J9" s="1145"/>
      <c r="K9" s="845"/>
      <c r="L9" s="850">
        <f>Import!L59+Import!L65+Import!L62-Import!L63-Import!L64-Import!L60</f>
        <v>0</v>
      </c>
      <c r="N9" s="851"/>
    </row>
    <row r="10" spans="1:78" ht="91.8" customHeight="1" thickBot="1" x14ac:dyDescent="0.35">
      <c r="A10" s="852"/>
      <c r="B10" s="1094" t="s">
        <v>1987</v>
      </c>
      <c r="C10" s="1112"/>
      <c r="D10" s="1112"/>
      <c r="E10" s="1112"/>
      <c r="F10" s="853" t="s">
        <v>665</v>
      </c>
      <c r="G10" s="853" t="s">
        <v>866</v>
      </c>
      <c r="H10" s="854"/>
      <c r="I10" s="855"/>
      <c r="J10" s="1034"/>
      <c r="K10" s="856"/>
      <c r="L10" s="828">
        <v>2021</v>
      </c>
      <c r="M10" s="842">
        <v>2022</v>
      </c>
      <c r="N10" s="828">
        <v>2023</v>
      </c>
      <c r="O10" s="857"/>
      <c r="P10" s="858"/>
    </row>
    <row r="11" spans="1:78" ht="261.60000000000002" customHeight="1" thickBot="1" x14ac:dyDescent="0.35">
      <c r="A11" s="848" t="s">
        <v>1141</v>
      </c>
      <c r="B11" s="1148"/>
      <c r="C11" s="1149"/>
      <c r="D11" s="1149"/>
      <c r="E11" s="1150"/>
      <c r="F11" s="821" t="b">
        <f>IF($L$9&gt;10000000,"25% -- Average of similar units is 46%",IF($L$9&gt;999999,"34% -- Average of similar units is 63%",IF($L$9&gt;99999,"71% -- Average of similar units is 132%",IF($L$9&gt;1,"100 %-- Average of similar units is 260%"))))</f>
        <v>0</v>
      </c>
      <c r="G11" s="971" t="str">
        <f>N11</f>
        <v/>
      </c>
      <c r="H11" s="951" t="s">
        <v>1738</v>
      </c>
      <c r="I11" s="860" t="s">
        <v>1606</v>
      </c>
      <c r="J11" s="823"/>
      <c r="K11" s="845"/>
      <c r="L11" s="977" t="e">
        <f>IFERROR(HLOOKUP(C5,'PY2 Data(H)'!$D$2:$CZ$310,308,FALSE),#N/A)</f>
        <v>#N/A</v>
      </c>
      <c r="M11" s="862" t="e">
        <f>IFERROR(HLOOKUP(C5,'PY1 Data(H)'!$D$2:$CZ$277,275,FALSE),#N/A)</f>
        <v>#N/A</v>
      </c>
      <c r="N11" s="863" t="str">
        <f>IFERROR((Import!L38+Import!L39-Import!L43-Import!L44-Import!L196-Import!L48+Import!L69)/(Import!L59+Import!L65+Import!L62-Import!L63-Import!L64-Import!L60),"")</f>
        <v/>
      </c>
      <c r="O11" s="864" t="e">
        <f>IF(N11&lt;VALUE(L8),1,0)</f>
        <v>#VALUE!</v>
      </c>
      <c r="P11" s="858"/>
    </row>
    <row r="12" spans="1:78" ht="27.75" customHeight="1" thickBot="1" x14ac:dyDescent="0.35">
      <c r="A12" s="848"/>
      <c r="B12" s="1113" t="s">
        <v>865</v>
      </c>
      <c r="C12" s="1114"/>
      <c r="D12" s="1114"/>
      <c r="E12" s="1114"/>
      <c r="F12" s="853" t="s">
        <v>665</v>
      </c>
      <c r="G12" s="853" t="s">
        <v>866</v>
      </c>
      <c r="H12" s="865"/>
      <c r="I12" s="860"/>
      <c r="J12" s="1035"/>
      <c r="K12" s="845"/>
      <c r="L12" s="861"/>
      <c r="M12" s="863"/>
      <c r="N12" s="863"/>
      <c r="P12" s="858"/>
    </row>
    <row r="13" spans="1:78" ht="95.25" customHeight="1" thickBot="1" x14ac:dyDescent="0.35">
      <c r="A13" s="848" t="s">
        <v>1142</v>
      </c>
      <c r="B13" s="1095" t="s">
        <v>1952</v>
      </c>
      <c r="C13" s="1096"/>
      <c r="D13" s="1096"/>
      <c r="E13" s="1097"/>
      <c r="F13" s="821" t="s">
        <v>1539</v>
      </c>
      <c r="G13" s="989" t="b">
        <f>IF(AND(L13="Operations",M13&lt;0),"Operations",IF(AND(L13="Capital",M13&lt;0),"Capital",IF(L13="N/A","N/A")))</f>
        <v>0</v>
      </c>
      <c r="H13" s="865" t="s">
        <v>1545</v>
      </c>
      <c r="I13" s="866" t="s">
        <v>1986</v>
      </c>
      <c r="J13" s="823"/>
      <c r="K13" s="845"/>
      <c r="L13" s="949">
        <f>'Unit Data from Audit Worksheet'!F77</f>
        <v>0</v>
      </c>
      <c r="M13" s="950">
        <f>'Unit Data from Audit Worksheet'!F76</f>
        <v>0</v>
      </c>
      <c r="N13" s="863"/>
      <c r="O13" s="857"/>
      <c r="P13" s="858"/>
    </row>
    <row r="14" spans="1:78" ht="161.4" customHeight="1" thickBot="1" x14ac:dyDescent="0.35">
      <c r="A14" s="848" t="s">
        <v>1144</v>
      </c>
      <c r="B14" s="1095" t="s">
        <v>1540</v>
      </c>
      <c r="C14" s="1096"/>
      <c r="D14" s="1096"/>
      <c r="E14" s="1097"/>
      <c r="F14" s="821" t="s">
        <v>1537</v>
      </c>
      <c r="G14" s="867">
        <f>Import!L51</f>
        <v>0</v>
      </c>
      <c r="H14" s="865" t="s">
        <v>1538</v>
      </c>
      <c r="I14" s="866" t="s">
        <v>1553</v>
      </c>
      <c r="J14" s="823"/>
      <c r="K14" s="845"/>
      <c r="L14" s="863"/>
      <c r="M14" s="863"/>
      <c r="N14" s="863"/>
      <c r="O14" s="857"/>
      <c r="P14" s="858"/>
    </row>
    <row r="15" spans="1:78" ht="81" customHeight="1" thickBot="1" x14ac:dyDescent="0.35">
      <c r="A15" s="868"/>
      <c r="B15" s="1093" t="s">
        <v>1988</v>
      </c>
      <c r="C15" s="1093"/>
      <c r="D15" s="1093"/>
      <c r="E15" s="1094"/>
      <c r="F15" s="853" t="s">
        <v>665</v>
      </c>
      <c r="G15" s="853" t="s">
        <v>866</v>
      </c>
      <c r="H15" s="869" t="s">
        <v>1146</v>
      </c>
      <c r="I15" s="870"/>
      <c r="J15" s="1036"/>
      <c r="K15" s="845"/>
      <c r="L15" s="871" t="e">
        <f>HLOOKUP($C$5,'PY2 Data(H)'!$D$2:$CZ$310,286,FALSE)</f>
        <v>#N/A</v>
      </c>
      <c r="M15" s="872" t="e">
        <f>HLOOKUP($C$5,'PY1 Data(H)'!$D$2:$CZ$277,236,FALSE)</f>
        <v>#N/A</v>
      </c>
      <c r="N15" s="873" t="e">
        <f>Import!L240</f>
        <v>#N/A</v>
      </c>
      <c r="O15" s="874"/>
      <c r="P15" s="979"/>
      <c r="Q15" s="980"/>
      <c r="R15" s="875"/>
      <c r="S15" s="875"/>
      <c r="T15" s="875"/>
      <c r="U15" s="875"/>
      <c r="V15" s="875"/>
      <c r="W15" s="875"/>
      <c r="X15" s="875"/>
      <c r="Y15" s="875"/>
      <c r="Z15" s="875"/>
      <c r="AA15" s="875"/>
      <c r="AB15" s="875"/>
      <c r="AC15" s="875"/>
      <c r="AD15" s="875"/>
      <c r="AE15" s="875"/>
      <c r="AF15" s="875"/>
      <c r="AG15" s="875"/>
      <c r="AH15" s="875"/>
      <c r="AI15" s="875"/>
      <c r="AJ15" s="875"/>
      <c r="AK15" s="875"/>
      <c r="AL15" s="875"/>
      <c r="AM15" s="875"/>
      <c r="AN15" s="875"/>
      <c r="AO15" s="875"/>
      <c r="AP15" s="875"/>
      <c r="AQ15" s="875"/>
      <c r="AR15" s="875"/>
      <c r="AS15" s="875"/>
      <c r="AT15" s="875"/>
      <c r="AU15" s="875"/>
      <c r="AV15" s="875"/>
      <c r="AW15" s="875"/>
      <c r="AX15" s="875"/>
      <c r="AY15" s="875"/>
      <c r="AZ15" s="875"/>
      <c r="BA15" s="875"/>
      <c r="BB15" s="875"/>
      <c r="BC15" s="875"/>
      <c r="BD15" s="875"/>
      <c r="BE15" s="875"/>
      <c r="BF15" s="875"/>
      <c r="BG15" s="875"/>
      <c r="BH15" s="876"/>
      <c r="BI15" s="876"/>
      <c r="BJ15" s="876"/>
      <c r="BK15" s="876"/>
      <c r="BL15" s="876"/>
      <c r="BM15" s="876"/>
      <c r="BN15" s="876"/>
      <c r="BO15" s="876"/>
      <c r="BP15" s="876"/>
      <c r="BQ15" s="876"/>
      <c r="BR15" s="876"/>
      <c r="BS15" s="876"/>
      <c r="BT15" s="876"/>
      <c r="BU15" s="876"/>
      <c r="BV15" s="876"/>
      <c r="BW15" s="876"/>
      <c r="BX15" s="876"/>
      <c r="BY15" s="876"/>
      <c r="BZ15" s="876"/>
    </row>
    <row r="16" spans="1:78" ht="202.5" customHeight="1" thickBot="1" x14ac:dyDescent="0.35">
      <c r="A16" s="848" t="s">
        <v>1145</v>
      </c>
      <c r="B16" s="877"/>
      <c r="C16" s="878"/>
      <c r="D16" s="878"/>
      <c r="E16" s="879"/>
      <c r="F16" s="880" t="s">
        <v>589</v>
      </c>
      <c r="G16" s="972" t="e">
        <f>N16</f>
        <v>#DIV/0!</v>
      </c>
      <c r="H16" s="859" t="s">
        <v>867</v>
      </c>
      <c r="I16" s="866" t="s">
        <v>591</v>
      </c>
      <c r="J16" s="823"/>
      <c r="K16" s="845"/>
      <c r="L16" s="984" t="e">
        <f>IF(AND(HLOOKUP($C$5,'PY2 Data(H)'!$D$2:$CZ$310,286,FALSE)=0.01,(HLOOKUP($C$5,'PY2 Data(H)'!$D$2:$CZ$310,298,FALSE)&gt;0)),P16,#N/A)</f>
        <v>#N/A</v>
      </c>
      <c r="M16" s="985" t="e">
        <f>IF(AND(HLOOKUP($C$5,'PY1 Data(H)'!$D$2:$CZ$277,236,FALSE)=0.01,(HLOOKUP($C$5,'PY1 Data(H)'!$D$2:$CZ$277,265,FALSE)&gt;0)),Q16,#N/A)</f>
        <v>#N/A</v>
      </c>
      <c r="N16" s="873" t="e">
        <f>(+Import!L76-Import!L77-Import!L74-Import!L75)/(Import!L80-Import!L81-Import!L82-Import!L83-Import!L$84-Import!L85-Import!L79)</f>
        <v>#DIV/0!</v>
      </c>
      <c r="O16" s="978"/>
      <c r="P16" s="986" t="e">
        <f>HLOOKUP($C$5,'PY2 Data(H)'!$D$2:$CZ$310,298,FALSE)</f>
        <v>#N/A</v>
      </c>
      <c r="Q16" s="983" t="e">
        <f>HLOOKUP($C$5,'PY1 Data(H)'!$D$2:$CZ$277,265,FALSE)</f>
        <v>#N/A</v>
      </c>
      <c r="R16"/>
    </row>
    <row r="17" spans="1:81" ht="27.75" customHeight="1" thickBot="1" x14ac:dyDescent="0.35">
      <c r="A17" s="852"/>
      <c r="B17" s="881" t="s">
        <v>1148</v>
      </c>
      <c r="C17" s="882">
        <v>2021</v>
      </c>
      <c r="D17" s="882">
        <v>2022</v>
      </c>
      <c r="E17" s="882">
        <v>2023</v>
      </c>
      <c r="F17" s="853" t="s">
        <v>665</v>
      </c>
      <c r="G17" s="853" t="s">
        <v>866</v>
      </c>
      <c r="H17" s="883"/>
      <c r="I17" s="870"/>
      <c r="J17" s="1036"/>
      <c r="K17" s="845"/>
      <c r="L17" s="873"/>
      <c r="M17" s="873"/>
      <c r="N17" s="873"/>
      <c r="P17" s="981"/>
      <c r="Q17" s="982"/>
    </row>
    <row r="18" spans="1:81" ht="100.8" customHeight="1" thickBot="1" x14ac:dyDescent="0.35">
      <c r="A18" s="848" t="s">
        <v>1147</v>
      </c>
      <c r="B18" s="884" t="s">
        <v>1555</v>
      </c>
      <c r="C18" s="867" t="e">
        <f>IF(L15=0,"N/A",L18)</f>
        <v>#N/A</v>
      </c>
      <c r="D18" s="867" t="e">
        <f>IF(M15=0,"N/A",M18)</f>
        <v>#N/A</v>
      </c>
      <c r="E18" s="885" t="e">
        <f>IF(N15=0,"N/A",N18)</f>
        <v>#N/A</v>
      </c>
      <c r="F18" s="821" t="s">
        <v>868</v>
      </c>
      <c r="G18" s="973" t="e">
        <f>E18</f>
        <v>#N/A</v>
      </c>
      <c r="H18" s="859" t="s">
        <v>1629</v>
      </c>
      <c r="I18" s="866" t="s">
        <v>1631</v>
      </c>
      <c r="J18" s="823"/>
      <c r="K18" s="845"/>
      <c r="L18" s="994" t="e">
        <f>IF(HLOOKUP($C$5,'PY2 Data(H)'!$D$2:$CZ$310,299,FALSE)=0,"Prior year data not submitted as of workbook published date.",(HLOOKUP($C$5,'PY2 Data(H)'!$D$2:$CZ$310,299,FALSE)))</f>
        <v>#N/A</v>
      </c>
      <c r="M18" s="944" t="e">
        <f>IF(HLOOKUP($C$5,'PY1 Data(H)'!$D$2:$CZ$277,266,FALSE)=0,"Prior year data not submitted as of workbook published date.",(HLOOKUP($C$5,'PY1 Data(H)'!$D$2:$CZ$277,266,FALSE)))</f>
        <v>#N/A</v>
      </c>
      <c r="N18" s="886">
        <f>+Import!L109-Import!L111+Import!L110-Import!L140-Import!L112</f>
        <v>0</v>
      </c>
    </row>
    <row r="19" spans="1:81" ht="129" customHeight="1" thickBot="1" x14ac:dyDescent="0.35">
      <c r="A19" s="848" t="s">
        <v>1149</v>
      </c>
      <c r="B19" s="887" t="s">
        <v>1651</v>
      </c>
      <c r="C19" s="946" t="e">
        <f>IF(L15=0,"N/A",L19)</f>
        <v>#N/A</v>
      </c>
      <c r="D19" s="946" t="e">
        <f>IF(M15=0,"N/A",M19)</f>
        <v>#N/A</v>
      </c>
      <c r="E19" s="888" t="e">
        <f>IF(N15=0,"N/A",N19)</f>
        <v>#N/A</v>
      </c>
      <c r="F19" s="821" t="s">
        <v>812</v>
      </c>
      <c r="G19" s="974" t="e">
        <f>E19</f>
        <v>#N/A</v>
      </c>
      <c r="H19" s="859" t="s">
        <v>1932</v>
      </c>
      <c r="I19" s="866" t="s">
        <v>1634</v>
      </c>
      <c r="J19" s="824"/>
      <c r="K19" s="845"/>
      <c r="L19" s="999" t="e">
        <f>IF(HLOOKUP($C$5,'PY2 Data(H)'!$D$2:$CZ$310,300,FALSE)=0,"Prior year data not submitted as of workbook published date.",(HLOOKUP($C$5,'PY2 Data(H)'!$D$2:$CZ$310,300,FALSE)))</f>
        <v>#N/A</v>
      </c>
      <c r="M19" s="945" t="e">
        <f>IF(HLOOKUP($C$5,'PY1 Data(H)'!$D$2:$CZ$277,267,FALSE)=0,"Prior year data not submitted as of workbook published date.",(HLOOKUP($C$5,'PY1 Data(H)'!$D$2:$CZ$277,267,FALSE)))</f>
        <v>#N/A</v>
      </c>
      <c r="N19" s="889" t="e">
        <f>Import!L72/(Import!L111+Import!L114-Import!L110+Import!L140)</f>
        <v>#DIV/0!</v>
      </c>
      <c r="O19" s="890"/>
    </row>
    <row r="20" spans="1:81" ht="75" customHeight="1" thickBot="1" x14ac:dyDescent="0.35">
      <c r="A20" s="848" t="s">
        <v>1150</v>
      </c>
      <c r="B20" s="1102" t="s">
        <v>1985</v>
      </c>
      <c r="C20" s="1102"/>
      <c r="D20" s="1098"/>
      <c r="E20" s="891" t="str">
        <f>IF(N20&lt;0,"Yes","No")</f>
        <v>No</v>
      </c>
      <c r="F20" s="892"/>
      <c r="G20" s="893" t="str">
        <f>E20</f>
        <v>No</v>
      </c>
      <c r="H20" s="859" t="s">
        <v>1151</v>
      </c>
      <c r="I20" s="866" t="s">
        <v>813</v>
      </c>
      <c r="J20" s="823"/>
      <c r="K20" s="845"/>
      <c r="L20" s="894"/>
      <c r="M20" s="895">
        <f>((Import!L114+Import!L111)*0.03)-Import!L118</f>
        <v>0</v>
      </c>
      <c r="N20" s="896">
        <f>M20*0.03</f>
        <v>0</v>
      </c>
    </row>
    <row r="21" spans="1:81" ht="75" customHeight="1" thickBot="1" x14ac:dyDescent="0.35">
      <c r="A21" s="926">
        <v>8</v>
      </c>
      <c r="B21" s="954" t="s">
        <v>1950</v>
      </c>
      <c r="C21" s="959" t="e">
        <f>L21</f>
        <v>#N/A</v>
      </c>
      <c r="D21" s="959" t="e">
        <f>M21</f>
        <v>#N/A</v>
      </c>
      <c r="E21" s="960" t="e">
        <f>N21</f>
        <v>#DIV/0!</v>
      </c>
      <c r="F21" s="992" t="s">
        <v>2644</v>
      </c>
      <c r="G21" s="961" t="e">
        <f>E21</f>
        <v>#DIV/0!</v>
      </c>
      <c r="H21" s="1007" t="s">
        <v>2645</v>
      </c>
      <c r="I21" s="955" t="s">
        <v>1982</v>
      </c>
      <c r="J21" s="824"/>
      <c r="K21" s="845"/>
      <c r="L21" s="956" t="e">
        <f>IF(HLOOKUP($C$5,'PY2 Data(H)'!$D$2:$CZ$310,309,FALSE)=0,"Prior year data not submitted as of workbook published date.",(HLOOKUP($C$5,'PY2 Data(H)'!$D$2:$CZ$310,309,FALSE)))</f>
        <v>#N/A</v>
      </c>
      <c r="M21" s="957" t="e">
        <f>IF(HLOOKUP($C$5,'PY1 Data(H)'!$D$2:$CZ$277,276,FALSE)=0,"Prior year data not submitted as of workbook published date.",(HLOOKUP($C$5,'PY1 Data(H)'!$D$2:$CZ$277,276,FALSE)))</f>
        <v>#N/A</v>
      </c>
      <c r="N21" s="958" t="e">
        <f>1-(Import!L166+Import!L167+Import!L168+Import!L169)/(Import!L158+Import!L159+Import!L160+Import!L161)</f>
        <v>#DIV/0!</v>
      </c>
    </row>
    <row r="22" spans="1:81" x14ac:dyDescent="0.3">
      <c r="J22" s="1037"/>
    </row>
    <row r="23" spans="1:81" ht="15" thickBot="1" x14ac:dyDescent="0.35">
      <c r="J23" s="1037"/>
    </row>
    <row r="24" spans="1:81" ht="87" customHeight="1" thickBot="1" x14ac:dyDescent="0.35">
      <c r="A24" s="868"/>
      <c r="B24" s="1093" t="s">
        <v>1989</v>
      </c>
      <c r="C24" s="1093"/>
      <c r="D24" s="1093"/>
      <c r="E24" s="1093"/>
      <c r="F24" s="853" t="s">
        <v>665</v>
      </c>
      <c r="G24" s="853" t="s">
        <v>866</v>
      </c>
      <c r="H24" s="869" t="s">
        <v>1152</v>
      </c>
      <c r="I24" s="897"/>
      <c r="J24" s="1038"/>
      <c r="K24" s="845"/>
      <c r="L24" s="871" t="e">
        <f>HLOOKUP($C$5,'PY2 Data(H)'!$D$2:$CZ$310,285,FALSE)</f>
        <v>#N/A</v>
      </c>
      <c r="M24" s="872" t="e">
        <f>HLOOKUP($C$5,'PY1 Data(H)'!$D$2:$CZ$277,235,FALSE)</f>
        <v>#N/A</v>
      </c>
      <c r="N24" s="898" t="e">
        <f>Import!L239</f>
        <v>#N/A</v>
      </c>
    </row>
    <row r="25" spans="1:81" ht="202.5" customHeight="1" thickBot="1" x14ac:dyDescent="0.35">
      <c r="A25" s="848">
        <v>9</v>
      </c>
      <c r="B25" s="1103"/>
      <c r="C25" s="1103"/>
      <c r="D25" s="1103"/>
      <c r="E25" s="1104"/>
      <c r="F25" s="821" t="s">
        <v>589</v>
      </c>
      <c r="G25" s="975" t="e">
        <f>N25</f>
        <v>#DIV/0!</v>
      </c>
      <c r="H25" s="859" t="s">
        <v>869</v>
      </c>
      <c r="I25" s="866" t="s">
        <v>599</v>
      </c>
      <c r="J25" s="823"/>
      <c r="K25" s="845"/>
      <c r="L25" s="984" t="e">
        <f>IF(AND(HLOOKUP($C$5,'PY2 Data(H)'!$D$2:$CZ$310,285,FALSE)&gt;0,(HLOOKUP($C$5,'PY2 Data(H)'!$D$2:$CZ$310,302,FALSE)&gt;0)),P25,#N/A)</f>
        <v>#N/A</v>
      </c>
      <c r="M25" s="985" t="e">
        <f>IF(AND(HLOOKUP($C$5,'PY1 Data(H)'!$D$2:$CZ$277,235,FALSE)&gt;0,(HLOOKUP($C$5,'PY1 Data(H)'!$D$2:$CZ$277,269,FALSE)&gt;0)),Q25,#N/A)</f>
        <v>#N/A</v>
      </c>
      <c r="N25" s="873" t="e">
        <f>+(Import!L94-Import!L95-Import!L93-Import!L92)/(Import!L99-Import!L100-Import!L101-Import!L102-Import!L103-Import!L104-Import!L98)</f>
        <v>#DIV/0!</v>
      </c>
      <c r="P25" s="984" t="e">
        <f>HLOOKUP($C$5,'PY2 Data(H)'!$D$2:$CZ$310,302,FALSE)</f>
        <v>#N/A</v>
      </c>
      <c r="Q25" s="985" t="e">
        <f>HLOOKUP($C$5,'PY1 Data(H)'!$D$2:$CZ$277,269,FALSE)</f>
        <v>#N/A</v>
      </c>
    </row>
    <row r="26" spans="1:81" ht="27.75" customHeight="1" thickBot="1" x14ac:dyDescent="0.35">
      <c r="A26" s="852"/>
      <c r="B26" s="899" t="s">
        <v>1148</v>
      </c>
      <c r="C26" s="882">
        <v>2021</v>
      </c>
      <c r="D26" s="882">
        <v>2022</v>
      </c>
      <c r="E26" s="882">
        <v>2023</v>
      </c>
      <c r="F26" s="853" t="s">
        <v>665</v>
      </c>
      <c r="G26" s="853" t="s">
        <v>866</v>
      </c>
      <c r="H26" s="900"/>
      <c r="I26" s="901"/>
      <c r="J26" s="1039"/>
      <c r="K26" s="845"/>
      <c r="L26" s="902"/>
      <c r="M26" s="873"/>
      <c r="N26" s="873"/>
    </row>
    <row r="27" spans="1:81" ht="71.25" customHeight="1" thickBot="1" x14ac:dyDescent="0.35">
      <c r="A27" s="848">
        <v>10</v>
      </c>
      <c r="B27" s="884" t="s">
        <v>1555</v>
      </c>
      <c r="C27" s="948" t="e">
        <f>IF(L24=0,"N/A",L27)</f>
        <v>#N/A</v>
      </c>
      <c r="D27" s="948" t="e">
        <f>IF(M24=0,"N/A",M27)</f>
        <v>#N/A</v>
      </c>
      <c r="E27" s="903" t="e">
        <f>IF(N24=0,"N/A",N27)</f>
        <v>#N/A</v>
      </c>
      <c r="F27" s="821" t="s">
        <v>868</v>
      </c>
      <c r="G27" s="976" t="e">
        <f>E27</f>
        <v>#N/A</v>
      </c>
      <c r="H27" s="859" t="s">
        <v>1630</v>
      </c>
      <c r="I27" s="904" t="s">
        <v>1632</v>
      </c>
      <c r="J27" s="823"/>
      <c r="K27" s="845"/>
      <c r="L27" s="995" t="e">
        <f>IF(HLOOKUP($C$5,'PY2 Data(H)'!$D$2:$CZ$310,303,FALSE)=0,"Prior year data not submitted as of workbook published date.",(HLOOKUP($C$5,'PY2 Data(H)'!$D$2:$CZ$310,303,FALSE)))</f>
        <v>#N/A</v>
      </c>
      <c r="M27" s="947" t="e">
        <f>IF(HLOOKUP($C$5,'PY1 Data(H)'!$D$2:$CZ$277,270,FALSE)=0,"Prior year data not submitted as of workbook published date.",(HLOOKUP($C$5,'PY1 Data(H)'!$D$2:$CZ$277,270,FALSE)))</f>
        <v>#N/A</v>
      </c>
      <c r="N27" s="905">
        <f>+Import!L125-Import!L128+Import!L127-Import!L143-Import!L129</f>
        <v>0</v>
      </c>
    </row>
    <row r="28" spans="1:81" s="871" customFormat="1" ht="102.75" customHeight="1" thickBot="1" x14ac:dyDescent="0.35">
      <c r="A28" s="848">
        <v>11</v>
      </c>
      <c r="B28" s="887" t="s">
        <v>1651</v>
      </c>
      <c r="C28" s="946" t="e">
        <f>IF(L24=0,"N/A",L28)</f>
        <v>#N/A</v>
      </c>
      <c r="D28" s="946" t="e">
        <f>IF(M24=0,"N/A",M28)</f>
        <v>#N/A</v>
      </c>
      <c r="E28" s="888" t="e">
        <f>IF(N24=0,"N/A",N28)</f>
        <v>#N/A</v>
      </c>
      <c r="F28" s="821" t="s">
        <v>812</v>
      </c>
      <c r="G28" s="974" t="e">
        <f>E28</f>
        <v>#N/A</v>
      </c>
      <c r="H28" s="859" t="s">
        <v>1932</v>
      </c>
      <c r="I28" s="904" t="s">
        <v>1633</v>
      </c>
      <c r="J28" s="824"/>
      <c r="K28" s="845"/>
      <c r="L28" s="996" t="e">
        <f>IF(HLOOKUP($C$5,'PY2 Data(H)'!$D$2:$CZ$310,304,FALSE)=0,"Prior year data not submitted as of workbook published date.",(HLOOKUP($C$5,'PY2 Data(H)'!$D$2:$CZ$310,304,FALSE)))</f>
        <v>#N/A</v>
      </c>
      <c r="M28" s="945" t="e">
        <f>IF(HLOOKUP($C$5,'PY1 Data(H)'!$D$2:$CZ$277,271,FALSE)=0,"Prior year data not submitted as of  workbook published date.",(HLOOKUP($C$5,'PY1 Data(H)'!$D$2:$CZ$277,271,FALSE)))</f>
        <v>#N/A</v>
      </c>
      <c r="N28" s="889" t="e">
        <f>+Import!L90/(Import!L131+Import!L128-Import!L127+Import!L143)</f>
        <v>#DIV/0!</v>
      </c>
      <c r="O28" s="828"/>
      <c r="P28" s="829"/>
      <c r="Q28" s="830"/>
      <c r="R28" s="830"/>
      <c r="S28" s="830"/>
      <c r="T28" s="830"/>
      <c r="U28" s="830"/>
      <c r="V28" s="830"/>
      <c r="W28" s="830"/>
      <c r="X28" s="830"/>
      <c r="Y28" s="830"/>
      <c r="Z28" s="830"/>
      <c r="AA28" s="830"/>
      <c r="AB28" s="830"/>
      <c r="AC28" s="830"/>
      <c r="AD28" s="830"/>
      <c r="AE28" s="830"/>
      <c r="AF28" s="830"/>
      <c r="AG28" s="830"/>
      <c r="AH28" s="830"/>
      <c r="AI28" s="830"/>
      <c r="AJ28" s="830"/>
      <c r="AK28" s="830"/>
      <c r="AL28" s="830"/>
      <c r="AM28" s="830"/>
      <c r="AN28" s="830"/>
      <c r="AO28" s="830"/>
      <c r="AP28" s="830"/>
      <c r="AQ28" s="830"/>
      <c r="AR28" s="830"/>
      <c r="AS28" s="830"/>
      <c r="AT28" s="830"/>
      <c r="AU28" s="830"/>
      <c r="AV28" s="830"/>
      <c r="AW28" s="830"/>
      <c r="AX28" s="830"/>
      <c r="AY28" s="830"/>
      <c r="AZ28" s="830"/>
      <c r="BA28" s="830"/>
      <c r="BB28" s="830"/>
      <c r="BC28" s="830"/>
      <c r="BD28" s="830"/>
      <c r="BE28" s="830"/>
      <c r="BF28" s="830"/>
      <c r="BG28" s="830"/>
      <c r="BH28" s="831"/>
      <c r="BI28" s="831"/>
      <c r="BJ28" s="831"/>
      <c r="BK28" s="831"/>
      <c r="BL28" s="831"/>
      <c r="BM28" s="831"/>
      <c r="BN28" s="831"/>
      <c r="BO28" s="831"/>
      <c r="BP28" s="831"/>
      <c r="BQ28" s="831"/>
      <c r="BR28" s="831"/>
      <c r="BS28" s="831"/>
      <c r="BT28" s="831"/>
      <c r="BU28" s="831"/>
      <c r="BV28" s="831"/>
      <c r="BW28" s="831"/>
      <c r="BX28" s="831"/>
      <c r="BY28" s="831"/>
      <c r="BZ28" s="831"/>
      <c r="CA28" s="831"/>
      <c r="CB28" s="831"/>
      <c r="CC28" s="831"/>
    </row>
    <row r="29" spans="1:81" s="871" customFormat="1" ht="18.600000000000001" thickBot="1" x14ac:dyDescent="0.35">
      <c r="A29" s="906"/>
      <c r="B29" s="1105" t="s">
        <v>870</v>
      </c>
      <c r="C29" s="1105"/>
      <c r="D29" s="1105"/>
      <c r="E29" s="882">
        <v>2023</v>
      </c>
      <c r="F29" s="908" t="s">
        <v>871</v>
      </c>
      <c r="G29" s="909"/>
      <c r="H29" s="910"/>
      <c r="I29" s="911"/>
      <c r="J29" s="1040"/>
      <c r="K29" s="845"/>
      <c r="L29" s="828"/>
      <c r="M29" s="828"/>
      <c r="N29" s="828"/>
      <c r="O29" s="828"/>
      <c r="P29" s="829"/>
      <c r="Q29" s="830"/>
      <c r="R29" s="830"/>
      <c r="S29" s="830"/>
      <c r="T29" s="830"/>
      <c r="U29" s="830"/>
      <c r="V29" s="830"/>
      <c r="W29" s="830"/>
      <c r="X29" s="830"/>
      <c r="Y29" s="830"/>
      <c r="Z29" s="830"/>
      <c r="AA29" s="830"/>
      <c r="AB29" s="830"/>
      <c r="AC29" s="830"/>
      <c r="AD29" s="830"/>
      <c r="AE29" s="830"/>
      <c r="AF29" s="830"/>
      <c r="AG29" s="830"/>
      <c r="AH29" s="830"/>
      <c r="AI29" s="830"/>
      <c r="AJ29" s="830"/>
      <c r="AK29" s="830"/>
      <c r="AL29" s="830"/>
      <c r="AM29" s="830"/>
      <c r="AN29" s="830"/>
      <c r="AO29" s="830"/>
      <c r="AP29" s="830"/>
      <c r="AQ29" s="830"/>
      <c r="AR29" s="830"/>
      <c r="AS29" s="830"/>
      <c r="AT29" s="830"/>
      <c r="AU29" s="830"/>
      <c r="AV29" s="830"/>
      <c r="AW29" s="830"/>
      <c r="AX29" s="830"/>
      <c r="AY29" s="830"/>
      <c r="AZ29" s="830"/>
      <c r="BA29" s="830"/>
      <c r="BB29" s="830"/>
      <c r="BC29" s="830"/>
      <c r="BD29" s="830"/>
      <c r="BE29" s="830"/>
      <c r="BF29" s="830"/>
      <c r="BG29" s="830"/>
      <c r="BH29" s="831"/>
      <c r="BI29" s="831"/>
      <c r="BJ29" s="831"/>
      <c r="BK29" s="831"/>
      <c r="BL29" s="831"/>
      <c r="BM29" s="831"/>
      <c r="BN29" s="831"/>
      <c r="BO29" s="831"/>
      <c r="BP29" s="831"/>
      <c r="BQ29" s="831"/>
      <c r="BR29" s="831"/>
      <c r="BS29" s="831"/>
      <c r="BT29" s="831"/>
      <c r="BU29" s="831"/>
      <c r="BV29" s="831"/>
      <c r="BW29" s="831"/>
      <c r="BX29" s="831"/>
      <c r="BY29" s="831"/>
      <c r="BZ29" s="831"/>
      <c r="CA29" s="831"/>
      <c r="CB29" s="831"/>
      <c r="CC29" s="831"/>
    </row>
    <row r="30" spans="1:81" s="871" customFormat="1" ht="119.4" customHeight="1" thickBot="1" x14ac:dyDescent="0.35">
      <c r="A30" s="1022">
        <v>12</v>
      </c>
      <c r="B30" s="1106" t="s">
        <v>2649</v>
      </c>
      <c r="C30" s="1107"/>
      <c r="D30" s="1107"/>
      <c r="E30" s="1023">
        <f>Import!L259</f>
        <v>0</v>
      </c>
      <c r="F30" s="1024"/>
      <c r="G30" s="1023" t="str">
        <f>IF('TD Info Completed by Auditor'!C31&gt;N30,"Late","Response Not Required")</f>
        <v>Response Not Required</v>
      </c>
      <c r="H30" s="912" t="s">
        <v>872</v>
      </c>
      <c r="I30" s="1005" t="s">
        <v>2639</v>
      </c>
      <c r="J30" s="825"/>
      <c r="K30" s="845"/>
      <c r="L30" s="1012">
        <f>'TD Info Completed by Auditor'!C31</f>
        <v>0</v>
      </c>
      <c r="M30" s="1013">
        <f>'TD Info Completed by Auditor'!C30</f>
        <v>45107</v>
      </c>
      <c r="N30" s="1014">
        <f>IF(M30=DATEVALUE("6/30/2023"),N32,IF(M30=DATEVALUE("9/30/2023"),N33,IF(M30=DATEVALUE("12/31/2023"),N34,IF(M30=DATEVALUE("3/31/2024"),N35))))</f>
        <v>45291</v>
      </c>
      <c r="O30" s="828"/>
      <c r="P30" s="829"/>
      <c r="Q30" s="830"/>
      <c r="R30" s="830"/>
      <c r="S30" s="830"/>
      <c r="T30" s="830"/>
      <c r="U30" s="830"/>
      <c r="V30" s="830"/>
      <c r="W30" s="830"/>
      <c r="X30" s="830"/>
      <c r="Y30" s="830"/>
      <c r="Z30" s="830"/>
      <c r="AA30" s="830"/>
      <c r="AB30" s="830"/>
      <c r="AC30" s="830"/>
      <c r="AD30" s="830"/>
      <c r="AE30" s="830"/>
      <c r="AF30" s="830"/>
      <c r="AG30" s="830"/>
      <c r="AH30" s="830"/>
      <c r="AI30" s="830"/>
      <c r="AJ30" s="830"/>
      <c r="AK30" s="830"/>
      <c r="AL30" s="830"/>
      <c r="AM30" s="830"/>
      <c r="AN30" s="830"/>
      <c r="AO30" s="830"/>
      <c r="AP30" s="830"/>
      <c r="AQ30" s="830"/>
      <c r="AR30" s="830"/>
      <c r="AS30" s="830"/>
      <c r="AT30" s="830"/>
      <c r="AU30" s="830"/>
      <c r="AV30" s="830"/>
      <c r="AW30" s="830"/>
      <c r="AX30" s="830"/>
      <c r="AY30" s="830"/>
      <c r="AZ30" s="830"/>
      <c r="BA30" s="830"/>
      <c r="BB30" s="830"/>
      <c r="BC30" s="830"/>
      <c r="BD30" s="830"/>
      <c r="BE30" s="830"/>
      <c r="BF30" s="830"/>
      <c r="BG30" s="830"/>
      <c r="BH30" s="831"/>
      <c r="BI30" s="831"/>
      <c r="BJ30" s="831"/>
      <c r="BK30" s="831"/>
      <c r="BL30" s="831"/>
      <c r="BM30" s="831"/>
      <c r="BN30" s="831"/>
      <c r="BO30" s="831"/>
      <c r="BP30" s="831"/>
      <c r="BQ30" s="831"/>
      <c r="BR30" s="831"/>
      <c r="BS30" s="831"/>
      <c r="BT30" s="831"/>
      <c r="BU30" s="831"/>
      <c r="BV30" s="831"/>
      <c r="BW30" s="831"/>
      <c r="BX30" s="831"/>
      <c r="BY30" s="831"/>
      <c r="BZ30" s="831"/>
      <c r="CA30" s="831"/>
      <c r="CB30" s="831"/>
      <c r="CC30" s="831"/>
    </row>
    <row r="31" spans="1:81" s="871" customFormat="1" ht="18" customHeight="1" thickBot="1" x14ac:dyDescent="0.35">
      <c r="A31" s="913"/>
      <c r="B31" s="1100"/>
      <c r="C31" s="1100"/>
      <c r="D31" s="1101"/>
      <c r="E31" s="882">
        <v>2023</v>
      </c>
      <c r="F31" s="914" t="s">
        <v>871</v>
      </c>
      <c r="G31" s="915"/>
      <c r="H31" s="915"/>
      <c r="I31" s="916"/>
      <c r="J31" s="1041"/>
      <c r="K31" s="845"/>
      <c r="L31" s="1015" t="s">
        <v>2651</v>
      </c>
      <c r="M31" s="613" t="s">
        <v>2652</v>
      </c>
      <c r="N31" s="1016"/>
      <c r="O31" s="828"/>
      <c r="P31" s="829"/>
      <c r="Q31" s="830"/>
      <c r="R31" s="830"/>
      <c r="S31" s="830"/>
      <c r="T31" s="830"/>
      <c r="U31" s="830"/>
      <c r="V31" s="830"/>
      <c r="W31" s="830"/>
      <c r="X31" s="830"/>
      <c r="Y31" s="830"/>
      <c r="Z31" s="830"/>
      <c r="AA31" s="830"/>
      <c r="AB31" s="830"/>
      <c r="AC31" s="830"/>
      <c r="AD31" s="830"/>
      <c r="AE31" s="830"/>
      <c r="AF31" s="830"/>
      <c r="AG31" s="830"/>
      <c r="AH31" s="830"/>
      <c r="AI31" s="830"/>
      <c r="AJ31" s="830"/>
      <c r="AK31" s="830"/>
      <c r="AL31" s="830"/>
      <c r="AM31" s="830"/>
      <c r="AN31" s="830"/>
      <c r="AO31" s="830"/>
      <c r="AP31" s="830"/>
      <c r="AQ31" s="830"/>
      <c r="AR31" s="830"/>
      <c r="AS31" s="830"/>
      <c r="AT31" s="830"/>
      <c r="AU31" s="830"/>
      <c r="AV31" s="830"/>
      <c r="AW31" s="830"/>
      <c r="AX31" s="830"/>
      <c r="AY31" s="830"/>
      <c r="AZ31" s="830"/>
      <c r="BA31" s="830"/>
      <c r="BB31" s="830"/>
      <c r="BC31" s="830"/>
      <c r="BD31" s="830"/>
      <c r="BE31" s="830"/>
      <c r="BF31" s="830"/>
      <c r="BG31" s="830"/>
      <c r="BH31" s="831"/>
      <c r="BI31" s="831"/>
      <c r="BJ31" s="831"/>
      <c r="BK31" s="831"/>
      <c r="BL31" s="831"/>
      <c r="BM31" s="831"/>
      <c r="BN31" s="831"/>
      <c r="BO31" s="831"/>
      <c r="BP31" s="831"/>
      <c r="BQ31" s="831"/>
      <c r="BR31" s="831"/>
      <c r="BS31" s="831"/>
      <c r="BT31" s="831"/>
      <c r="BU31" s="831"/>
      <c r="BV31" s="831"/>
      <c r="BW31" s="831"/>
      <c r="BX31" s="831"/>
      <c r="BY31" s="831"/>
      <c r="BZ31" s="831"/>
      <c r="CA31" s="831"/>
      <c r="CB31" s="831"/>
      <c r="CC31" s="831"/>
    </row>
    <row r="32" spans="1:81" s="871" customFormat="1" ht="127.8" customHeight="1" thickBot="1" x14ac:dyDescent="0.35">
      <c r="A32" s="848">
        <v>13</v>
      </c>
      <c r="B32" s="1153" t="s">
        <v>1554</v>
      </c>
      <c r="C32" s="1154"/>
      <c r="D32" s="1154"/>
      <c r="E32" s="917" t="str">
        <f>IFERROR((Import!L54-Import!L55)/Import!L55,"This question must be answered unless the unit does not levy ad valorem taxes. See cells F63 &amp; F64 on Unit Data from Audit")</f>
        <v>This question must be answered unless the unit does not levy ad valorem taxes. See cells F63 &amp; F64 on Unit Data from Audit</v>
      </c>
      <c r="F32" s="821" t="s">
        <v>590</v>
      </c>
      <c r="G32" s="918" t="str">
        <f>+E32</f>
        <v>This question must be answered unless the unit does not levy ad valorem taxes. See cells F63 &amp; F64 on Unit Data from Audit</v>
      </c>
      <c r="H32" s="859" t="s">
        <v>1498</v>
      </c>
      <c r="I32" s="904" t="s">
        <v>595</v>
      </c>
      <c r="J32" s="825"/>
      <c r="K32" s="845"/>
      <c r="L32" s="1015"/>
      <c r="M32" s="1017">
        <v>45107</v>
      </c>
      <c r="N32" s="1018">
        <v>45291</v>
      </c>
      <c r="O32" s="828"/>
      <c r="P32" s="829"/>
      <c r="Q32" s="830"/>
      <c r="R32" s="830"/>
      <c r="S32" s="830"/>
      <c r="T32" s="830"/>
      <c r="U32" s="830"/>
      <c r="V32" s="830"/>
      <c r="W32" s="830"/>
      <c r="X32" s="830"/>
      <c r="Y32" s="830"/>
      <c r="Z32" s="830"/>
      <c r="AA32" s="830"/>
      <c r="AB32" s="830"/>
      <c r="AC32" s="830"/>
      <c r="AD32" s="830"/>
      <c r="AE32" s="830"/>
      <c r="AF32" s="830"/>
      <c r="AG32" s="830"/>
      <c r="AH32" s="830"/>
      <c r="AI32" s="830"/>
      <c r="AJ32" s="830"/>
      <c r="AK32" s="830"/>
      <c r="AL32" s="830"/>
      <c r="AM32" s="830"/>
      <c r="AN32" s="830"/>
      <c r="AO32" s="830"/>
      <c r="AP32" s="830"/>
      <c r="AQ32" s="830"/>
      <c r="AR32" s="830"/>
      <c r="AS32" s="830"/>
      <c r="AT32" s="830"/>
      <c r="AU32" s="830"/>
      <c r="AV32" s="830"/>
      <c r="AW32" s="830"/>
      <c r="AX32" s="830"/>
      <c r="AY32" s="830"/>
      <c r="AZ32" s="830"/>
      <c r="BA32" s="830"/>
      <c r="BB32" s="830"/>
      <c r="BC32" s="830"/>
      <c r="BD32" s="830"/>
      <c r="BE32" s="830"/>
      <c r="BF32" s="830"/>
      <c r="BG32" s="830"/>
      <c r="BH32" s="831"/>
      <c r="BI32" s="831"/>
      <c r="BJ32" s="831"/>
      <c r="BK32" s="831"/>
      <c r="BL32" s="831"/>
      <c r="BM32" s="831"/>
      <c r="BN32" s="831"/>
      <c r="BO32" s="831"/>
      <c r="BP32" s="831"/>
      <c r="BQ32" s="831"/>
      <c r="BR32" s="831"/>
      <c r="BS32" s="831"/>
      <c r="BT32" s="831"/>
      <c r="BU32" s="831"/>
      <c r="BV32" s="831"/>
      <c r="BW32" s="831"/>
      <c r="BX32" s="831"/>
      <c r="BY32" s="831"/>
      <c r="BZ32" s="831"/>
      <c r="CA32" s="831"/>
      <c r="CB32" s="831"/>
      <c r="CC32" s="831"/>
    </row>
    <row r="33" spans="1:81" s="871" customFormat="1" ht="18" customHeight="1" thickBot="1" x14ac:dyDescent="0.35">
      <c r="A33" s="919"/>
      <c r="B33" s="1100"/>
      <c r="C33" s="1100"/>
      <c r="D33" s="1101"/>
      <c r="E33" s="882">
        <v>2023</v>
      </c>
      <c r="F33" s="914" t="s">
        <v>871</v>
      </c>
      <c r="G33" s="915"/>
      <c r="H33" s="915"/>
      <c r="I33" s="916"/>
      <c r="J33" s="1041"/>
      <c r="K33" s="827"/>
      <c r="L33" s="1015"/>
      <c r="M33" s="1017">
        <v>45199</v>
      </c>
      <c r="N33" s="1018">
        <v>45382</v>
      </c>
      <c r="O33" s="828"/>
      <c r="P33" s="829"/>
      <c r="Q33" s="830"/>
      <c r="R33" s="830"/>
      <c r="S33" s="830"/>
      <c r="T33" s="830"/>
      <c r="U33" s="830"/>
      <c r="V33" s="830"/>
      <c r="W33" s="830"/>
      <c r="X33" s="830"/>
      <c r="Y33" s="830"/>
      <c r="Z33" s="830"/>
      <c r="AA33" s="830"/>
      <c r="AB33" s="830"/>
      <c r="AC33" s="830"/>
      <c r="AD33" s="830"/>
      <c r="AE33" s="830"/>
      <c r="AF33" s="830"/>
      <c r="AG33" s="830"/>
      <c r="AH33" s="830"/>
      <c r="AI33" s="830"/>
      <c r="AJ33" s="830"/>
      <c r="AK33" s="830"/>
      <c r="AL33" s="830"/>
      <c r="AM33" s="830"/>
      <c r="AN33" s="830"/>
      <c r="AO33" s="830"/>
      <c r="AP33" s="830"/>
      <c r="AQ33" s="830"/>
      <c r="AR33" s="830"/>
      <c r="AS33" s="830"/>
      <c r="AT33" s="830"/>
      <c r="AU33" s="830"/>
      <c r="AV33" s="830"/>
      <c r="AW33" s="830"/>
      <c r="AX33" s="830"/>
      <c r="AY33" s="830"/>
      <c r="AZ33" s="830"/>
      <c r="BA33" s="830"/>
      <c r="BB33" s="830"/>
      <c r="BC33" s="830"/>
      <c r="BD33" s="830"/>
      <c r="BE33" s="830"/>
      <c r="BF33" s="830"/>
      <c r="BG33" s="830"/>
      <c r="BH33" s="831"/>
      <c r="BI33" s="831"/>
      <c r="BJ33" s="831"/>
      <c r="BK33" s="831"/>
      <c r="BL33" s="831"/>
      <c r="BM33" s="831"/>
      <c r="BN33" s="831"/>
      <c r="BO33" s="831"/>
      <c r="BP33" s="831"/>
      <c r="BQ33" s="831"/>
      <c r="BR33" s="831"/>
      <c r="BS33" s="831"/>
      <c r="BT33" s="831"/>
      <c r="BU33" s="831"/>
      <c r="BV33" s="831"/>
      <c r="BW33" s="831"/>
      <c r="BX33" s="831"/>
      <c r="BY33" s="831"/>
      <c r="BZ33" s="831"/>
      <c r="CA33" s="831"/>
      <c r="CB33" s="831"/>
      <c r="CC33" s="831"/>
    </row>
    <row r="34" spans="1:81" s="871" customFormat="1" ht="97.5" customHeight="1" thickBot="1" x14ac:dyDescent="0.35">
      <c r="A34" s="848">
        <v>14</v>
      </c>
      <c r="B34" s="1098" t="s">
        <v>1154</v>
      </c>
      <c r="C34" s="1099"/>
      <c r="D34" s="1099"/>
      <c r="E34" s="920" t="str">
        <f>IF(Import!L210=20,"Increase",IF(Import!L210=21,"Decrease",IF(Import!L210=22,"No Change",IF(Import!L210=23,"N/A","This question must be answered. See cell F265 on Unit Data from Audit"))))</f>
        <v>This question must be answered. See cell F265 on Unit Data from Audit</v>
      </c>
      <c r="F34" s="821" t="s">
        <v>873</v>
      </c>
      <c r="G34" s="920" t="str">
        <f>E34</f>
        <v>This question must be answered. See cell F265 on Unit Data from Audit</v>
      </c>
      <c r="H34" s="859" t="s">
        <v>874</v>
      </c>
      <c r="I34" s="904" t="s">
        <v>596</v>
      </c>
      <c r="J34" s="825"/>
      <c r="K34" s="921"/>
      <c r="L34" s="1015"/>
      <c r="M34" s="1017">
        <v>45291</v>
      </c>
      <c r="N34" s="1018">
        <v>45473</v>
      </c>
      <c r="O34" s="828"/>
      <c r="P34" s="829"/>
      <c r="Q34" s="830"/>
      <c r="R34" s="830"/>
      <c r="S34" s="830"/>
      <c r="T34" s="830"/>
      <c r="U34" s="830"/>
      <c r="V34" s="830"/>
      <c r="W34" s="830"/>
      <c r="X34" s="830"/>
      <c r="Y34" s="830"/>
      <c r="Z34" s="830"/>
      <c r="AA34" s="830"/>
      <c r="AB34" s="830"/>
      <c r="AC34" s="830"/>
      <c r="AD34" s="830"/>
      <c r="AE34" s="830"/>
      <c r="AF34" s="830"/>
      <c r="AG34" s="830"/>
      <c r="AH34" s="830"/>
      <c r="AI34" s="830"/>
      <c r="AJ34" s="830"/>
      <c r="AK34" s="830"/>
      <c r="AL34" s="830"/>
      <c r="AM34" s="830"/>
      <c r="AN34" s="830"/>
      <c r="AO34" s="830"/>
      <c r="AP34" s="830"/>
      <c r="AQ34" s="830"/>
      <c r="AR34" s="830"/>
      <c r="AS34" s="830"/>
      <c r="AT34" s="830"/>
      <c r="AU34" s="830"/>
      <c r="AV34" s="830"/>
      <c r="AW34" s="830"/>
      <c r="AX34" s="830"/>
      <c r="AY34" s="830"/>
      <c r="AZ34" s="830"/>
      <c r="BA34" s="830"/>
      <c r="BB34" s="830"/>
      <c r="BC34" s="830"/>
      <c r="BD34" s="830"/>
      <c r="BE34" s="830"/>
      <c r="BF34" s="830"/>
      <c r="BG34" s="830"/>
      <c r="BH34" s="831"/>
      <c r="BI34" s="831"/>
      <c r="BJ34" s="831"/>
      <c r="BK34" s="831"/>
      <c r="BL34" s="831"/>
      <c r="BM34" s="831"/>
      <c r="BN34" s="831"/>
      <c r="BO34" s="831"/>
      <c r="BP34" s="831"/>
      <c r="BQ34" s="831"/>
      <c r="BR34" s="831"/>
      <c r="BS34" s="831"/>
      <c r="BT34" s="831"/>
      <c r="BU34" s="831"/>
      <c r="BV34" s="831"/>
      <c r="BW34" s="831"/>
      <c r="BX34" s="831"/>
      <c r="BY34" s="831"/>
      <c r="BZ34" s="831"/>
      <c r="CA34" s="831"/>
      <c r="CB34" s="831"/>
      <c r="CC34" s="831"/>
    </row>
    <row r="35" spans="1:81" s="871" customFormat="1" ht="18" customHeight="1" thickBot="1" x14ac:dyDescent="0.35">
      <c r="A35" s="919"/>
      <c r="B35" s="1100"/>
      <c r="C35" s="1100"/>
      <c r="D35" s="1101"/>
      <c r="E35" s="882">
        <v>2023</v>
      </c>
      <c r="F35" s="914" t="s">
        <v>871</v>
      </c>
      <c r="G35" s="915"/>
      <c r="H35" s="922"/>
      <c r="I35" s="916"/>
      <c r="J35" s="1041"/>
      <c r="K35" s="923"/>
      <c r="L35" s="1019"/>
      <c r="M35" s="1020">
        <v>45382</v>
      </c>
      <c r="N35" s="1021">
        <v>45565</v>
      </c>
      <c r="O35" s="828"/>
      <c r="P35" s="829"/>
      <c r="Q35" s="830"/>
      <c r="R35" s="830"/>
      <c r="S35" s="830"/>
      <c r="T35" s="830"/>
      <c r="U35" s="830"/>
      <c r="V35" s="830"/>
      <c r="W35" s="830"/>
      <c r="X35" s="830"/>
      <c r="Y35" s="830"/>
      <c r="Z35" s="830"/>
      <c r="AA35" s="830"/>
      <c r="AB35" s="830"/>
      <c r="AC35" s="830"/>
      <c r="AD35" s="830"/>
      <c r="AE35" s="830"/>
      <c r="AF35" s="830"/>
      <c r="AG35" s="830"/>
      <c r="AH35" s="830"/>
      <c r="AI35" s="830"/>
      <c r="AJ35" s="830"/>
      <c r="AK35" s="830"/>
      <c r="AL35" s="830"/>
      <c r="AM35" s="830"/>
      <c r="AN35" s="830"/>
      <c r="AO35" s="830"/>
      <c r="AP35" s="830"/>
      <c r="AQ35" s="830"/>
      <c r="AR35" s="830"/>
      <c r="AS35" s="830"/>
      <c r="AT35" s="830"/>
      <c r="AU35" s="830"/>
      <c r="AV35" s="830"/>
      <c r="AW35" s="830"/>
      <c r="AX35" s="830"/>
      <c r="AY35" s="830"/>
      <c r="AZ35" s="830"/>
      <c r="BA35" s="830"/>
      <c r="BB35" s="830"/>
      <c r="BC35" s="830"/>
      <c r="BD35" s="830"/>
      <c r="BE35" s="830"/>
      <c r="BF35" s="830"/>
      <c r="BG35" s="830"/>
      <c r="BH35" s="831"/>
      <c r="BI35" s="831"/>
      <c r="BJ35" s="831"/>
      <c r="BK35" s="831"/>
      <c r="BL35" s="831"/>
      <c r="BM35" s="831"/>
      <c r="BN35" s="831"/>
      <c r="BO35" s="831"/>
      <c r="BP35" s="831"/>
      <c r="BQ35" s="831"/>
      <c r="BR35" s="831"/>
      <c r="BS35" s="831"/>
      <c r="BT35" s="831"/>
      <c r="BU35" s="831"/>
      <c r="BV35" s="831"/>
      <c r="BW35" s="831"/>
      <c r="BX35" s="831"/>
      <c r="BY35" s="831"/>
      <c r="BZ35" s="831"/>
      <c r="CA35" s="831"/>
      <c r="CB35" s="831"/>
      <c r="CC35" s="831"/>
    </row>
    <row r="36" spans="1:81" s="871" customFormat="1" ht="78.75" customHeight="1" thickBot="1" x14ac:dyDescent="0.35">
      <c r="A36" s="848">
        <v>15</v>
      </c>
      <c r="B36" s="1157" t="s">
        <v>1955</v>
      </c>
      <c r="C36" s="1093"/>
      <c r="D36" s="1094"/>
      <c r="E36" s="821" t="str">
        <f>IF(Import!L216=1,"Yes",IF(Import!L216=2,"No",IF(Import!L216=0,"This question must be answered.  See cell C15 on TD")))</f>
        <v>This question must be answered.  See cell C15 on TD</v>
      </c>
      <c r="F36" s="821" t="s">
        <v>597</v>
      </c>
      <c r="G36" s="821" t="str">
        <f>+E36</f>
        <v>This question must be answered.  See cell C15 on TD</v>
      </c>
      <c r="H36" s="924" t="s">
        <v>1155</v>
      </c>
      <c r="I36" s="904" t="s">
        <v>1534</v>
      </c>
      <c r="J36" s="825"/>
      <c r="K36" s="845"/>
      <c r="L36" s="828"/>
      <c r="M36" s="828"/>
      <c r="N36" s="828"/>
      <c r="O36" s="828"/>
      <c r="P36" s="829"/>
      <c r="Q36" s="830"/>
      <c r="R36" s="830"/>
      <c r="S36" s="830"/>
      <c r="T36" s="830"/>
      <c r="U36" s="830"/>
      <c r="V36" s="830"/>
      <c r="W36" s="830"/>
      <c r="X36" s="830"/>
      <c r="Y36" s="830"/>
      <c r="Z36" s="830"/>
      <c r="AA36" s="830"/>
      <c r="AB36" s="830"/>
      <c r="AC36" s="830"/>
      <c r="AD36" s="830"/>
      <c r="AE36" s="830"/>
      <c r="AF36" s="830"/>
      <c r="AG36" s="830"/>
      <c r="AH36" s="830"/>
      <c r="AI36" s="830"/>
      <c r="AJ36" s="830"/>
      <c r="AK36" s="830"/>
      <c r="AL36" s="830"/>
      <c r="AM36" s="830"/>
      <c r="AN36" s="830"/>
      <c r="AO36" s="830"/>
      <c r="AP36" s="830"/>
      <c r="AQ36" s="830"/>
      <c r="AR36" s="830"/>
      <c r="AS36" s="830"/>
      <c r="AT36" s="830"/>
      <c r="AU36" s="830"/>
      <c r="AV36" s="830"/>
      <c r="AW36" s="830"/>
      <c r="AX36" s="830"/>
      <c r="AY36" s="830"/>
      <c r="AZ36" s="830"/>
      <c r="BA36" s="830"/>
      <c r="BB36" s="830"/>
      <c r="BC36" s="830"/>
      <c r="BD36" s="830"/>
      <c r="BE36" s="830"/>
      <c r="BF36" s="830"/>
      <c r="BG36" s="830"/>
      <c r="BH36" s="831"/>
      <c r="BI36" s="831"/>
      <c r="BJ36" s="831"/>
      <c r="BK36" s="831"/>
      <c r="BL36" s="831"/>
      <c r="BM36" s="831"/>
      <c r="BN36" s="831"/>
      <c r="BO36" s="831"/>
      <c r="BP36" s="831"/>
      <c r="BQ36" s="831"/>
      <c r="BR36" s="831"/>
      <c r="BS36" s="831"/>
      <c r="BT36" s="831"/>
      <c r="BU36" s="831"/>
      <c r="BV36" s="831"/>
      <c r="BW36" s="831"/>
      <c r="BX36" s="831"/>
      <c r="BY36" s="831"/>
      <c r="BZ36" s="831"/>
      <c r="CA36" s="831"/>
      <c r="CB36" s="831"/>
      <c r="CC36" s="831"/>
    </row>
    <row r="37" spans="1:81" s="871" customFormat="1" ht="18" customHeight="1" thickBot="1" x14ac:dyDescent="0.35">
      <c r="A37" s="919"/>
      <c r="B37" s="1100"/>
      <c r="C37" s="1100"/>
      <c r="D37" s="1101"/>
      <c r="E37" s="882">
        <v>2023</v>
      </c>
      <c r="F37" s="914" t="s">
        <v>871</v>
      </c>
      <c r="G37" s="915"/>
      <c r="H37" s="922"/>
      <c r="I37" s="916"/>
      <c r="J37" s="1041"/>
      <c r="K37" s="845"/>
      <c r="L37" s="828"/>
      <c r="M37" s="828"/>
      <c r="N37" s="828"/>
      <c r="O37" s="828"/>
      <c r="P37" s="829"/>
      <c r="Q37" s="830"/>
      <c r="R37" s="830"/>
      <c r="S37" s="830"/>
      <c r="T37" s="830"/>
      <c r="U37" s="830"/>
      <c r="V37" s="830"/>
      <c r="W37" s="830"/>
      <c r="X37" s="830"/>
      <c r="Y37" s="830"/>
      <c r="Z37" s="830"/>
      <c r="AA37" s="830"/>
      <c r="AB37" s="830"/>
      <c r="AC37" s="830"/>
      <c r="AD37" s="830"/>
      <c r="AE37" s="830"/>
      <c r="AF37" s="830"/>
      <c r="AG37" s="830"/>
      <c r="AH37" s="830"/>
      <c r="AI37" s="830"/>
      <c r="AJ37" s="830"/>
      <c r="AK37" s="830"/>
      <c r="AL37" s="830"/>
      <c r="AM37" s="830"/>
      <c r="AN37" s="830"/>
      <c r="AO37" s="830"/>
      <c r="AP37" s="830"/>
      <c r="AQ37" s="830"/>
      <c r="AR37" s="830"/>
      <c r="AS37" s="830"/>
      <c r="AT37" s="830"/>
      <c r="AU37" s="830"/>
      <c r="AV37" s="830"/>
      <c r="AW37" s="830"/>
      <c r="AX37" s="830"/>
      <c r="AY37" s="830"/>
      <c r="AZ37" s="830"/>
      <c r="BA37" s="830"/>
      <c r="BB37" s="830"/>
      <c r="BC37" s="830"/>
      <c r="BD37" s="830"/>
      <c r="BE37" s="830"/>
      <c r="BF37" s="830"/>
      <c r="BG37" s="830"/>
      <c r="BH37" s="831"/>
      <c r="BI37" s="831"/>
      <c r="BJ37" s="831"/>
      <c r="BK37" s="831"/>
      <c r="BL37" s="831"/>
      <c r="BM37" s="831"/>
      <c r="BN37" s="831"/>
      <c r="BO37" s="831"/>
      <c r="BP37" s="831"/>
      <c r="BQ37" s="831"/>
      <c r="BR37" s="831"/>
      <c r="BS37" s="831"/>
      <c r="BT37" s="831"/>
      <c r="BU37" s="831"/>
      <c r="BV37" s="831"/>
      <c r="BW37" s="831"/>
      <c r="BX37" s="831"/>
      <c r="BY37" s="831"/>
      <c r="BZ37" s="831"/>
      <c r="CA37" s="831"/>
      <c r="CB37" s="831"/>
      <c r="CC37" s="831"/>
    </row>
    <row r="38" spans="1:81" s="871" customFormat="1" ht="94.95" customHeight="1" thickBot="1" x14ac:dyDescent="0.35">
      <c r="A38" s="848">
        <v>16</v>
      </c>
      <c r="B38" s="1120" t="s">
        <v>1664</v>
      </c>
      <c r="C38" s="1120"/>
      <c r="D38" s="1121"/>
      <c r="E38" s="938" t="str">
        <f>IF(AND(Import!L214=2,Import!L215=2,Import!L217=2,AND(Import!L223&lt;=0,Import!L224&lt;=0)),"No","Yes")</f>
        <v>Yes</v>
      </c>
      <c r="F38" s="925"/>
      <c r="G38" s="891" t="str">
        <f>E38</f>
        <v>Yes</v>
      </c>
      <c r="H38" s="993" t="s">
        <v>1935</v>
      </c>
      <c r="I38" s="866" t="s">
        <v>1546</v>
      </c>
      <c r="J38" s="825"/>
      <c r="K38" s="845"/>
      <c r="L38" s="828"/>
      <c r="N38" s="828"/>
      <c r="O38" s="828"/>
      <c r="P38" s="829"/>
      <c r="Q38" s="830"/>
      <c r="R38" s="830"/>
      <c r="S38" s="830"/>
      <c r="T38" s="830"/>
      <c r="U38" s="830"/>
      <c r="V38" s="830"/>
      <c r="W38" s="830"/>
      <c r="X38" s="830"/>
      <c r="Y38" s="830"/>
      <c r="Z38" s="830"/>
      <c r="AA38" s="830"/>
      <c r="AB38" s="830"/>
      <c r="AC38" s="830"/>
      <c r="AD38" s="830"/>
      <c r="AE38" s="830"/>
      <c r="AF38" s="830"/>
      <c r="AG38" s="830"/>
      <c r="AH38" s="830"/>
      <c r="AI38" s="830"/>
      <c r="AJ38" s="830"/>
      <c r="AK38" s="830"/>
      <c r="AL38" s="830"/>
      <c r="AM38" s="830"/>
      <c r="AN38" s="830"/>
      <c r="AO38" s="830"/>
      <c r="AP38" s="830"/>
      <c r="AQ38" s="830"/>
      <c r="AR38" s="830"/>
      <c r="AS38" s="830"/>
      <c r="AT38" s="830"/>
      <c r="AU38" s="830"/>
      <c r="AV38" s="830"/>
      <c r="AW38" s="830"/>
      <c r="AX38" s="830"/>
      <c r="AY38" s="830"/>
      <c r="AZ38" s="830"/>
      <c r="BA38" s="830"/>
      <c r="BB38" s="830"/>
      <c r="BC38" s="830"/>
      <c r="BD38" s="830"/>
      <c r="BE38" s="830"/>
      <c r="BF38" s="830"/>
      <c r="BG38" s="830"/>
      <c r="BH38" s="831"/>
      <c r="BI38" s="831"/>
      <c r="BJ38" s="831"/>
      <c r="BK38" s="831"/>
      <c r="BL38" s="831"/>
      <c r="BM38" s="831"/>
      <c r="BN38" s="831"/>
      <c r="BO38" s="831"/>
      <c r="BP38" s="831"/>
      <c r="BQ38" s="831"/>
      <c r="BR38" s="831"/>
      <c r="BS38" s="831"/>
      <c r="BT38" s="831"/>
      <c r="BU38" s="831"/>
      <c r="BV38" s="831"/>
      <c r="BW38" s="831"/>
      <c r="BX38" s="831"/>
      <c r="BY38" s="831"/>
      <c r="BZ38" s="831"/>
      <c r="CA38" s="831"/>
      <c r="CB38" s="831"/>
      <c r="CC38" s="831"/>
    </row>
    <row r="39" spans="1:81" s="871" customFormat="1" ht="138" customHeight="1" thickBot="1" x14ac:dyDescent="0.35">
      <c r="A39" s="926">
        <v>17</v>
      </c>
      <c r="B39" s="1157" t="s">
        <v>1980</v>
      </c>
      <c r="C39" s="1093"/>
      <c r="D39" s="1094"/>
      <c r="E39" s="891" t="str">
        <f>IF(Import!L218=1,"Yes",IF(Import!L218=2,"No",IF(Import!L218=0,"This question must be answered.  See cell C17 on TD")))</f>
        <v>This question must be answered.  See cell C17 on TD</v>
      </c>
      <c r="F39" s="925"/>
      <c r="G39" s="891" t="str">
        <f>E39</f>
        <v>This question must be answered.  See cell C17 on TD</v>
      </c>
      <c r="H39" s="924" t="s">
        <v>1665</v>
      </c>
      <c r="I39" s="866" t="s">
        <v>1541</v>
      </c>
      <c r="J39" s="825"/>
      <c r="K39" s="845"/>
      <c r="L39" s="828"/>
      <c r="M39" s="828"/>
      <c r="N39" s="828"/>
      <c r="O39" s="828"/>
      <c r="P39" s="829"/>
      <c r="Q39" s="830"/>
      <c r="U39" s="830"/>
      <c r="V39" s="830"/>
      <c r="W39" s="830"/>
      <c r="X39" s="830"/>
      <c r="Y39" s="830"/>
      <c r="Z39" s="830"/>
      <c r="AA39" s="830"/>
      <c r="AB39" s="830"/>
      <c r="AC39" s="830"/>
      <c r="AD39" s="830"/>
      <c r="AE39" s="830"/>
      <c r="AF39" s="830"/>
      <c r="AG39" s="830"/>
      <c r="AH39" s="830"/>
      <c r="AI39" s="830"/>
      <c r="AJ39" s="830"/>
      <c r="AK39" s="830"/>
      <c r="AL39" s="830"/>
      <c r="AM39" s="830"/>
      <c r="AN39" s="830"/>
      <c r="AO39" s="830"/>
      <c r="AP39" s="830"/>
      <c r="AQ39" s="830"/>
      <c r="AR39" s="830"/>
      <c r="AS39" s="830"/>
      <c r="AT39" s="830"/>
      <c r="AU39" s="830"/>
      <c r="AV39" s="830"/>
      <c r="AW39" s="830"/>
      <c r="AX39" s="830"/>
      <c r="AY39" s="830"/>
      <c r="AZ39" s="830"/>
      <c r="BA39" s="830"/>
      <c r="BB39" s="830"/>
      <c r="BC39" s="830"/>
      <c r="BD39" s="830"/>
      <c r="BE39" s="830"/>
      <c r="BF39" s="830"/>
      <c r="BG39" s="830"/>
      <c r="BH39" s="831"/>
      <c r="BI39" s="831"/>
      <c r="BJ39" s="831"/>
      <c r="BK39" s="831"/>
      <c r="BL39" s="831"/>
      <c r="BM39" s="831"/>
      <c r="BN39" s="831"/>
      <c r="BO39" s="831"/>
      <c r="BP39" s="831"/>
      <c r="BQ39" s="831"/>
      <c r="BR39" s="831"/>
      <c r="BS39" s="831"/>
      <c r="BT39" s="831"/>
      <c r="BU39" s="831"/>
      <c r="BV39" s="831"/>
      <c r="BW39" s="831"/>
      <c r="BX39" s="831"/>
      <c r="BY39" s="831"/>
      <c r="BZ39" s="831"/>
      <c r="CA39" s="831"/>
      <c r="CB39" s="831"/>
      <c r="CC39" s="831"/>
    </row>
    <row r="40" spans="1:81" s="871" customFormat="1" ht="117" customHeight="1" thickBot="1" x14ac:dyDescent="0.35">
      <c r="A40" s="926">
        <v>18</v>
      </c>
      <c r="B40" s="1157" t="s">
        <v>1737</v>
      </c>
      <c r="C40" s="1093"/>
      <c r="D40" s="1094"/>
      <c r="E40" s="891" t="str">
        <f>IF(Import!L220=1,"Yes",IF(Import!L220=2,"No",IF(Import!L220=0,"This question must be answered.  See cell C19 on TD")))</f>
        <v>This question must be answered.  See cell C19 on TD</v>
      </c>
      <c r="F40" s="925"/>
      <c r="G40" s="891" t="str">
        <f>E40</f>
        <v>This question must be answered.  See cell C19 on TD</v>
      </c>
      <c r="H40" s="924" t="s">
        <v>1936</v>
      </c>
      <c r="I40" s="866" t="s">
        <v>1646</v>
      </c>
      <c r="J40" s="825"/>
      <c r="K40" s="845"/>
      <c r="L40" s="828"/>
      <c r="M40" s="828"/>
      <c r="N40" s="828"/>
      <c r="O40" s="828"/>
      <c r="P40" s="829"/>
      <c r="Q40" s="830"/>
      <c r="R40" s="830"/>
      <c r="S40" s="830"/>
      <c r="T40" s="830"/>
      <c r="U40" s="830"/>
      <c r="V40" s="830"/>
      <c r="W40" s="830"/>
      <c r="X40" s="830"/>
      <c r="Y40" s="830"/>
      <c r="Z40" s="830"/>
      <c r="AA40" s="830"/>
      <c r="AB40" s="830"/>
      <c r="AC40" s="830"/>
      <c r="AD40" s="830"/>
      <c r="AE40" s="830"/>
      <c r="AF40" s="830"/>
      <c r="AG40" s="830"/>
      <c r="AH40" s="830"/>
      <c r="AI40" s="830"/>
      <c r="AJ40" s="830"/>
      <c r="AK40" s="830"/>
      <c r="AL40" s="830"/>
      <c r="AM40" s="830"/>
      <c r="AN40" s="830"/>
      <c r="AO40" s="830"/>
      <c r="AP40" s="830"/>
      <c r="AQ40" s="830"/>
      <c r="AR40" s="830"/>
      <c r="AS40" s="830"/>
      <c r="AT40" s="830"/>
      <c r="AU40" s="830"/>
      <c r="AV40" s="830"/>
      <c r="AW40" s="830"/>
      <c r="AX40" s="830"/>
      <c r="AY40" s="830"/>
      <c r="AZ40" s="830"/>
      <c r="BA40" s="830"/>
      <c r="BB40" s="830"/>
      <c r="BC40" s="830"/>
      <c r="BD40" s="830"/>
      <c r="BE40" s="830"/>
      <c r="BF40" s="830"/>
      <c r="BG40" s="830"/>
      <c r="BH40" s="831"/>
      <c r="BI40" s="831"/>
      <c r="BJ40" s="831"/>
      <c r="BK40" s="831"/>
      <c r="BL40" s="831"/>
      <c r="BM40" s="831"/>
      <c r="BN40" s="831"/>
      <c r="BO40" s="831"/>
      <c r="BP40" s="831"/>
      <c r="BQ40" s="831"/>
      <c r="BR40" s="831"/>
      <c r="BS40" s="831"/>
      <c r="BT40" s="831"/>
      <c r="BU40" s="831"/>
      <c r="BV40" s="831"/>
      <c r="BW40" s="831"/>
      <c r="BX40" s="831"/>
      <c r="BY40" s="831"/>
      <c r="BZ40" s="831"/>
      <c r="CA40" s="831"/>
      <c r="CB40" s="831"/>
      <c r="CC40" s="831"/>
    </row>
    <row r="41" spans="1:81" s="871" customFormat="1" ht="18" customHeight="1" thickBot="1" x14ac:dyDescent="0.35">
      <c r="A41" s="919"/>
      <c r="B41" s="1105" t="s">
        <v>870</v>
      </c>
      <c r="C41" s="1105"/>
      <c r="D41" s="1158"/>
      <c r="E41" s="882">
        <v>2023</v>
      </c>
      <c r="F41" s="914" t="s">
        <v>871</v>
      </c>
      <c r="G41" s="927"/>
      <c r="H41" s="915"/>
      <c r="I41" s="928"/>
      <c r="J41" s="1041"/>
      <c r="K41" s="845"/>
      <c r="L41" s="828"/>
      <c r="M41" s="828"/>
      <c r="N41" s="828"/>
      <c r="O41" s="828"/>
      <c r="P41" s="829"/>
      <c r="Q41" s="830"/>
      <c r="R41" s="830"/>
      <c r="S41" s="830"/>
      <c r="T41" s="830"/>
      <c r="U41" s="830"/>
      <c r="V41" s="830"/>
      <c r="W41" s="830"/>
      <c r="X41" s="830"/>
      <c r="Y41" s="830"/>
      <c r="Z41" s="830"/>
      <c r="AA41" s="830"/>
      <c r="AB41" s="830"/>
      <c r="AC41" s="830"/>
      <c r="AD41" s="830"/>
      <c r="AE41" s="830"/>
      <c r="AF41" s="830"/>
      <c r="AG41" s="830"/>
      <c r="AH41" s="830"/>
      <c r="AI41" s="830"/>
      <c r="AJ41" s="830"/>
      <c r="AK41" s="830"/>
      <c r="AL41" s="830"/>
      <c r="AM41" s="830"/>
      <c r="AN41" s="830"/>
      <c r="AO41" s="830"/>
      <c r="AP41" s="830"/>
      <c r="AQ41" s="830"/>
      <c r="AR41" s="830"/>
      <c r="AS41" s="830"/>
      <c r="AT41" s="830"/>
      <c r="AU41" s="830"/>
      <c r="AV41" s="830"/>
      <c r="AW41" s="830"/>
      <c r="AX41" s="830"/>
      <c r="AY41" s="830"/>
      <c r="AZ41" s="830"/>
      <c r="BA41" s="830"/>
      <c r="BB41" s="830"/>
      <c r="BC41" s="830"/>
      <c r="BD41" s="830"/>
      <c r="BE41" s="830"/>
      <c r="BF41" s="830"/>
      <c r="BG41" s="830"/>
      <c r="BH41" s="831"/>
      <c r="BI41" s="831"/>
      <c r="BJ41" s="831"/>
      <c r="BK41" s="831"/>
      <c r="BL41" s="831"/>
      <c r="BM41" s="831"/>
      <c r="BN41" s="831"/>
      <c r="BO41" s="831"/>
      <c r="BP41" s="831"/>
      <c r="BQ41" s="831"/>
      <c r="BR41" s="831"/>
      <c r="BS41" s="831"/>
      <c r="BT41" s="831"/>
      <c r="BU41" s="831"/>
      <c r="BV41" s="831"/>
      <c r="BW41" s="831"/>
      <c r="BX41" s="831"/>
      <c r="BY41" s="831"/>
      <c r="BZ41" s="831"/>
      <c r="CA41" s="831"/>
      <c r="CB41" s="831"/>
      <c r="CC41" s="831"/>
    </row>
    <row r="42" spans="1:81" s="871" customFormat="1" ht="75.599999999999994" customHeight="1" thickBot="1" x14ac:dyDescent="0.35">
      <c r="A42" s="991">
        <v>19</v>
      </c>
      <c r="B42" s="1102" t="s">
        <v>1153</v>
      </c>
      <c r="C42" s="1102"/>
      <c r="D42" s="1098"/>
      <c r="E42" s="891" t="str">
        <f>IF(Import!L227=1,"Yes",IF(Import!L227=2,"No",IF(Import!L227=3,"N/A",IF(Import!L227=0,"This question must be answered.  See cell C26 on TD"))))</f>
        <v>This question must be answered.  See cell C26 on TD</v>
      </c>
      <c r="F42" s="925"/>
      <c r="G42" s="891" t="str">
        <f>E42</f>
        <v>This question must be answered.  See cell C26 on TD</v>
      </c>
      <c r="H42" s="924" t="s">
        <v>1937</v>
      </c>
      <c r="I42" s="904" t="s">
        <v>663</v>
      </c>
      <c r="J42" s="825"/>
      <c r="K42" s="845"/>
      <c r="L42" s="828"/>
      <c r="M42" s="828"/>
      <c r="N42" s="828"/>
      <c r="O42" s="828"/>
      <c r="P42" s="829"/>
      <c r="Q42" s="830"/>
      <c r="R42" s="830"/>
      <c r="S42" s="830"/>
      <c r="T42" s="830"/>
      <c r="U42" s="830"/>
      <c r="V42" s="830"/>
      <c r="W42" s="830"/>
      <c r="X42" s="830"/>
      <c r="Y42" s="830"/>
      <c r="Z42" s="830"/>
      <c r="AA42" s="830"/>
      <c r="AB42" s="830"/>
      <c r="AC42" s="830"/>
      <c r="AD42" s="830"/>
      <c r="AE42" s="830"/>
      <c r="AF42" s="830"/>
      <c r="AG42" s="830"/>
      <c r="AH42" s="830"/>
      <c r="AI42" s="830"/>
      <c r="AJ42" s="830"/>
      <c r="AK42" s="830"/>
      <c r="AL42" s="830"/>
      <c r="AM42" s="830"/>
      <c r="AN42" s="830"/>
      <c r="AO42" s="830"/>
      <c r="AP42" s="830"/>
      <c r="AQ42" s="830"/>
      <c r="AR42" s="830"/>
      <c r="AS42" s="830"/>
      <c r="AT42" s="830"/>
      <c r="AU42" s="830"/>
      <c r="AV42" s="830"/>
      <c r="AW42" s="830"/>
      <c r="AX42" s="830"/>
      <c r="AY42" s="830"/>
      <c r="AZ42" s="830"/>
      <c r="BA42" s="830"/>
      <c r="BB42" s="830"/>
      <c r="BC42" s="830"/>
      <c r="BD42" s="830"/>
      <c r="BE42" s="830"/>
      <c r="BF42" s="830"/>
      <c r="BG42" s="830"/>
      <c r="BH42" s="831"/>
      <c r="BI42" s="831"/>
      <c r="BJ42" s="831"/>
      <c r="BK42" s="831"/>
      <c r="BL42" s="831"/>
      <c r="BM42" s="831"/>
      <c r="BN42" s="831"/>
      <c r="BO42" s="831"/>
      <c r="BP42" s="831"/>
      <c r="BQ42" s="831"/>
      <c r="BR42" s="831"/>
      <c r="BS42" s="831"/>
      <c r="BT42" s="831"/>
      <c r="BU42" s="831"/>
      <c r="BV42" s="831"/>
      <c r="BW42" s="831"/>
      <c r="BX42" s="831"/>
      <c r="BY42" s="831"/>
      <c r="BZ42" s="831"/>
      <c r="CA42" s="831"/>
      <c r="CB42" s="831"/>
      <c r="CC42" s="831"/>
    </row>
    <row r="43" spans="1:81" s="871" customFormat="1" ht="18" customHeight="1" thickBot="1" x14ac:dyDescent="0.35">
      <c r="A43" s="919"/>
      <c r="B43" s="1100"/>
      <c r="C43" s="1100"/>
      <c r="D43" s="1101"/>
      <c r="E43" s="882">
        <v>2023</v>
      </c>
      <c r="F43" s="908" t="s">
        <v>871</v>
      </c>
      <c r="G43" s="915"/>
      <c r="H43" s="922"/>
      <c r="I43" s="916"/>
      <c r="J43" s="1041"/>
      <c r="K43" s="845"/>
      <c r="L43" s="828"/>
      <c r="M43" s="828"/>
      <c r="N43" s="828"/>
      <c r="O43" s="828"/>
      <c r="P43" s="829"/>
      <c r="Q43" s="830"/>
      <c r="R43" s="830"/>
      <c r="S43" s="830"/>
      <c r="T43" s="830"/>
      <c r="U43" s="830"/>
      <c r="V43" s="830"/>
      <c r="W43" s="830"/>
      <c r="X43" s="830"/>
      <c r="Y43" s="830"/>
      <c r="Z43" s="830"/>
      <c r="AA43" s="830"/>
      <c r="AB43" s="830"/>
      <c r="AC43" s="830"/>
      <c r="AD43" s="830"/>
      <c r="AE43" s="830"/>
      <c r="AF43" s="830"/>
      <c r="AG43" s="830"/>
      <c r="AH43" s="830"/>
      <c r="AI43" s="830"/>
      <c r="AJ43" s="830"/>
      <c r="AK43" s="830"/>
      <c r="AL43" s="830"/>
      <c r="AM43" s="830"/>
      <c r="AN43" s="830"/>
      <c r="AO43" s="830"/>
      <c r="AP43" s="830"/>
      <c r="AQ43" s="830"/>
      <c r="AR43" s="830"/>
      <c r="AS43" s="830"/>
      <c r="AT43" s="830"/>
      <c r="AU43" s="830"/>
      <c r="AV43" s="830"/>
      <c r="AW43" s="830"/>
      <c r="AX43" s="830"/>
      <c r="AY43" s="830"/>
      <c r="AZ43" s="830"/>
      <c r="BA43" s="830"/>
      <c r="BB43" s="830"/>
      <c r="BC43" s="830"/>
      <c r="BD43" s="830"/>
      <c r="BE43" s="830"/>
      <c r="BF43" s="830"/>
      <c r="BG43" s="830"/>
      <c r="BH43" s="831"/>
      <c r="BI43" s="831"/>
      <c r="BJ43" s="831"/>
      <c r="BK43" s="831"/>
      <c r="BL43" s="831"/>
      <c r="BM43" s="831"/>
      <c r="BN43" s="831"/>
      <c r="BO43" s="831"/>
      <c r="BP43" s="831"/>
      <c r="BQ43" s="831"/>
      <c r="BR43" s="831"/>
      <c r="BS43" s="831"/>
      <c r="BT43" s="831"/>
      <c r="BU43" s="831"/>
      <c r="BV43" s="831"/>
      <c r="BW43" s="831"/>
      <c r="BX43" s="831"/>
      <c r="BY43" s="831"/>
      <c r="BZ43" s="831"/>
      <c r="CA43" s="831"/>
      <c r="CB43" s="831"/>
      <c r="CC43" s="831"/>
    </row>
    <row r="44" spans="1:81" s="871" customFormat="1" ht="130.19999999999999" customHeight="1" thickBot="1" x14ac:dyDescent="0.35">
      <c r="A44" s="848">
        <v>20</v>
      </c>
      <c r="B44" s="1153" t="s">
        <v>1552</v>
      </c>
      <c r="C44" s="1154"/>
      <c r="D44" s="1154"/>
      <c r="E44" s="929" t="str">
        <f>IF('Electric trans'!F24="No, unit exceeds limit by:","Yes","No")</f>
        <v>No</v>
      </c>
      <c r="F44" s="925"/>
      <c r="G44" s="929" t="str">
        <f>+E44</f>
        <v>No</v>
      </c>
      <c r="H44" s="859" t="s">
        <v>1941</v>
      </c>
      <c r="I44" s="904" t="s">
        <v>1556</v>
      </c>
      <c r="J44" s="825"/>
      <c r="K44" s="845"/>
      <c r="L44" s="828"/>
      <c r="M44" s="828"/>
      <c r="N44" s="828"/>
      <c r="O44" s="828"/>
      <c r="P44" s="829"/>
      <c r="Q44" s="830"/>
      <c r="R44" s="830"/>
      <c r="S44" s="830"/>
      <c r="T44" s="830"/>
      <c r="U44" s="830"/>
      <c r="V44" s="830"/>
      <c r="W44" s="830"/>
      <c r="X44" s="830"/>
      <c r="Y44" s="830"/>
      <c r="Z44" s="830"/>
      <c r="AA44" s="830"/>
      <c r="AB44" s="830"/>
      <c r="AC44" s="830"/>
      <c r="AD44" s="830"/>
      <c r="AE44" s="830"/>
      <c r="AF44" s="830"/>
      <c r="AG44" s="830"/>
      <c r="AH44" s="830"/>
      <c r="AI44" s="830"/>
      <c r="AJ44" s="830"/>
      <c r="AK44" s="830"/>
      <c r="AL44" s="830"/>
      <c r="AM44" s="830"/>
      <c r="AN44" s="830"/>
      <c r="AO44" s="830"/>
      <c r="AP44" s="830"/>
      <c r="AQ44" s="830"/>
      <c r="AR44" s="830"/>
      <c r="AS44" s="830"/>
      <c r="AT44" s="830"/>
      <c r="AU44" s="830"/>
      <c r="AV44" s="830"/>
      <c r="AW44" s="830"/>
      <c r="AX44" s="830"/>
      <c r="AY44" s="830"/>
      <c r="AZ44" s="830"/>
      <c r="BA44" s="830"/>
      <c r="BB44" s="830"/>
      <c r="BC44" s="830"/>
      <c r="BD44" s="830"/>
      <c r="BE44" s="830"/>
      <c r="BF44" s="830"/>
      <c r="BG44" s="830"/>
      <c r="BH44" s="831"/>
      <c r="BI44" s="831"/>
      <c r="BJ44" s="831"/>
      <c r="BK44" s="831"/>
      <c r="BL44" s="831"/>
      <c r="BM44" s="831"/>
      <c r="BN44" s="831"/>
      <c r="BO44" s="831"/>
      <c r="BP44" s="831"/>
      <c r="BQ44" s="831"/>
      <c r="BR44" s="831"/>
      <c r="BS44" s="831"/>
      <c r="BT44" s="831"/>
      <c r="BU44" s="831"/>
      <c r="BV44" s="831"/>
      <c r="BW44" s="831"/>
      <c r="BX44" s="831"/>
      <c r="BY44" s="831"/>
      <c r="BZ44" s="831"/>
      <c r="CA44" s="831"/>
      <c r="CB44" s="831"/>
      <c r="CC44" s="831"/>
    </row>
    <row r="45" spans="1:81" s="871" customFormat="1" ht="18" customHeight="1" thickBot="1" x14ac:dyDescent="0.35">
      <c r="A45" s="919"/>
      <c r="B45" s="1155"/>
      <c r="C45" s="1155"/>
      <c r="D45" s="1156"/>
      <c r="E45" s="907">
        <v>2023</v>
      </c>
      <c r="F45" s="914" t="s">
        <v>871</v>
      </c>
      <c r="G45" s="927"/>
      <c r="H45" s="915"/>
      <c r="I45" s="916"/>
      <c r="J45" s="1041"/>
      <c r="K45" s="845"/>
      <c r="L45" s="828"/>
      <c r="M45" s="828"/>
      <c r="N45" s="828"/>
      <c r="O45" s="828"/>
      <c r="P45" s="829"/>
      <c r="Q45" s="830"/>
      <c r="R45" s="830"/>
      <c r="S45" s="830"/>
      <c r="T45" s="830"/>
      <c r="U45" s="830"/>
      <c r="V45" s="830"/>
      <c r="W45" s="830"/>
      <c r="X45" s="830"/>
      <c r="Y45" s="830"/>
      <c r="Z45" s="830"/>
      <c r="AA45" s="830"/>
      <c r="AB45" s="830"/>
      <c r="AC45" s="830"/>
      <c r="AD45" s="830"/>
      <c r="AE45" s="830"/>
      <c r="AF45" s="830"/>
      <c r="AG45" s="830"/>
      <c r="AH45" s="830"/>
      <c r="AI45" s="830"/>
      <c r="AJ45" s="830"/>
      <c r="AK45" s="830"/>
      <c r="AL45" s="830"/>
      <c r="AM45" s="830"/>
      <c r="AN45" s="830"/>
      <c r="AO45" s="830"/>
      <c r="AP45" s="830"/>
      <c r="AQ45" s="830"/>
      <c r="AR45" s="830"/>
      <c r="AS45" s="830"/>
      <c r="AT45" s="830"/>
      <c r="AU45" s="830"/>
      <c r="AV45" s="830"/>
      <c r="AW45" s="830"/>
      <c r="AX45" s="830"/>
      <c r="AY45" s="830"/>
      <c r="AZ45" s="830"/>
      <c r="BA45" s="830"/>
      <c r="BB45" s="830"/>
      <c r="BC45" s="830"/>
      <c r="BD45" s="830"/>
      <c r="BE45" s="830"/>
      <c r="BF45" s="830"/>
      <c r="BG45" s="830"/>
      <c r="BH45" s="831"/>
      <c r="BI45" s="831"/>
      <c r="BJ45" s="831"/>
      <c r="BK45" s="831"/>
      <c r="BL45" s="831"/>
      <c r="BM45" s="831"/>
      <c r="BN45" s="831"/>
      <c r="BO45" s="831"/>
      <c r="BP45" s="831"/>
      <c r="BQ45" s="831"/>
      <c r="BR45" s="831"/>
      <c r="BS45" s="831"/>
      <c r="BT45" s="831"/>
      <c r="BU45" s="831"/>
      <c r="BV45" s="831"/>
      <c r="BW45" s="831"/>
      <c r="BX45" s="831"/>
      <c r="BY45" s="831"/>
      <c r="BZ45" s="831"/>
      <c r="CA45" s="831"/>
      <c r="CB45" s="831"/>
      <c r="CC45" s="831"/>
    </row>
    <row r="46" spans="1:81" s="871" customFormat="1" ht="99.75" customHeight="1" thickBot="1" x14ac:dyDescent="0.35">
      <c r="A46" s="848">
        <v>21</v>
      </c>
      <c r="B46" s="1151" t="s">
        <v>2650</v>
      </c>
      <c r="C46" s="1152"/>
      <c r="D46" s="1152"/>
      <c r="E46" s="939" t="str">
        <f>IF(Import!L225&gt;0,"Yes","No")</f>
        <v>No</v>
      </c>
      <c r="F46" s="925"/>
      <c r="G46" s="891" t="str">
        <f>E46</f>
        <v>No</v>
      </c>
      <c r="H46" s="930" t="s">
        <v>1938</v>
      </c>
      <c r="I46" s="904" t="s">
        <v>1557</v>
      </c>
      <c r="J46" s="825"/>
      <c r="K46" s="845"/>
      <c r="L46" s="828"/>
      <c r="M46" s="931"/>
      <c r="N46" s="828"/>
      <c r="O46" s="828"/>
      <c r="P46" s="829"/>
      <c r="Q46" s="830"/>
      <c r="R46" s="830"/>
      <c r="S46" s="830"/>
      <c r="T46" s="830"/>
      <c r="U46" s="830"/>
      <c r="V46" s="830"/>
      <c r="W46" s="830"/>
      <c r="X46" s="830"/>
      <c r="Y46" s="830"/>
      <c r="Z46" s="830"/>
      <c r="AA46" s="830"/>
      <c r="AB46" s="830"/>
      <c r="AC46" s="830"/>
      <c r="AD46" s="830"/>
      <c r="AE46" s="830"/>
      <c r="AF46" s="830"/>
      <c r="AG46" s="830"/>
      <c r="AH46" s="830"/>
      <c r="AI46" s="830"/>
      <c r="AJ46" s="830"/>
      <c r="AK46" s="830"/>
      <c r="AL46" s="830"/>
      <c r="AM46" s="830"/>
      <c r="AN46" s="830"/>
      <c r="AO46" s="830"/>
      <c r="AP46" s="830"/>
      <c r="AQ46" s="830"/>
      <c r="AR46" s="830"/>
      <c r="AS46" s="830"/>
      <c r="AT46" s="830"/>
      <c r="AU46" s="830"/>
      <c r="AV46" s="830"/>
      <c r="AW46" s="830"/>
      <c r="AX46" s="830"/>
      <c r="AY46" s="830"/>
      <c r="AZ46" s="830"/>
      <c r="BA46" s="830"/>
      <c r="BB46" s="830"/>
      <c r="BC46" s="830"/>
      <c r="BD46" s="830"/>
      <c r="BE46" s="830"/>
      <c r="BF46" s="830"/>
      <c r="BG46" s="830"/>
      <c r="BH46" s="831"/>
      <c r="BI46" s="831"/>
      <c r="BJ46" s="831"/>
      <c r="BK46" s="831"/>
      <c r="BL46" s="831"/>
      <c r="BM46" s="831"/>
      <c r="BN46" s="831"/>
      <c r="BO46" s="831"/>
      <c r="BP46" s="831"/>
      <c r="BQ46" s="831"/>
      <c r="BR46" s="831"/>
      <c r="BS46" s="831"/>
      <c r="BT46" s="831"/>
      <c r="BU46" s="831"/>
      <c r="BV46" s="831"/>
      <c r="BW46" s="831"/>
      <c r="BX46" s="831"/>
      <c r="BY46" s="831"/>
      <c r="BZ46" s="831"/>
      <c r="CA46" s="831"/>
      <c r="CB46" s="831"/>
      <c r="CC46" s="831"/>
    </row>
    <row r="47" spans="1:81" s="936" customFormat="1" x14ac:dyDescent="0.3">
      <c r="A47" s="932"/>
      <c r="B47" s="933"/>
      <c r="C47" s="933"/>
      <c r="D47" s="933"/>
      <c r="E47" s="933"/>
      <c r="F47" s="933"/>
      <c r="G47" s="933"/>
      <c r="H47" s="933"/>
      <c r="I47" s="934"/>
      <c r="J47" s="934"/>
      <c r="K47" s="935"/>
      <c r="L47" s="828"/>
      <c r="M47" s="828"/>
      <c r="N47" s="828"/>
      <c r="O47" s="828"/>
      <c r="P47" s="829"/>
      <c r="Q47" s="830"/>
      <c r="R47" s="830"/>
      <c r="S47" s="830"/>
      <c r="T47" s="830"/>
      <c r="U47" s="830"/>
      <c r="V47" s="830"/>
      <c r="W47" s="830"/>
      <c r="X47" s="830"/>
      <c r="Y47" s="830"/>
      <c r="Z47" s="830"/>
      <c r="AA47" s="830"/>
      <c r="AB47" s="830"/>
      <c r="AC47" s="830"/>
      <c r="AD47" s="830"/>
      <c r="AE47" s="830"/>
      <c r="AF47" s="830"/>
      <c r="AG47" s="830"/>
      <c r="AH47" s="830"/>
      <c r="AI47" s="830"/>
      <c r="AJ47" s="830"/>
      <c r="AK47" s="830"/>
      <c r="AL47" s="830"/>
      <c r="AM47" s="830"/>
      <c r="AN47" s="830"/>
      <c r="AO47" s="830"/>
      <c r="AP47" s="830"/>
      <c r="AQ47" s="830"/>
      <c r="AR47" s="830"/>
      <c r="AS47" s="830"/>
      <c r="AT47" s="830"/>
      <c r="AU47" s="830"/>
      <c r="AV47" s="830"/>
      <c r="AW47" s="830"/>
      <c r="AX47" s="830"/>
      <c r="AY47" s="830"/>
      <c r="AZ47" s="830"/>
      <c r="BA47" s="830"/>
      <c r="BB47" s="830"/>
      <c r="BC47" s="830"/>
      <c r="BD47" s="830"/>
      <c r="BE47" s="830"/>
      <c r="BF47" s="830"/>
      <c r="BG47" s="830"/>
      <c r="BH47" s="831"/>
      <c r="BI47" s="831"/>
      <c r="BJ47" s="831"/>
      <c r="BK47" s="831"/>
      <c r="BL47" s="831"/>
      <c r="BM47" s="831"/>
      <c r="BN47" s="831"/>
      <c r="BO47" s="831"/>
      <c r="BP47" s="831"/>
      <c r="BQ47" s="831"/>
      <c r="BR47" s="831"/>
      <c r="BS47" s="831"/>
      <c r="BT47" s="831"/>
      <c r="BU47" s="831"/>
      <c r="BV47" s="831"/>
      <c r="BW47" s="831"/>
      <c r="BX47" s="831"/>
      <c r="BY47" s="831"/>
      <c r="BZ47" s="831"/>
      <c r="CA47" s="831"/>
      <c r="CB47" s="831"/>
      <c r="CC47" s="831"/>
    </row>
  </sheetData>
  <sheetProtection algorithmName="SHA-512" hashValue="2GrYapw0PV3a/PALySyAfFcagOL1p71ctbx2AKMtU9+TeEwrexrDgl7d5qjOXOPUS6nQNa0fJ017uJhkiMRdww==" saltValue="hWCRa0vXbonTHdVQcOCMGQ==" spinCount="100000" sheet="1" objects="1" scenarios="1"/>
  <mergeCells count="40">
    <mergeCell ref="B38:D38"/>
    <mergeCell ref="B11:E11"/>
    <mergeCell ref="B13:E13"/>
    <mergeCell ref="B46:D46"/>
    <mergeCell ref="B43:D43"/>
    <mergeCell ref="B44:D44"/>
    <mergeCell ref="B45:D45"/>
    <mergeCell ref="B39:D39"/>
    <mergeCell ref="B40:D40"/>
    <mergeCell ref="B41:D41"/>
    <mergeCell ref="B42:D42"/>
    <mergeCell ref="B37:D37"/>
    <mergeCell ref="B31:D31"/>
    <mergeCell ref="B32:D32"/>
    <mergeCell ref="B35:D35"/>
    <mergeCell ref="B36:D36"/>
    <mergeCell ref="B8:G9"/>
    <mergeCell ref="B10:E10"/>
    <mergeCell ref="B12:E12"/>
    <mergeCell ref="I1:J1"/>
    <mergeCell ref="B1:H1"/>
    <mergeCell ref="B2:H2"/>
    <mergeCell ref="C4:E4"/>
    <mergeCell ref="F4:G5"/>
    <mergeCell ref="H4:H5"/>
    <mergeCell ref="C5:E5"/>
    <mergeCell ref="I2:I7"/>
    <mergeCell ref="J2:J7"/>
    <mergeCell ref="B6:H7"/>
    <mergeCell ref="J8:J9"/>
    <mergeCell ref="H8:H9"/>
    <mergeCell ref="B15:E15"/>
    <mergeCell ref="B14:E14"/>
    <mergeCell ref="B34:D34"/>
    <mergeCell ref="B33:D33"/>
    <mergeCell ref="B20:D20"/>
    <mergeCell ref="B24:E24"/>
    <mergeCell ref="B25:E25"/>
    <mergeCell ref="B29:D29"/>
    <mergeCell ref="B30:D30"/>
  </mergeCells>
  <conditionalFormatting sqref="G16">
    <cfRule type="cellIs" dxfId="43" priority="74" operator="lessThan">
      <formula>1</formula>
    </cfRule>
  </conditionalFormatting>
  <conditionalFormatting sqref="G18">
    <cfRule type="cellIs" dxfId="42" priority="73" operator="lessThan">
      <formula>0</formula>
    </cfRule>
  </conditionalFormatting>
  <conditionalFormatting sqref="G19:G20">
    <cfRule type="cellIs" dxfId="41" priority="72" operator="lessThan">
      <formula>0.16</formula>
    </cfRule>
  </conditionalFormatting>
  <conditionalFormatting sqref="G25">
    <cfRule type="cellIs" dxfId="40" priority="71" operator="lessThan">
      <formula>1</formula>
    </cfRule>
  </conditionalFormatting>
  <conditionalFormatting sqref="G27">
    <cfRule type="cellIs" dxfId="39" priority="70" operator="lessThan">
      <formula>0</formula>
    </cfRule>
  </conditionalFormatting>
  <conditionalFormatting sqref="G28">
    <cfRule type="cellIs" dxfId="38" priority="69" operator="lessThan">
      <formula>0.16</formula>
    </cfRule>
  </conditionalFormatting>
  <conditionalFormatting sqref="G32">
    <cfRule type="cellIs" dxfId="37" priority="67" operator="lessThan">
      <formula>-0.03</formula>
    </cfRule>
  </conditionalFormatting>
  <conditionalFormatting sqref="G38">
    <cfRule type="cellIs" dxfId="36" priority="65" operator="equal">
      <formula>"Yes"</formula>
    </cfRule>
  </conditionalFormatting>
  <conditionalFormatting sqref="G42">
    <cfRule type="cellIs" dxfId="35" priority="64" operator="equal">
      <formula>"Yes"</formula>
    </cfRule>
  </conditionalFormatting>
  <conditionalFormatting sqref="G36">
    <cfRule type="cellIs" dxfId="34" priority="63" operator="equal">
      <formula>"Yes"</formula>
    </cfRule>
  </conditionalFormatting>
  <conditionalFormatting sqref="G45">
    <cfRule type="cellIs" dxfId="33" priority="62" operator="equal">
      <formula>"Yes"</formula>
    </cfRule>
  </conditionalFormatting>
  <conditionalFormatting sqref="G44">
    <cfRule type="cellIs" dxfId="32" priority="61" operator="equal">
      <formula>"Yes"</formula>
    </cfRule>
  </conditionalFormatting>
  <conditionalFormatting sqref="G34">
    <cfRule type="cellIs" dxfId="31" priority="58" operator="equal">
      <formula>"Decrease"</formula>
    </cfRule>
  </conditionalFormatting>
  <conditionalFormatting sqref="G20">
    <cfRule type="cellIs" dxfId="30" priority="6" operator="equal">
      <formula>$E$21="Yes"</formula>
    </cfRule>
    <cfRule type="expression" dxfId="29" priority="53">
      <formula>E20="Yes"</formula>
    </cfRule>
  </conditionalFormatting>
  <conditionalFormatting sqref="E36 G36">
    <cfRule type="containsText" dxfId="28" priority="52" operator="containsText" text="This question must be answered">
      <formula>NOT(ISERROR(SEARCH("This question must be answered",E36)))</formula>
    </cfRule>
  </conditionalFormatting>
  <conditionalFormatting sqref="E34 G34">
    <cfRule type="containsText" dxfId="27" priority="51" operator="containsText" text="This question must be answered">
      <formula>NOT(ISERROR(SEARCH("This question must be answered",E34)))</formula>
    </cfRule>
  </conditionalFormatting>
  <conditionalFormatting sqref="E32 G32">
    <cfRule type="containsText" dxfId="26" priority="50" operator="containsText" text="This question must be answered">
      <formula>NOT(ISERROR(SEARCH("This question must be answered",E32)))</formula>
    </cfRule>
  </conditionalFormatting>
  <conditionalFormatting sqref="E42 G42">
    <cfRule type="containsText" dxfId="25" priority="47" operator="containsText" text="This question must be answered">
      <formula>NOT(ISERROR(SEARCH("This question must be answered",E42)))</formula>
    </cfRule>
  </conditionalFormatting>
  <conditionalFormatting sqref="G46">
    <cfRule type="cellIs" dxfId="24" priority="45" operator="equal">
      <formula>"Yes"</formula>
    </cfRule>
  </conditionalFormatting>
  <conditionalFormatting sqref="G46">
    <cfRule type="containsText" dxfId="23" priority="44" operator="containsText" text="This question must be answered">
      <formula>NOT(ISERROR(SEARCH("This question must be answered",G46)))</formula>
    </cfRule>
  </conditionalFormatting>
  <conditionalFormatting sqref="G13">
    <cfRule type="containsText" dxfId="22" priority="43" operator="containsText" text="Operations">
      <formula>NOT(ISERROR(SEARCH("Operations",G13)))</formula>
    </cfRule>
  </conditionalFormatting>
  <conditionalFormatting sqref="G14">
    <cfRule type="cellIs" dxfId="21" priority="42" operator="lessThan">
      <formula>0</formula>
    </cfRule>
  </conditionalFormatting>
  <conditionalFormatting sqref="E39:E40">
    <cfRule type="containsText" dxfId="20" priority="41" operator="containsText" text="This question must be answered">
      <formula>NOT(ISERROR(SEARCH("This question must be answered",E39)))</formula>
    </cfRule>
  </conditionalFormatting>
  <conditionalFormatting sqref="G39:G40">
    <cfRule type="containsText" dxfId="19" priority="39" operator="containsText" text="No">
      <formula>NOT(ISERROR(SEARCH("No",G39)))</formula>
    </cfRule>
    <cfRule type="containsText" dxfId="18" priority="40" operator="containsText" text="This question must be answered">
      <formula>NOT(ISERROR(SEARCH("This question must be answered",G39)))</formula>
    </cfRule>
  </conditionalFormatting>
  <conditionalFormatting sqref="G11">
    <cfRule type="expression" dxfId="17" priority="30">
      <formula>$O$11=1</formula>
    </cfRule>
  </conditionalFormatting>
  <conditionalFormatting sqref="I9">
    <cfRule type="expression" dxfId="16" priority="137">
      <formula>IF($L$9&lt;0.25,)</formula>
    </cfRule>
  </conditionalFormatting>
  <conditionalFormatting sqref="C18">
    <cfRule type="cellIs" dxfId="15" priority="26" operator="equal">
      <formula>"Prior year data not submitted as of workbook published date."</formula>
    </cfRule>
  </conditionalFormatting>
  <conditionalFormatting sqref="D18">
    <cfRule type="cellIs" dxfId="14" priority="25" operator="equal">
      <formula>"Prior year data not submitted as of workbook published date."</formula>
    </cfRule>
  </conditionalFormatting>
  <conditionalFormatting sqref="L19:L21">
    <cfRule type="cellIs" dxfId="13" priority="24" operator="equal">
      <formula>"Priod year data not submitted as of workbook published date."</formula>
    </cfRule>
  </conditionalFormatting>
  <conditionalFormatting sqref="D19:D21">
    <cfRule type="cellIs" dxfId="12" priority="20" operator="equal">
      <formula>"Prior year data not submitted as of workbook published date."</formula>
    </cfRule>
  </conditionalFormatting>
  <conditionalFormatting sqref="C19:C21">
    <cfRule type="cellIs" dxfId="11" priority="19" operator="equal">
      <formula>"Prior year data not submitted as of workbook published date."</formula>
    </cfRule>
  </conditionalFormatting>
  <conditionalFormatting sqref="C27">
    <cfRule type="cellIs" dxfId="10" priority="18" operator="equal">
      <formula>"Prior year data not submitted as of workbook published date."</formula>
    </cfRule>
  </conditionalFormatting>
  <conditionalFormatting sqref="D27">
    <cfRule type="cellIs" dxfId="9" priority="17" operator="equal">
      <formula>"Prior year data not submitted as of workbook published date."</formula>
    </cfRule>
  </conditionalFormatting>
  <conditionalFormatting sqref="D28">
    <cfRule type="cellIs" dxfId="8" priority="13" operator="equal">
      <formula>"Prior year data not submitted as of  workbook published date."</formula>
    </cfRule>
  </conditionalFormatting>
  <conditionalFormatting sqref="C28">
    <cfRule type="cellIs" dxfId="7" priority="11" operator="equal">
      <formula>"Prior year data not submitted as of workbook published date."</formula>
    </cfRule>
  </conditionalFormatting>
  <conditionalFormatting sqref="F21">
    <cfRule type="expression" dxfId="6" priority="10">
      <formula>D21="Yes"</formula>
    </cfRule>
  </conditionalFormatting>
  <conditionalFormatting sqref="D21">
    <cfRule type="cellIs" dxfId="5" priority="9" operator="equal">
      <formula>"Prior year data not submitted as of workbook published date."</formula>
    </cfRule>
  </conditionalFormatting>
  <conditionalFormatting sqref="C21">
    <cfRule type="cellIs" dxfId="4" priority="8" operator="equal">
      <formula>"Prior year data not submitted as of workbook published date."</formula>
    </cfRule>
  </conditionalFormatting>
  <conditionalFormatting sqref="G21">
    <cfRule type="cellIs" dxfId="3" priority="4" operator="lessThan">
      <formula>0.5</formula>
    </cfRule>
  </conditionalFormatting>
  <conditionalFormatting sqref="M19">
    <cfRule type="cellIs" dxfId="2" priority="3" operator="equal">
      <formula>"Priod year data not submitted as of workbook published date."</formula>
    </cfRule>
  </conditionalFormatting>
  <conditionalFormatting sqref="G30">
    <cfRule type="cellIs" dxfId="1" priority="2" operator="equal">
      <formula>"Late"</formula>
    </cfRule>
  </conditionalFormatting>
  <conditionalFormatting sqref="E30 G30">
    <cfRule type="containsText" dxfId="0" priority="1" operator="containsText" text="This question must be answered">
      <formula>NOT(ISERROR(SEARCH("This question must be answered",E30)))</formula>
    </cfRule>
  </conditionalFormatting>
  <pageMargins left="0.25" right="0.25" top="0.05" bottom="0.25" header="0.3" footer="0.25"/>
  <pageSetup scale="58" fitToHeight="0" orientation="landscape" r:id="rId1"/>
  <headerFooter>
    <oddFooter>&amp;C&amp;12&amp;P</oddFooter>
  </headerFooter>
  <rowBreaks count="5" manualBreakCount="5">
    <brk id="11" max="7" man="1"/>
    <brk id="14" max="7" man="1"/>
    <brk id="23" max="7" man="1"/>
    <brk id="28" max="7" man="1"/>
    <brk id="40"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6</xdr:col>
                <xdr:colOff>822960</xdr:colOff>
                <xdr:row>8</xdr:row>
                <xdr:rowOff>1531620</xdr:rowOff>
              </to>
            </anchor>
          </objectPr>
        </oleObject>
      </mc:Choice>
      <mc:Fallback>
        <oleObject progId="Excel.Sheet.12" shapeId="4812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topLeftCell="A28" workbookViewId="0">
      <selection activeCell="D10" sqref="D10"/>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402</v>
      </c>
      <c r="B1" s="180" t="s">
        <v>475</v>
      </c>
      <c r="C1" s="183" t="s">
        <v>465</v>
      </c>
      <c r="D1" s="184" t="s">
        <v>607</v>
      </c>
      <c r="E1" s="180" t="s">
        <v>1604</v>
      </c>
    </row>
    <row r="3" spans="1:11" ht="23.4" x14ac:dyDescent="0.45">
      <c r="A3" s="180">
        <v>50002</v>
      </c>
      <c r="B3" s="180" t="s">
        <v>1156</v>
      </c>
      <c r="C3" s="180">
        <v>50</v>
      </c>
      <c r="D3" s="155" t="s">
        <v>50</v>
      </c>
      <c r="E3" s="189" t="s">
        <v>625</v>
      </c>
    </row>
    <row r="4" spans="1:11" x14ac:dyDescent="0.3">
      <c r="A4" s="180">
        <v>50006</v>
      </c>
      <c r="B4" s="180" t="s">
        <v>477</v>
      </c>
      <c r="C4" s="180">
        <v>50</v>
      </c>
      <c r="D4" s="155" t="s">
        <v>50</v>
      </c>
    </row>
    <row r="5" spans="1:11" x14ac:dyDescent="0.3">
      <c r="A5" s="180">
        <v>50008</v>
      </c>
      <c r="B5" s="180" t="s">
        <v>1162</v>
      </c>
      <c r="C5" s="180">
        <v>50</v>
      </c>
      <c r="D5" s="155" t="s">
        <v>50</v>
      </c>
    </row>
    <row r="6" spans="1:11" x14ac:dyDescent="0.3">
      <c r="A6" s="180">
        <v>50013</v>
      </c>
      <c r="B6" s="527" t="s">
        <v>479</v>
      </c>
      <c r="C6" s="180">
        <v>50</v>
      </c>
      <c r="D6" s="155" t="s">
        <v>50</v>
      </c>
      <c r="K6" s="527"/>
    </row>
    <row r="7" spans="1:11" x14ac:dyDescent="0.3">
      <c r="A7" s="180">
        <v>50016</v>
      </c>
      <c r="B7" s="527" t="s">
        <v>817</v>
      </c>
      <c r="C7" s="180">
        <v>50</v>
      </c>
      <c r="D7" s="155" t="s">
        <v>50</v>
      </c>
      <c r="K7" s="527"/>
    </row>
    <row r="8" spans="1:11" x14ac:dyDescent="0.3">
      <c r="A8" s="180">
        <v>50017</v>
      </c>
      <c r="B8" s="180" t="s">
        <v>1172</v>
      </c>
      <c r="C8" s="180">
        <v>50</v>
      </c>
      <c r="D8" s="155" t="s">
        <v>50</v>
      </c>
    </row>
    <row r="9" spans="1:11" x14ac:dyDescent="0.3">
      <c r="A9" s="180">
        <v>50019</v>
      </c>
      <c r="B9" s="527" t="s">
        <v>818</v>
      </c>
      <c r="C9" s="180">
        <v>50</v>
      </c>
      <c r="D9" s="155" t="s">
        <v>50</v>
      </c>
      <c r="K9" s="527"/>
    </row>
    <row r="10" spans="1:11" x14ac:dyDescent="0.3">
      <c r="A10" s="180">
        <v>50504</v>
      </c>
      <c r="B10" s="180" t="s">
        <v>480</v>
      </c>
      <c r="C10" s="180">
        <v>50</v>
      </c>
      <c r="D10" s="155" t="s">
        <v>50</v>
      </c>
    </row>
    <row r="11" spans="1:11" x14ac:dyDescent="0.3">
      <c r="A11" s="180">
        <v>50021</v>
      </c>
      <c r="B11" s="180" t="s">
        <v>819</v>
      </c>
      <c r="C11" s="180">
        <v>50</v>
      </c>
      <c r="D11" s="155" t="s">
        <v>50</v>
      </c>
    </row>
    <row r="12" spans="1:11" x14ac:dyDescent="0.3">
      <c r="A12" s="180">
        <v>50024</v>
      </c>
      <c r="B12" s="527" t="s">
        <v>481</v>
      </c>
      <c r="C12" s="180">
        <v>50</v>
      </c>
      <c r="D12" s="155" t="s">
        <v>50</v>
      </c>
      <c r="K12" s="527"/>
    </row>
    <row r="13" spans="1:11" x14ac:dyDescent="0.3">
      <c r="A13" s="180">
        <v>50029</v>
      </c>
      <c r="B13" s="180" t="s">
        <v>482</v>
      </c>
      <c r="C13" s="180">
        <v>50</v>
      </c>
      <c r="D13" s="155" t="s">
        <v>50</v>
      </c>
    </row>
    <row r="14" spans="1:11" x14ac:dyDescent="0.3">
      <c r="A14" s="180">
        <v>50031</v>
      </c>
      <c r="B14" s="180" t="s">
        <v>820</v>
      </c>
      <c r="C14" s="180">
        <v>50</v>
      </c>
      <c r="D14" s="155" t="s">
        <v>50</v>
      </c>
    </row>
    <row r="15" spans="1:11" x14ac:dyDescent="0.3">
      <c r="A15" s="180">
        <v>50038</v>
      </c>
      <c r="B15" s="180" t="s">
        <v>486</v>
      </c>
      <c r="C15" s="180">
        <v>50</v>
      </c>
      <c r="D15" s="155" t="s">
        <v>50</v>
      </c>
    </row>
    <row r="16" spans="1:11" x14ac:dyDescent="0.3">
      <c r="A16" s="180">
        <v>50040</v>
      </c>
      <c r="B16" s="180" t="s">
        <v>1190</v>
      </c>
      <c r="C16" s="180">
        <v>50</v>
      </c>
      <c r="D16" s="155" t="s">
        <v>50</v>
      </c>
    </row>
    <row r="17" spans="1:11" x14ac:dyDescent="0.3">
      <c r="A17" s="180">
        <v>50506</v>
      </c>
      <c r="B17" s="180" t="s">
        <v>487</v>
      </c>
      <c r="C17" s="180">
        <v>50</v>
      </c>
      <c r="D17" s="155" t="s">
        <v>50</v>
      </c>
    </row>
    <row r="18" spans="1:11" x14ac:dyDescent="0.3">
      <c r="A18" s="180">
        <v>50045</v>
      </c>
      <c r="B18" s="180" t="s">
        <v>488</v>
      </c>
      <c r="C18" s="180">
        <v>50</v>
      </c>
      <c r="D18" s="155" t="s">
        <v>50</v>
      </c>
    </row>
    <row r="19" spans="1:11" x14ac:dyDescent="0.3">
      <c r="A19" s="180">
        <v>50050</v>
      </c>
      <c r="B19" s="527" t="s">
        <v>1199</v>
      </c>
      <c r="C19" s="180">
        <v>50</v>
      </c>
      <c r="D19" s="155" t="s">
        <v>50</v>
      </c>
      <c r="K19" s="527"/>
    </row>
    <row r="20" spans="1:11" x14ac:dyDescent="0.3">
      <c r="A20" s="180">
        <v>50055</v>
      </c>
      <c r="B20" s="180" t="s">
        <v>821</v>
      </c>
      <c r="C20" s="180">
        <v>50</v>
      </c>
      <c r="D20" s="155" t="s">
        <v>50</v>
      </c>
    </row>
    <row r="21" spans="1:11" x14ac:dyDescent="0.3">
      <c r="A21" s="180">
        <v>50062</v>
      </c>
      <c r="B21" s="180" t="s">
        <v>1212</v>
      </c>
      <c r="C21" s="180">
        <v>50</v>
      </c>
      <c r="D21" s="155" t="s">
        <v>50</v>
      </c>
    </row>
    <row r="22" spans="1:11" x14ac:dyDescent="0.3">
      <c r="A22" s="180">
        <v>50063</v>
      </c>
      <c r="B22" s="180" t="s">
        <v>1213</v>
      </c>
      <c r="C22" s="180">
        <v>50</v>
      </c>
      <c r="D22" s="155" t="s">
        <v>50</v>
      </c>
    </row>
    <row r="23" spans="1:11" x14ac:dyDescent="0.3">
      <c r="A23" s="180">
        <v>50467</v>
      </c>
      <c r="B23" s="180" t="s">
        <v>491</v>
      </c>
      <c r="C23" s="180">
        <v>50</v>
      </c>
      <c r="D23" s="155" t="s">
        <v>50</v>
      </c>
    </row>
    <row r="24" spans="1:11" x14ac:dyDescent="0.3">
      <c r="A24" s="180">
        <v>50510</v>
      </c>
      <c r="B24" s="180" t="s">
        <v>492</v>
      </c>
      <c r="C24" s="180">
        <v>50</v>
      </c>
      <c r="D24" s="155" t="s">
        <v>50</v>
      </c>
    </row>
    <row r="25" spans="1:11" x14ac:dyDescent="0.3">
      <c r="A25" s="180">
        <v>50078</v>
      </c>
      <c r="B25" s="180" t="s">
        <v>823</v>
      </c>
      <c r="C25" s="180">
        <v>50</v>
      </c>
      <c r="D25" s="155" t="s">
        <v>50</v>
      </c>
    </row>
    <row r="26" spans="1:11" x14ac:dyDescent="0.3">
      <c r="A26" s="180">
        <v>50468</v>
      </c>
      <c r="B26" s="527" t="s">
        <v>825</v>
      </c>
      <c r="C26" s="180">
        <v>50</v>
      </c>
      <c r="D26" s="155" t="s">
        <v>50</v>
      </c>
      <c r="K26" s="527"/>
    </row>
    <row r="27" spans="1:11" x14ac:dyDescent="0.3">
      <c r="A27" s="180">
        <v>50086</v>
      </c>
      <c r="B27" s="180" t="s">
        <v>494</v>
      </c>
      <c r="C27" s="180">
        <v>50</v>
      </c>
      <c r="D27" s="155" t="s">
        <v>50</v>
      </c>
    </row>
    <row r="28" spans="1:11" x14ac:dyDescent="0.3">
      <c r="A28" s="180">
        <v>50087</v>
      </c>
      <c r="B28" s="180" t="s">
        <v>495</v>
      </c>
      <c r="C28" s="180">
        <v>50</v>
      </c>
      <c r="D28" s="155" t="s">
        <v>50</v>
      </c>
    </row>
    <row r="29" spans="1:11" x14ac:dyDescent="0.3">
      <c r="A29" s="180">
        <v>50091</v>
      </c>
      <c r="B29" s="527" t="s">
        <v>826</v>
      </c>
      <c r="C29" s="180">
        <v>50</v>
      </c>
      <c r="D29" s="155" t="s">
        <v>50</v>
      </c>
      <c r="K29" s="527"/>
    </row>
    <row r="30" spans="1:11" x14ac:dyDescent="0.3">
      <c r="A30" s="180">
        <v>50511</v>
      </c>
      <c r="B30" s="180" t="s">
        <v>1237</v>
      </c>
      <c r="C30" s="180">
        <v>50</v>
      </c>
      <c r="D30" s="155" t="s">
        <v>50</v>
      </c>
    </row>
    <row r="31" spans="1:11" x14ac:dyDescent="0.3">
      <c r="A31" s="180">
        <v>50095</v>
      </c>
      <c r="B31" s="180" t="s">
        <v>1242</v>
      </c>
      <c r="C31" s="180">
        <v>50</v>
      </c>
      <c r="D31" s="155" t="s">
        <v>50</v>
      </c>
    </row>
    <row r="32" spans="1:11" x14ac:dyDescent="0.3">
      <c r="A32" s="180">
        <v>50098</v>
      </c>
      <c r="B32" s="180" t="s">
        <v>827</v>
      </c>
      <c r="C32" s="180">
        <v>50</v>
      </c>
      <c r="D32" s="155" t="s">
        <v>50</v>
      </c>
    </row>
    <row r="33" spans="1:11" x14ac:dyDescent="0.3">
      <c r="A33" s="180">
        <v>50106</v>
      </c>
      <c r="B33" s="180" t="s">
        <v>497</v>
      </c>
      <c r="C33" s="180">
        <v>50</v>
      </c>
      <c r="D33" s="155" t="s">
        <v>50</v>
      </c>
    </row>
    <row r="34" spans="1:11" x14ac:dyDescent="0.3">
      <c r="A34" s="180">
        <v>50461</v>
      </c>
      <c r="B34" s="180" t="s">
        <v>1256</v>
      </c>
      <c r="C34" s="180">
        <v>50</v>
      </c>
      <c r="D34" s="155" t="s">
        <v>50</v>
      </c>
    </row>
    <row r="35" spans="1:11" x14ac:dyDescent="0.3">
      <c r="A35" s="180">
        <v>50116</v>
      </c>
      <c r="B35" s="180" t="s">
        <v>829</v>
      </c>
      <c r="C35" s="180">
        <v>50</v>
      </c>
      <c r="D35" s="155" t="s">
        <v>50</v>
      </c>
    </row>
    <row r="36" spans="1:11" x14ac:dyDescent="0.3">
      <c r="A36" s="180">
        <v>50117</v>
      </c>
      <c r="B36" s="180" t="s">
        <v>1261</v>
      </c>
      <c r="C36" s="180">
        <v>50</v>
      </c>
      <c r="D36" s="155" t="s">
        <v>50</v>
      </c>
    </row>
    <row r="37" spans="1:11" x14ac:dyDescent="0.3">
      <c r="A37" s="180">
        <v>50121</v>
      </c>
      <c r="B37" s="527" t="s">
        <v>502</v>
      </c>
      <c r="C37" s="180">
        <v>50</v>
      </c>
      <c r="D37" s="155" t="s">
        <v>50</v>
      </c>
      <c r="K37" s="527"/>
    </row>
    <row r="38" spans="1:11" x14ac:dyDescent="0.3">
      <c r="A38" s="180">
        <v>50122</v>
      </c>
      <c r="B38" s="180" t="s">
        <v>503</v>
      </c>
      <c r="C38" s="180">
        <v>50</v>
      </c>
      <c r="D38" s="155" t="s">
        <v>50</v>
      </c>
    </row>
    <row r="39" spans="1:11" x14ac:dyDescent="0.3">
      <c r="A39" s="180">
        <v>50125</v>
      </c>
      <c r="B39" s="180" t="s">
        <v>504</v>
      </c>
      <c r="C39" s="180">
        <v>50</v>
      </c>
      <c r="D39" s="155" t="s">
        <v>50</v>
      </c>
    </row>
    <row r="40" spans="1:11" x14ac:dyDescent="0.3">
      <c r="A40" s="180">
        <v>50127</v>
      </c>
      <c r="B40" s="180" t="s">
        <v>831</v>
      </c>
      <c r="C40" s="180">
        <v>50</v>
      </c>
      <c r="D40" s="155" t="s">
        <v>50</v>
      </c>
    </row>
    <row r="41" spans="1:11" x14ac:dyDescent="0.3">
      <c r="A41" s="180">
        <v>50128</v>
      </c>
      <c r="B41" s="527" t="s">
        <v>506</v>
      </c>
      <c r="C41" s="180">
        <v>50</v>
      </c>
      <c r="D41" s="155" t="s">
        <v>50</v>
      </c>
      <c r="K41" s="527"/>
    </row>
    <row r="42" spans="1:11" x14ac:dyDescent="0.3">
      <c r="A42" s="180">
        <v>50129</v>
      </c>
      <c r="B42" s="180" t="s">
        <v>507</v>
      </c>
      <c r="C42" s="180">
        <v>50</v>
      </c>
      <c r="D42" s="155" t="s">
        <v>50</v>
      </c>
    </row>
    <row r="43" spans="1:11" x14ac:dyDescent="0.3">
      <c r="A43" s="180">
        <v>50130</v>
      </c>
      <c r="B43" s="180" t="s">
        <v>508</v>
      </c>
      <c r="C43" s="180">
        <v>50</v>
      </c>
      <c r="D43" s="155" t="s">
        <v>50</v>
      </c>
    </row>
    <row r="44" spans="1:11" x14ac:dyDescent="0.3">
      <c r="A44" s="180">
        <v>50570</v>
      </c>
      <c r="B44" s="180" t="s">
        <v>509</v>
      </c>
      <c r="C44" s="180">
        <v>50</v>
      </c>
      <c r="D44" s="155" t="s">
        <v>50</v>
      </c>
    </row>
    <row r="45" spans="1:11" x14ac:dyDescent="0.3">
      <c r="A45" s="180">
        <v>50137</v>
      </c>
      <c r="B45" s="180" t="s">
        <v>1277</v>
      </c>
      <c r="C45" s="180">
        <v>50</v>
      </c>
      <c r="D45" s="155" t="s">
        <v>50</v>
      </c>
    </row>
    <row r="46" spans="1:11" x14ac:dyDescent="0.3">
      <c r="A46" s="180">
        <v>50549</v>
      </c>
      <c r="B46" s="180" t="s">
        <v>1278</v>
      </c>
      <c r="C46" s="180">
        <v>50</v>
      </c>
      <c r="D46" s="155" t="s">
        <v>50</v>
      </c>
    </row>
    <row r="47" spans="1:11" x14ac:dyDescent="0.3">
      <c r="A47" s="180">
        <v>50141</v>
      </c>
      <c r="B47" s="180" t="s">
        <v>1282</v>
      </c>
      <c r="C47" s="180">
        <v>50</v>
      </c>
      <c r="D47" s="155" t="s">
        <v>50</v>
      </c>
    </row>
    <row r="48" spans="1:11" x14ac:dyDescent="0.3">
      <c r="A48" s="180">
        <v>50142</v>
      </c>
      <c r="B48" s="180" t="s">
        <v>511</v>
      </c>
      <c r="C48" s="180">
        <v>50</v>
      </c>
      <c r="D48" s="155" t="s">
        <v>50</v>
      </c>
    </row>
    <row r="49" spans="1:11" x14ac:dyDescent="0.3">
      <c r="A49" s="180">
        <v>50143</v>
      </c>
      <c r="B49" s="180" t="s">
        <v>512</v>
      </c>
      <c r="C49" s="180">
        <v>50</v>
      </c>
      <c r="D49" s="155" t="s">
        <v>50</v>
      </c>
    </row>
    <row r="50" spans="1:11" x14ac:dyDescent="0.3">
      <c r="A50" s="180">
        <v>50492</v>
      </c>
      <c r="B50" s="180" t="s">
        <v>1284</v>
      </c>
      <c r="C50" s="180">
        <v>50</v>
      </c>
      <c r="D50" s="155" t="s">
        <v>50</v>
      </c>
    </row>
    <row r="51" spans="1:11" x14ac:dyDescent="0.3">
      <c r="A51" s="180">
        <v>50148</v>
      </c>
      <c r="B51" s="180" t="s">
        <v>390</v>
      </c>
      <c r="C51" s="180">
        <v>50</v>
      </c>
      <c r="D51" s="155" t="s">
        <v>50</v>
      </c>
    </row>
    <row r="52" spans="1:11" x14ac:dyDescent="0.3">
      <c r="A52" s="180">
        <v>50151</v>
      </c>
      <c r="B52" s="180" t="s">
        <v>832</v>
      </c>
      <c r="C52" s="180">
        <v>50</v>
      </c>
      <c r="D52" s="155" t="s">
        <v>50</v>
      </c>
    </row>
    <row r="53" spans="1:11" x14ac:dyDescent="0.3">
      <c r="A53" s="180">
        <v>50153</v>
      </c>
      <c r="B53" s="180" t="s">
        <v>513</v>
      </c>
      <c r="C53" s="180">
        <v>50</v>
      </c>
      <c r="D53" s="155" t="s">
        <v>50</v>
      </c>
    </row>
    <row r="54" spans="1:11" x14ac:dyDescent="0.3">
      <c r="A54" s="180">
        <v>50154</v>
      </c>
      <c r="B54" s="527" t="s">
        <v>514</v>
      </c>
      <c r="C54" s="180">
        <v>50</v>
      </c>
      <c r="D54" s="155" t="s">
        <v>50</v>
      </c>
      <c r="K54" s="527"/>
    </row>
    <row r="55" spans="1:11" x14ac:dyDescent="0.3">
      <c r="A55" s="180">
        <v>50517</v>
      </c>
      <c r="B55" s="180" t="s">
        <v>833</v>
      </c>
      <c r="C55" s="180">
        <v>50</v>
      </c>
      <c r="D55" s="155" t="s">
        <v>50</v>
      </c>
    </row>
    <row r="56" spans="1:11" x14ac:dyDescent="0.3">
      <c r="A56" s="180">
        <v>50448</v>
      </c>
      <c r="B56" s="180" t="s">
        <v>515</v>
      </c>
      <c r="C56" s="180">
        <v>50</v>
      </c>
      <c r="D56" s="155" t="s">
        <v>50</v>
      </c>
    </row>
    <row r="57" spans="1:11" x14ac:dyDescent="0.3">
      <c r="A57" s="180">
        <v>50162</v>
      </c>
      <c r="B57" s="180" t="s">
        <v>1298</v>
      </c>
      <c r="C57" s="180">
        <v>50</v>
      </c>
      <c r="D57" s="155" t="s">
        <v>50</v>
      </c>
    </row>
    <row r="58" spans="1:11" x14ac:dyDescent="0.3">
      <c r="A58" s="180">
        <v>50163</v>
      </c>
      <c r="B58" s="180" t="s">
        <v>516</v>
      </c>
      <c r="C58" s="180">
        <v>50</v>
      </c>
      <c r="D58" s="155" t="s">
        <v>50</v>
      </c>
    </row>
    <row r="59" spans="1:11" x14ac:dyDescent="0.3">
      <c r="A59" s="180">
        <v>50166</v>
      </c>
      <c r="B59" s="180" t="s">
        <v>518</v>
      </c>
      <c r="C59" s="180">
        <v>50</v>
      </c>
      <c r="D59" s="155" t="s">
        <v>50</v>
      </c>
    </row>
    <row r="60" spans="1:11" x14ac:dyDescent="0.3">
      <c r="A60" s="180">
        <v>50171</v>
      </c>
      <c r="B60" s="527" t="s">
        <v>834</v>
      </c>
      <c r="C60" s="180">
        <v>50</v>
      </c>
      <c r="D60" s="155" t="s">
        <v>50</v>
      </c>
      <c r="K60" s="527"/>
    </row>
    <row r="61" spans="1:11" x14ac:dyDescent="0.3">
      <c r="A61" s="180">
        <v>50177</v>
      </c>
      <c r="B61" s="180" t="s">
        <v>836</v>
      </c>
      <c r="C61" s="180">
        <v>50</v>
      </c>
      <c r="D61" s="155" t="s">
        <v>50</v>
      </c>
    </row>
    <row r="62" spans="1:11" x14ac:dyDescent="0.3">
      <c r="A62" s="180">
        <v>50181</v>
      </c>
      <c r="B62" s="527" t="s">
        <v>1311</v>
      </c>
      <c r="C62" s="180">
        <v>50</v>
      </c>
      <c r="D62" s="155" t="s">
        <v>50</v>
      </c>
      <c r="K62" s="527"/>
    </row>
    <row r="63" spans="1:11" x14ac:dyDescent="0.3">
      <c r="A63" s="180">
        <v>50183</v>
      </c>
      <c r="B63" s="527" t="s">
        <v>520</v>
      </c>
      <c r="C63" s="180">
        <v>50</v>
      </c>
      <c r="D63" s="155" t="s">
        <v>50</v>
      </c>
      <c r="K63" s="527"/>
    </row>
    <row r="64" spans="1:11" x14ac:dyDescent="0.3">
      <c r="A64" s="180">
        <v>50188</v>
      </c>
      <c r="B64" s="180" t="s">
        <v>1316</v>
      </c>
      <c r="C64" s="180">
        <v>50</v>
      </c>
      <c r="D64" s="155" t="s">
        <v>50</v>
      </c>
    </row>
    <row r="65" spans="1:11" x14ac:dyDescent="0.3">
      <c r="A65" s="180">
        <v>50476</v>
      </c>
      <c r="B65" s="180" t="s">
        <v>436</v>
      </c>
      <c r="C65" s="180">
        <v>50</v>
      </c>
      <c r="D65" s="155" t="s">
        <v>50</v>
      </c>
    </row>
    <row r="66" spans="1:11" x14ac:dyDescent="0.3">
      <c r="A66" s="180">
        <v>50192</v>
      </c>
      <c r="B66" s="180" t="s">
        <v>437</v>
      </c>
      <c r="C66" s="180">
        <v>50</v>
      </c>
      <c r="D66" s="155" t="s">
        <v>50</v>
      </c>
    </row>
    <row r="67" spans="1:11" x14ac:dyDescent="0.3">
      <c r="A67" s="180">
        <v>50195</v>
      </c>
      <c r="B67" s="180" t="s">
        <v>1321</v>
      </c>
      <c r="C67" s="180">
        <v>50</v>
      </c>
      <c r="D67" s="155" t="s">
        <v>50</v>
      </c>
    </row>
    <row r="68" spans="1:11" x14ac:dyDescent="0.3">
      <c r="A68" s="180">
        <v>50198</v>
      </c>
      <c r="B68" s="180" t="s">
        <v>1325</v>
      </c>
      <c r="C68" s="180">
        <v>50</v>
      </c>
      <c r="D68" s="155" t="s">
        <v>50</v>
      </c>
    </row>
    <row r="69" spans="1:11" x14ac:dyDescent="0.3">
      <c r="A69" s="180">
        <v>50200</v>
      </c>
      <c r="B69" s="180" t="s">
        <v>1327</v>
      </c>
      <c r="C69" s="180">
        <v>50</v>
      </c>
      <c r="D69" s="155" t="s">
        <v>50</v>
      </c>
    </row>
    <row r="70" spans="1:11" x14ac:dyDescent="0.3">
      <c r="A70" s="180">
        <v>50518</v>
      </c>
      <c r="B70" s="180" t="s">
        <v>438</v>
      </c>
      <c r="C70" s="180">
        <v>50</v>
      </c>
      <c r="D70" s="155" t="s">
        <v>50</v>
      </c>
    </row>
    <row r="71" spans="1:11" x14ac:dyDescent="0.3">
      <c r="A71" s="180">
        <v>50211</v>
      </c>
      <c r="B71" s="180" t="s">
        <v>1341</v>
      </c>
      <c r="C71" s="180">
        <v>50</v>
      </c>
      <c r="D71" s="155" t="s">
        <v>50</v>
      </c>
    </row>
    <row r="72" spans="1:11" x14ac:dyDescent="0.3">
      <c r="A72" s="180">
        <v>50220</v>
      </c>
      <c r="B72" s="180" t="s">
        <v>1352</v>
      </c>
      <c r="C72" s="180">
        <v>50</v>
      </c>
      <c r="D72" s="155" t="s">
        <v>50</v>
      </c>
    </row>
    <row r="73" spans="1:11" x14ac:dyDescent="0.3">
      <c r="A73" s="180">
        <v>50222</v>
      </c>
      <c r="B73" s="180" t="s">
        <v>1355</v>
      </c>
      <c r="C73" s="180">
        <v>50</v>
      </c>
      <c r="D73" s="155" t="s">
        <v>50</v>
      </c>
    </row>
    <row r="74" spans="1:11" x14ac:dyDescent="0.3">
      <c r="A74" s="180">
        <v>50224</v>
      </c>
      <c r="B74" s="180" t="s">
        <v>1357</v>
      </c>
      <c r="C74" s="180">
        <v>50</v>
      </c>
      <c r="D74" s="155" t="s">
        <v>50</v>
      </c>
    </row>
    <row r="75" spans="1:11" x14ac:dyDescent="0.3">
      <c r="A75" s="180">
        <v>50227</v>
      </c>
      <c r="B75" s="180" t="s">
        <v>1360</v>
      </c>
      <c r="C75" s="180">
        <v>50</v>
      </c>
      <c r="D75" s="155" t="s">
        <v>50</v>
      </c>
    </row>
    <row r="76" spans="1:11" x14ac:dyDescent="0.3">
      <c r="A76" s="180">
        <v>50231</v>
      </c>
      <c r="B76" s="180" t="s">
        <v>439</v>
      </c>
      <c r="C76" s="180">
        <v>50</v>
      </c>
      <c r="D76" s="155" t="s">
        <v>50</v>
      </c>
    </row>
    <row r="77" spans="1:11" x14ac:dyDescent="0.3">
      <c r="A77" s="180">
        <v>50233</v>
      </c>
      <c r="B77" s="527" t="s">
        <v>440</v>
      </c>
      <c r="C77" s="180">
        <v>50</v>
      </c>
      <c r="D77" s="155" t="s">
        <v>50</v>
      </c>
      <c r="K77" s="527"/>
    </row>
    <row r="78" spans="1:11" x14ac:dyDescent="0.3">
      <c r="A78" s="180">
        <v>50235</v>
      </c>
      <c r="B78" s="180" t="s">
        <v>441</v>
      </c>
      <c r="C78" s="180">
        <v>50</v>
      </c>
      <c r="D78" s="155" t="s">
        <v>50</v>
      </c>
    </row>
    <row r="79" spans="1:11" x14ac:dyDescent="0.3">
      <c r="A79" s="180">
        <v>50236</v>
      </c>
      <c r="B79" s="527" t="s">
        <v>442</v>
      </c>
      <c r="C79" s="180">
        <v>50</v>
      </c>
      <c r="D79" s="155" t="s">
        <v>50</v>
      </c>
      <c r="K79" s="527"/>
    </row>
    <row r="80" spans="1:11" x14ac:dyDescent="0.3">
      <c r="A80" s="180">
        <v>50238</v>
      </c>
      <c r="B80" s="180" t="s">
        <v>1366</v>
      </c>
      <c r="C80" s="180">
        <v>50</v>
      </c>
      <c r="D80" s="155" t="s">
        <v>50</v>
      </c>
    </row>
    <row r="81" spans="1:11" x14ac:dyDescent="0.3">
      <c r="A81" s="180">
        <v>50239</v>
      </c>
      <c r="B81" s="527" t="s">
        <v>443</v>
      </c>
      <c r="C81" s="180">
        <v>50</v>
      </c>
      <c r="D81" s="155" t="s">
        <v>50</v>
      </c>
      <c r="K81" s="527"/>
    </row>
    <row r="82" spans="1:11" x14ac:dyDescent="0.3">
      <c r="A82" s="180">
        <v>50245</v>
      </c>
      <c r="B82" s="180" t="s">
        <v>1374</v>
      </c>
      <c r="C82" s="180">
        <v>50</v>
      </c>
      <c r="D82" s="155" t="s">
        <v>50</v>
      </c>
    </row>
    <row r="83" spans="1:11" x14ac:dyDescent="0.3">
      <c r="A83" s="180">
        <v>50249</v>
      </c>
      <c r="B83" s="180" t="s">
        <v>444</v>
      </c>
      <c r="C83" s="180">
        <v>50</v>
      </c>
      <c r="D83" s="155" t="s">
        <v>50</v>
      </c>
    </row>
    <row r="84" spans="1:11" x14ac:dyDescent="0.3">
      <c r="A84" s="180">
        <v>50454</v>
      </c>
      <c r="B84" s="180" t="s">
        <v>1383</v>
      </c>
      <c r="C84" s="180">
        <v>50</v>
      </c>
      <c r="D84" s="155" t="s">
        <v>50</v>
      </c>
    </row>
    <row r="85" spans="1:11" x14ac:dyDescent="0.3">
      <c r="A85" s="180">
        <v>50254</v>
      </c>
      <c r="B85" s="180" t="s">
        <v>837</v>
      </c>
      <c r="C85" s="180">
        <v>50</v>
      </c>
      <c r="D85" s="155" t="s">
        <v>50</v>
      </c>
    </row>
    <row r="86" spans="1:11" x14ac:dyDescent="0.3">
      <c r="A86" s="180">
        <v>50256</v>
      </c>
      <c r="B86" s="180" t="s">
        <v>1384</v>
      </c>
      <c r="C86" s="180">
        <v>50</v>
      </c>
      <c r="D86" s="155" t="s">
        <v>50</v>
      </c>
    </row>
    <row r="87" spans="1:11" x14ac:dyDescent="0.3">
      <c r="A87" s="180">
        <v>50257</v>
      </c>
      <c r="B87" s="180" t="s">
        <v>524</v>
      </c>
      <c r="C87" s="180">
        <v>50</v>
      </c>
      <c r="D87" s="155" t="s">
        <v>50</v>
      </c>
    </row>
    <row r="88" spans="1:11" x14ac:dyDescent="0.3">
      <c r="A88" s="180">
        <v>50260</v>
      </c>
      <c r="B88" s="180" t="s">
        <v>525</v>
      </c>
      <c r="C88" s="180">
        <v>50</v>
      </c>
      <c r="D88" s="155" t="s">
        <v>50</v>
      </c>
    </row>
    <row r="89" spans="1:11" x14ac:dyDescent="0.3">
      <c r="A89" s="180">
        <v>50265</v>
      </c>
      <c r="B89" s="180" t="s">
        <v>1399</v>
      </c>
      <c r="C89" s="180">
        <v>50</v>
      </c>
      <c r="D89" s="155" t="s">
        <v>50</v>
      </c>
    </row>
    <row r="90" spans="1:11" x14ac:dyDescent="0.3">
      <c r="A90" s="180">
        <v>50269</v>
      </c>
      <c r="B90" s="180" t="s">
        <v>526</v>
      </c>
      <c r="C90" s="180">
        <v>50</v>
      </c>
      <c r="D90" s="155" t="s">
        <v>50</v>
      </c>
    </row>
    <row r="91" spans="1:11" x14ac:dyDescent="0.3">
      <c r="A91" s="180">
        <v>50480</v>
      </c>
      <c r="B91" s="180" t="s">
        <v>527</v>
      </c>
      <c r="C91" s="180">
        <v>50</v>
      </c>
      <c r="D91" s="155" t="s">
        <v>50</v>
      </c>
    </row>
    <row r="92" spans="1:11" x14ac:dyDescent="0.3">
      <c r="A92" s="180">
        <v>50276</v>
      </c>
      <c r="B92" s="527" t="s">
        <v>1409</v>
      </c>
      <c r="C92" s="180">
        <v>50</v>
      </c>
      <c r="D92" s="155" t="s">
        <v>50</v>
      </c>
      <c r="K92" s="527"/>
    </row>
    <row r="93" spans="1:11" x14ac:dyDescent="0.3">
      <c r="A93" s="180">
        <v>50278</v>
      </c>
      <c r="B93" s="180" t="s">
        <v>528</v>
      </c>
      <c r="C93" s="180">
        <v>50</v>
      </c>
      <c r="D93" s="155" t="s">
        <v>50</v>
      </c>
    </row>
    <row r="94" spans="1:11" x14ac:dyDescent="0.3">
      <c r="A94" s="180">
        <v>50280</v>
      </c>
      <c r="B94" s="180" t="s">
        <v>529</v>
      </c>
      <c r="C94" s="180">
        <v>50</v>
      </c>
      <c r="D94" s="155" t="s">
        <v>50</v>
      </c>
    </row>
    <row r="95" spans="1:11" x14ac:dyDescent="0.3">
      <c r="A95" s="180">
        <v>50281</v>
      </c>
      <c r="B95" s="180" t="s">
        <v>530</v>
      </c>
      <c r="C95" s="180">
        <v>50</v>
      </c>
      <c r="D95" s="155" t="s">
        <v>50</v>
      </c>
    </row>
    <row r="96" spans="1:11" x14ac:dyDescent="0.3">
      <c r="A96" s="180">
        <v>50283</v>
      </c>
      <c r="B96" s="180" t="s">
        <v>533</v>
      </c>
      <c r="C96" s="180">
        <v>50</v>
      </c>
      <c r="D96" s="155" t="s">
        <v>50</v>
      </c>
    </row>
    <row r="97" spans="1:11" x14ac:dyDescent="0.3">
      <c r="A97" s="180">
        <v>50285</v>
      </c>
      <c r="B97" s="180" t="s">
        <v>534</v>
      </c>
      <c r="C97" s="180">
        <v>50</v>
      </c>
      <c r="D97" s="155" t="s">
        <v>50</v>
      </c>
    </row>
    <row r="98" spans="1:11" x14ac:dyDescent="0.3">
      <c r="A98" s="180">
        <v>50288</v>
      </c>
      <c r="B98" s="180" t="s">
        <v>1419</v>
      </c>
      <c r="C98" s="180">
        <v>50</v>
      </c>
      <c r="D98" s="155" t="s">
        <v>50</v>
      </c>
    </row>
    <row r="99" spans="1:11" x14ac:dyDescent="0.3">
      <c r="A99" s="180">
        <v>50291</v>
      </c>
      <c r="B99" s="180" t="s">
        <v>1423</v>
      </c>
      <c r="C99" s="180">
        <v>50</v>
      </c>
      <c r="D99" s="155" t="s">
        <v>50</v>
      </c>
    </row>
    <row r="100" spans="1:11" x14ac:dyDescent="0.3">
      <c r="A100" s="180">
        <v>50293</v>
      </c>
      <c r="B100" s="180" t="s">
        <v>1425</v>
      </c>
      <c r="C100" s="180">
        <v>50</v>
      </c>
      <c r="D100" s="155" t="s">
        <v>50</v>
      </c>
    </row>
    <row r="101" spans="1:11" x14ac:dyDescent="0.3">
      <c r="A101" s="180">
        <v>50296</v>
      </c>
      <c r="B101" s="180" t="s">
        <v>536</v>
      </c>
      <c r="C101" s="180">
        <v>50</v>
      </c>
      <c r="D101" s="155" t="s">
        <v>50</v>
      </c>
    </row>
    <row r="102" spans="1:11" x14ac:dyDescent="0.3">
      <c r="A102" s="180">
        <v>50297</v>
      </c>
      <c r="B102" s="180" t="s">
        <v>537</v>
      </c>
      <c r="C102" s="180">
        <v>50</v>
      </c>
      <c r="D102" s="155" t="s">
        <v>50</v>
      </c>
    </row>
    <row r="103" spans="1:11" x14ac:dyDescent="0.3">
      <c r="A103" s="180">
        <v>50301</v>
      </c>
      <c r="B103" s="180" t="s">
        <v>1434</v>
      </c>
      <c r="C103" s="180">
        <v>50</v>
      </c>
      <c r="D103" s="155" t="s">
        <v>50</v>
      </c>
    </row>
    <row r="104" spans="1:11" x14ac:dyDescent="0.3">
      <c r="A104" s="180">
        <v>50305</v>
      </c>
      <c r="B104" s="180" t="s">
        <v>841</v>
      </c>
      <c r="C104" s="180">
        <v>50</v>
      </c>
      <c r="D104" s="155" t="s">
        <v>50</v>
      </c>
    </row>
    <row r="105" spans="1:11" x14ac:dyDescent="0.3">
      <c r="A105" s="180">
        <v>50479</v>
      </c>
      <c r="B105" s="180" t="s">
        <v>538</v>
      </c>
      <c r="C105" s="180">
        <v>50</v>
      </c>
      <c r="D105" s="155" t="s">
        <v>50</v>
      </c>
    </row>
    <row r="106" spans="1:11" x14ac:dyDescent="0.3">
      <c r="A106" s="180">
        <v>50307</v>
      </c>
      <c r="B106" s="527" t="s">
        <v>539</v>
      </c>
      <c r="C106" s="180">
        <v>50</v>
      </c>
      <c r="D106" s="155" t="s">
        <v>50</v>
      </c>
      <c r="K106" s="527"/>
    </row>
    <row r="107" spans="1:11" x14ac:dyDescent="0.3">
      <c r="A107" s="180">
        <v>50308</v>
      </c>
      <c r="B107" s="180" t="s">
        <v>1440</v>
      </c>
      <c r="C107" s="180">
        <v>50</v>
      </c>
      <c r="D107" s="155" t="s">
        <v>50</v>
      </c>
    </row>
    <row r="108" spans="1:11" x14ac:dyDescent="0.3">
      <c r="A108" s="180">
        <v>50310</v>
      </c>
      <c r="B108" s="527" t="s">
        <v>540</v>
      </c>
      <c r="C108" s="180">
        <v>50</v>
      </c>
      <c r="D108" s="155" t="s">
        <v>50</v>
      </c>
      <c r="K108" s="527"/>
    </row>
    <row r="109" spans="1:11" x14ac:dyDescent="0.3">
      <c r="A109" s="180">
        <v>50311</v>
      </c>
      <c r="B109" s="527" t="s">
        <v>541</v>
      </c>
      <c r="C109" s="180">
        <v>50</v>
      </c>
      <c r="D109" s="155" t="s">
        <v>50</v>
      </c>
      <c r="K109" s="527"/>
    </row>
    <row r="110" spans="1:11" x14ac:dyDescent="0.3">
      <c r="A110" s="180">
        <v>50314</v>
      </c>
      <c r="B110" s="180" t="s">
        <v>542</v>
      </c>
      <c r="C110" s="180">
        <v>50</v>
      </c>
      <c r="D110" s="155" t="s">
        <v>50</v>
      </c>
    </row>
    <row r="111" spans="1:11" x14ac:dyDescent="0.3">
      <c r="A111" s="180">
        <v>50316</v>
      </c>
      <c r="B111" s="180" t="s">
        <v>543</v>
      </c>
      <c r="C111" s="180">
        <v>50</v>
      </c>
      <c r="D111" s="155" t="s">
        <v>50</v>
      </c>
    </row>
    <row r="112" spans="1:11" x14ac:dyDescent="0.3">
      <c r="A112" s="180">
        <v>50318</v>
      </c>
      <c r="B112" s="180" t="s">
        <v>544</v>
      </c>
      <c r="C112" s="180">
        <v>50</v>
      </c>
      <c r="D112" s="155" t="s">
        <v>50</v>
      </c>
    </row>
    <row r="113" spans="1:11" x14ac:dyDescent="0.3">
      <c r="A113" s="180">
        <v>50323</v>
      </c>
      <c r="B113" s="180" t="s">
        <v>545</v>
      </c>
      <c r="C113" s="180">
        <v>50</v>
      </c>
      <c r="D113" s="155" t="s">
        <v>50</v>
      </c>
    </row>
    <row r="114" spans="1:11" x14ac:dyDescent="0.3">
      <c r="A114" s="180">
        <v>50321</v>
      </c>
      <c r="B114" s="180" t="s">
        <v>842</v>
      </c>
      <c r="C114" s="180">
        <v>50</v>
      </c>
      <c r="D114" s="155" t="s">
        <v>50</v>
      </c>
    </row>
    <row r="115" spans="1:11" x14ac:dyDescent="0.3">
      <c r="A115" s="180">
        <v>50325</v>
      </c>
      <c r="B115" s="527" t="s">
        <v>546</v>
      </c>
      <c r="C115" s="180">
        <v>50</v>
      </c>
      <c r="D115" s="155" t="s">
        <v>50</v>
      </c>
      <c r="K115" s="527"/>
    </row>
    <row r="116" spans="1:11" x14ac:dyDescent="0.3">
      <c r="A116" s="180">
        <v>50327</v>
      </c>
      <c r="B116" s="180" t="s">
        <v>547</v>
      </c>
      <c r="C116" s="180">
        <v>50</v>
      </c>
      <c r="D116" s="155" t="s">
        <v>50</v>
      </c>
    </row>
    <row r="117" spans="1:11" x14ac:dyDescent="0.3">
      <c r="A117" s="180">
        <v>50332</v>
      </c>
      <c r="B117" s="180" t="s">
        <v>548</v>
      </c>
      <c r="C117" s="180">
        <v>50</v>
      </c>
      <c r="D117" s="155" t="s">
        <v>50</v>
      </c>
    </row>
    <row r="118" spans="1:11" x14ac:dyDescent="0.3">
      <c r="A118" s="180">
        <v>50335</v>
      </c>
      <c r="B118" s="180" t="s">
        <v>1459</v>
      </c>
      <c r="C118" s="180">
        <v>50</v>
      </c>
      <c r="D118" s="155" t="s">
        <v>50</v>
      </c>
    </row>
    <row r="119" spans="1:11" x14ac:dyDescent="0.3">
      <c r="A119" s="180">
        <v>50337</v>
      </c>
      <c r="B119" s="180" t="s">
        <v>845</v>
      </c>
      <c r="C119" s="180">
        <v>50</v>
      </c>
      <c r="D119" s="155" t="s">
        <v>50</v>
      </c>
    </row>
    <row r="120" spans="1:11" x14ac:dyDescent="0.3">
      <c r="A120" s="180">
        <v>50338</v>
      </c>
      <c r="B120" s="180" t="s">
        <v>846</v>
      </c>
      <c r="C120" s="180">
        <v>50</v>
      </c>
      <c r="D120" s="155" t="s">
        <v>50</v>
      </c>
    </row>
    <row r="121" spans="1:11" x14ac:dyDescent="0.3">
      <c r="A121" s="180">
        <v>50339</v>
      </c>
      <c r="B121" s="180" t="s">
        <v>1460</v>
      </c>
      <c r="C121" s="180">
        <v>50</v>
      </c>
      <c r="D121" s="155" t="s">
        <v>50</v>
      </c>
    </row>
    <row r="122" spans="1:11" x14ac:dyDescent="0.3">
      <c r="A122" s="180">
        <v>50348</v>
      </c>
      <c r="B122" s="180" t="s">
        <v>550</v>
      </c>
      <c r="C122" s="180">
        <v>50</v>
      </c>
      <c r="D122" s="155" t="s">
        <v>50</v>
      </c>
    </row>
    <row r="123" spans="1:11" x14ac:dyDescent="0.3">
      <c r="A123" s="180">
        <v>50355</v>
      </c>
      <c r="B123" s="527" t="s">
        <v>552</v>
      </c>
      <c r="C123" s="180">
        <v>50</v>
      </c>
      <c r="D123" s="155" t="s">
        <v>50</v>
      </c>
      <c r="K123" s="527"/>
    </row>
    <row r="124" spans="1:11" x14ac:dyDescent="0.3">
      <c r="A124" s="180">
        <v>50357</v>
      </c>
      <c r="B124" s="180" t="s">
        <v>848</v>
      </c>
      <c r="C124" s="180">
        <v>50</v>
      </c>
      <c r="D124" s="155" t="s">
        <v>50</v>
      </c>
    </row>
    <row r="125" spans="1:11" x14ac:dyDescent="0.3">
      <c r="A125" s="180">
        <v>50365</v>
      </c>
      <c r="B125" s="180" t="s">
        <v>1487</v>
      </c>
      <c r="C125" s="180">
        <v>50</v>
      </c>
      <c r="D125" s="155" t="s">
        <v>50</v>
      </c>
    </row>
    <row r="126" spans="1:11" x14ac:dyDescent="0.3">
      <c r="A126" s="180">
        <v>50366</v>
      </c>
      <c r="B126" s="180" t="s">
        <v>1488</v>
      </c>
      <c r="C126" s="180">
        <v>50</v>
      </c>
      <c r="D126" s="155" t="s">
        <v>50</v>
      </c>
    </row>
    <row r="127" spans="1:11" x14ac:dyDescent="0.3">
      <c r="A127" s="180">
        <v>50369</v>
      </c>
      <c r="B127" s="527" t="s">
        <v>1490</v>
      </c>
      <c r="C127" s="180">
        <v>50</v>
      </c>
      <c r="D127" s="155" t="s">
        <v>50</v>
      </c>
      <c r="K127" s="527"/>
    </row>
    <row r="128" spans="1:11" x14ac:dyDescent="0.3">
      <c r="A128" s="180">
        <v>50370</v>
      </c>
      <c r="B128" s="180" t="s">
        <v>554</v>
      </c>
      <c r="C128" s="180">
        <v>50</v>
      </c>
      <c r="D128" s="155" t="s">
        <v>50</v>
      </c>
    </row>
    <row r="129" spans="1:11" x14ac:dyDescent="0.3">
      <c r="A129" s="180">
        <v>50371</v>
      </c>
      <c r="B129" s="180" t="s">
        <v>1491</v>
      </c>
      <c r="C129" s="180">
        <v>50</v>
      </c>
      <c r="D129" s="155" t="s">
        <v>50</v>
      </c>
    </row>
    <row r="130" spans="1:11" x14ac:dyDescent="0.3">
      <c r="A130" s="180">
        <v>50343</v>
      </c>
      <c r="B130" s="180" t="s">
        <v>1060</v>
      </c>
      <c r="C130" s="180">
        <v>50</v>
      </c>
      <c r="D130" s="155" t="s">
        <v>50</v>
      </c>
    </row>
    <row r="131" spans="1:11" x14ac:dyDescent="0.3">
      <c r="A131" s="180">
        <v>50372</v>
      </c>
      <c r="B131" s="527" t="s">
        <v>1061</v>
      </c>
      <c r="C131" s="180">
        <v>50</v>
      </c>
      <c r="D131" s="155" t="s">
        <v>50</v>
      </c>
      <c r="K131" s="527"/>
    </row>
    <row r="132" spans="1:11" x14ac:dyDescent="0.3">
      <c r="A132" s="180">
        <v>50457</v>
      </c>
      <c r="B132" s="180" t="s">
        <v>1062</v>
      </c>
      <c r="C132" s="180">
        <v>50</v>
      </c>
      <c r="D132" s="155" t="s">
        <v>50</v>
      </c>
    </row>
    <row r="133" spans="1:11" x14ac:dyDescent="0.3">
      <c r="A133" s="180">
        <v>50375</v>
      </c>
      <c r="B133" s="527" t="s">
        <v>1064</v>
      </c>
      <c r="C133" s="180">
        <v>50</v>
      </c>
      <c r="D133" s="155" t="s">
        <v>50</v>
      </c>
      <c r="K133" s="527"/>
    </row>
    <row r="134" spans="1:11" x14ac:dyDescent="0.3">
      <c r="A134" s="180">
        <v>50376</v>
      </c>
      <c r="B134" s="527" t="s">
        <v>1065</v>
      </c>
      <c r="C134" s="180">
        <v>50</v>
      </c>
      <c r="D134" s="155" t="s">
        <v>50</v>
      </c>
      <c r="K134" s="527"/>
    </row>
    <row r="135" spans="1:11" x14ac:dyDescent="0.3">
      <c r="A135" s="180">
        <v>50380</v>
      </c>
      <c r="B135" s="180" t="s">
        <v>1070</v>
      </c>
      <c r="C135" s="180">
        <v>50</v>
      </c>
      <c r="D135" s="155" t="s">
        <v>50</v>
      </c>
    </row>
    <row r="136" spans="1:11" x14ac:dyDescent="0.3">
      <c r="A136" s="180">
        <v>50389</v>
      </c>
      <c r="B136" s="180" t="s">
        <v>555</v>
      </c>
      <c r="C136" s="180">
        <v>50</v>
      </c>
      <c r="D136" s="155" t="s">
        <v>50</v>
      </c>
    </row>
    <row r="137" spans="1:11" x14ac:dyDescent="0.3">
      <c r="A137" s="180">
        <v>50500</v>
      </c>
      <c r="B137" s="527" t="s">
        <v>556</v>
      </c>
      <c r="C137" s="180">
        <v>50</v>
      </c>
      <c r="D137" s="155" t="s">
        <v>50</v>
      </c>
      <c r="K137" s="527"/>
    </row>
    <row r="138" spans="1:11" x14ac:dyDescent="0.3">
      <c r="A138" s="180">
        <v>50544</v>
      </c>
      <c r="B138" s="527" t="s">
        <v>1086</v>
      </c>
      <c r="C138" s="180">
        <v>50</v>
      </c>
      <c r="D138" s="155" t="s">
        <v>50</v>
      </c>
      <c r="K138" s="527"/>
    </row>
    <row r="139" spans="1:11" x14ac:dyDescent="0.3">
      <c r="A139" s="180">
        <v>50396</v>
      </c>
      <c r="B139" s="180" t="s">
        <v>557</v>
      </c>
      <c r="C139" s="180">
        <v>50</v>
      </c>
      <c r="D139" s="155" t="s">
        <v>50</v>
      </c>
    </row>
    <row r="140" spans="1:11" x14ac:dyDescent="0.3">
      <c r="A140" s="180">
        <v>50397</v>
      </c>
      <c r="B140" s="527" t="s">
        <v>1089</v>
      </c>
      <c r="C140" s="180">
        <v>50</v>
      </c>
      <c r="D140" s="155" t="s">
        <v>50</v>
      </c>
      <c r="K140" s="527"/>
    </row>
    <row r="141" spans="1:11" x14ac:dyDescent="0.3">
      <c r="A141" s="180">
        <v>50399</v>
      </c>
      <c r="B141" s="180" t="s">
        <v>559</v>
      </c>
      <c r="C141" s="180">
        <v>50</v>
      </c>
      <c r="D141" s="155" t="s">
        <v>50</v>
      </c>
    </row>
    <row r="142" spans="1:11" x14ac:dyDescent="0.3">
      <c r="A142" s="180">
        <v>50403</v>
      </c>
      <c r="B142" s="180" t="s">
        <v>1095</v>
      </c>
      <c r="C142" s="180">
        <v>50</v>
      </c>
      <c r="D142" s="155" t="s">
        <v>50</v>
      </c>
    </row>
    <row r="143" spans="1:11" x14ac:dyDescent="0.3">
      <c r="A143" s="180">
        <v>50486</v>
      </c>
      <c r="B143" s="180" t="s">
        <v>854</v>
      </c>
      <c r="C143" s="180">
        <v>50</v>
      </c>
      <c r="D143" s="155" t="s">
        <v>50</v>
      </c>
    </row>
    <row r="144" spans="1:11" x14ac:dyDescent="0.3">
      <c r="A144" s="180">
        <v>50408</v>
      </c>
      <c r="B144" s="180" t="s">
        <v>1101</v>
      </c>
      <c r="C144" s="180">
        <v>50</v>
      </c>
      <c r="D144" s="155" t="s">
        <v>50</v>
      </c>
    </row>
    <row r="145" spans="1:11" x14ac:dyDescent="0.3">
      <c r="A145" s="180">
        <v>50409</v>
      </c>
      <c r="B145" s="180" t="s">
        <v>855</v>
      </c>
      <c r="C145" s="180">
        <v>50</v>
      </c>
      <c r="D145" s="155" t="s">
        <v>50</v>
      </c>
    </row>
    <row r="146" spans="1:11" x14ac:dyDescent="0.3">
      <c r="A146" s="180">
        <v>50420</v>
      </c>
      <c r="B146" s="180" t="s">
        <v>561</v>
      </c>
      <c r="C146" s="180">
        <v>50</v>
      </c>
      <c r="D146" s="155" t="s">
        <v>50</v>
      </c>
    </row>
    <row r="147" spans="1:11" x14ac:dyDescent="0.3">
      <c r="A147" s="180">
        <v>50421</v>
      </c>
      <c r="B147" s="180" t="s">
        <v>856</v>
      </c>
      <c r="C147" s="180">
        <v>50</v>
      </c>
      <c r="D147" s="155" t="s">
        <v>50</v>
      </c>
    </row>
    <row r="148" spans="1:11" x14ac:dyDescent="0.3">
      <c r="A148" s="180">
        <v>50423</v>
      </c>
      <c r="B148" s="180" t="s">
        <v>562</v>
      </c>
      <c r="C148" s="180">
        <v>50</v>
      </c>
      <c r="D148" s="155" t="s">
        <v>50</v>
      </c>
    </row>
    <row r="149" spans="1:11" x14ac:dyDescent="0.3">
      <c r="A149" s="180">
        <v>50428</v>
      </c>
      <c r="B149" s="180" t="s">
        <v>1123</v>
      </c>
      <c r="C149" s="180">
        <v>50</v>
      </c>
      <c r="D149" s="155" t="s">
        <v>50</v>
      </c>
    </row>
    <row r="150" spans="1:11" x14ac:dyDescent="0.3">
      <c r="A150" s="180">
        <v>50499</v>
      </c>
      <c r="B150" s="180" t="s">
        <v>858</v>
      </c>
      <c r="C150" s="180">
        <v>50</v>
      </c>
      <c r="D150" s="155" t="s">
        <v>50</v>
      </c>
    </row>
    <row r="151" spans="1:11" x14ac:dyDescent="0.3">
      <c r="A151" s="180">
        <v>5103</v>
      </c>
      <c r="B151" s="180" t="s">
        <v>478</v>
      </c>
      <c r="C151" s="180">
        <v>51</v>
      </c>
      <c r="D151" s="155" t="s">
        <v>50</v>
      </c>
    </row>
    <row r="152" spans="1:11" x14ac:dyDescent="0.3">
      <c r="A152" s="180">
        <v>5107</v>
      </c>
      <c r="B152" s="528" t="s">
        <v>484</v>
      </c>
      <c r="C152" s="180">
        <v>51</v>
      </c>
      <c r="D152" s="155" t="s">
        <v>50</v>
      </c>
      <c r="K152" s="528"/>
    </row>
    <row r="153" spans="1:11" x14ac:dyDescent="0.3">
      <c r="A153" s="180">
        <v>5116</v>
      </c>
      <c r="B153" s="528" t="s">
        <v>859</v>
      </c>
      <c r="C153" s="180">
        <v>51</v>
      </c>
      <c r="D153" s="155" t="s">
        <v>50</v>
      </c>
      <c r="K153" s="528"/>
    </row>
    <row r="154" spans="1:11" x14ac:dyDescent="0.3">
      <c r="A154" s="180">
        <v>5119</v>
      </c>
      <c r="B154" s="180" t="s">
        <v>860</v>
      </c>
      <c r="C154" s="180">
        <v>51</v>
      </c>
      <c r="D154" s="155" t="s">
        <v>50</v>
      </c>
    </row>
    <row r="155" spans="1:11" x14ac:dyDescent="0.3">
      <c r="A155" s="180">
        <v>5123</v>
      </c>
      <c r="B155" s="527" t="s">
        <v>861</v>
      </c>
      <c r="C155" s="180">
        <v>51</v>
      </c>
      <c r="D155" s="155" t="s">
        <v>50</v>
      </c>
      <c r="K155" s="527"/>
    </row>
    <row r="156" spans="1:11" x14ac:dyDescent="0.3">
      <c r="A156" s="180">
        <v>5132</v>
      </c>
      <c r="B156" s="180" t="s">
        <v>501</v>
      </c>
      <c r="C156" s="180">
        <v>51</v>
      </c>
      <c r="D156" s="155" t="s">
        <v>50</v>
      </c>
    </row>
    <row r="157" spans="1:11" x14ac:dyDescent="0.3">
      <c r="A157" s="180">
        <v>5147</v>
      </c>
      <c r="B157" s="180" t="s">
        <v>523</v>
      </c>
      <c r="C157" s="180">
        <v>51</v>
      </c>
      <c r="D157" s="155" t="s">
        <v>50</v>
      </c>
    </row>
    <row r="158" spans="1:11" x14ac:dyDescent="0.3">
      <c r="A158" s="180">
        <v>5157</v>
      </c>
      <c r="B158" s="527" t="s">
        <v>862</v>
      </c>
      <c r="C158" s="180">
        <v>51</v>
      </c>
      <c r="D158" s="155" t="s">
        <v>50</v>
      </c>
      <c r="K158" s="527"/>
    </row>
    <row r="159" spans="1:11" x14ac:dyDescent="0.3">
      <c r="A159" s="180">
        <v>5165</v>
      </c>
      <c r="B159" s="180" t="s">
        <v>532</v>
      </c>
      <c r="C159" s="180">
        <v>51</v>
      </c>
      <c r="D159" s="155" t="s">
        <v>50</v>
      </c>
    </row>
    <row r="160" spans="1:11" x14ac:dyDescent="0.3">
      <c r="A160" s="180">
        <v>5170</v>
      </c>
      <c r="B160" s="527" t="s">
        <v>535</v>
      </c>
      <c r="C160" s="180">
        <v>51</v>
      </c>
      <c r="D160" s="155" t="s">
        <v>50</v>
      </c>
      <c r="K160" s="527"/>
    </row>
    <row r="161" spans="1:4" x14ac:dyDescent="0.3">
      <c r="A161" s="180">
        <v>5182</v>
      </c>
      <c r="B161" s="180" t="s">
        <v>549</v>
      </c>
      <c r="C161" s="180">
        <v>51</v>
      </c>
      <c r="D161" s="713" t="s">
        <v>50</v>
      </c>
    </row>
    <row r="162" spans="1:4" x14ac:dyDescent="0.3">
      <c r="A162" s="180">
        <v>5188</v>
      </c>
      <c r="B162" s="180" t="s">
        <v>558</v>
      </c>
      <c r="C162" s="180">
        <v>51</v>
      </c>
      <c r="D162" s="713" t="s">
        <v>50</v>
      </c>
    </row>
    <row r="163" spans="1:4" x14ac:dyDescent="0.3">
      <c r="A163" s="180">
        <v>591706</v>
      </c>
      <c r="B163" s="180" t="s">
        <v>863</v>
      </c>
      <c r="C163" s="180">
        <v>59</v>
      </c>
      <c r="D163" s="713" t="s">
        <v>50</v>
      </c>
    </row>
    <row r="164" spans="1:4" x14ac:dyDescent="0.3">
      <c r="A164" s="180">
        <v>591604</v>
      </c>
      <c r="B164" s="180" t="s">
        <v>493</v>
      </c>
      <c r="C164" s="180">
        <v>59</v>
      </c>
      <c r="D164" s="713" t="s">
        <v>50</v>
      </c>
    </row>
    <row r="165" spans="1:4" x14ac:dyDescent="0.3">
      <c r="A165" s="180">
        <v>591632</v>
      </c>
      <c r="B165" s="180" t="s">
        <v>505</v>
      </c>
      <c r="C165" s="180">
        <v>59</v>
      </c>
      <c r="D165" s="713" t="s">
        <v>50</v>
      </c>
    </row>
    <row r="166" spans="1:4" x14ac:dyDescent="0.3">
      <c r="A166" s="180">
        <v>591633</v>
      </c>
      <c r="B166" s="180" t="s">
        <v>864</v>
      </c>
      <c r="C166" s="180">
        <v>59</v>
      </c>
      <c r="D166" s="713" t="s">
        <v>50</v>
      </c>
    </row>
    <row r="167" spans="1:4" x14ac:dyDescent="0.3">
      <c r="A167" s="180">
        <v>591627</v>
      </c>
      <c r="B167" s="180" t="s">
        <v>1602</v>
      </c>
      <c r="C167" s="180">
        <v>59</v>
      </c>
      <c r="D167" s="713" t="s">
        <v>50</v>
      </c>
    </row>
    <row r="168" spans="1:4" x14ac:dyDescent="0.3">
      <c r="A168" s="180">
        <v>591629</v>
      </c>
      <c r="B168" s="180" t="s">
        <v>1603</v>
      </c>
      <c r="C168" s="180">
        <v>59</v>
      </c>
      <c r="D168" s="713" t="s">
        <v>50</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filterMode="1"/>
  <dimension ref="A1:M109"/>
  <sheetViews>
    <sheetView workbookViewId="0">
      <selection activeCell="E117" sqref="E117"/>
    </sheetView>
  </sheetViews>
  <sheetFormatPr defaultRowHeight="14.4" x14ac:dyDescent="0.3"/>
  <cols>
    <col min="1" max="1" width="20.6640625" style="613" customWidth="1"/>
    <col min="2" max="2" width="24.6640625" style="613" customWidth="1"/>
    <col min="3" max="3" width="11.33203125" style="808" customWidth="1"/>
    <col min="4" max="4" width="12.109375" style="614" customWidth="1"/>
    <col min="5" max="5" width="14.33203125" style="614" customWidth="1"/>
    <col min="6" max="6" width="3.44140625" style="613" customWidth="1"/>
    <col min="7" max="7" width="17.33203125" style="613" customWidth="1"/>
    <col min="8" max="8" width="2.109375" style="613" customWidth="1"/>
    <col min="9" max="9" width="7.5546875" style="808" customWidth="1"/>
    <col min="10" max="10" width="12.109375" style="614" customWidth="1"/>
    <col min="11" max="11" width="14.33203125" style="614" customWidth="1"/>
    <col min="12" max="251" width="8.88671875" style="613"/>
    <col min="252" max="252" width="15.88671875" style="613" customWidth="1"/>
    <col min="253" max="253" width="2.109375" style="613" customWidth="1"/>
    <col min="254" max="254" width="7.5546875" style="613" customWidth="1"/>
    <col min="255" max="255" width="12.109375" style="613" customWidth="1"/>
    <col min="256" max="256" width="14.33203125" style="613" customWidth="1"/>
    <col min="257" max="257" width="3.44140625" style="613" customWidth="1"/>
    <col min="258" max="258" width="17.33203125" style="613" customWidth="1"/>
    <col min="259" max="259" width="2.109375" style="613" customWidth="1"/>
    <col min="260" max="260" width="7.5546875" style="613" customWidth="1"/>
    <col min="261" max="261" width="12.109375" style="613" customWidth="1"/>
    <col min="262" max="262" width="14.33203125" style="613" customWidth="1"/>
    <col min="263" max="263" width="42.5546875" style="613" customWidth="1"/>
    <col min="264" max="507" width="8.88671875" style="613"/>
    <col min="508" max="508" width="15.88671875" style="613" customWidth="1"/>
    <col min="509" max="509" width="2.109375" style="613" customWidth="1"/>
    <col min="510" max="510" width="7.5546875" style="613" customWidth="1"/>
    <col min="511" max="511" width="12.109375" style="613" customWidth="1"/>
    <col min="512" max="512" width="14.33203125" style="613" customWidth="1"/>
    <col min="513" max="513" width="3.44140625" style="613" customWidth="1"/>
    <col min="514" max="514" width="17.33203125" style="613" customWidth="1"/>
    <col min="515" max="515" width="2.109375" style="613" customWidth="1"/>
    <col min="516" max="516" width="7.5546875" style="613" customWidth="1"/>
    <col min="517" max="517" width="12.109375" style="613" customWidth="1"/>
    <col min="518" max="518" width="14.33203125" style="613" customWidth="1"/>
    <col min="519" max="519" width="42.5546875" style="613" customWidth="1"/>
    <col min="520" max="763" width="8.88671875" style="613"/>
    <col min="764" max="764" width="15.88671875" style="613" customWidth="1"/>
    <col min="765" max="765" width="2.109375" style="613" customWidth="1"/>
    <col min="766" max="766" width="7.5546875" style="613" customWidth="1"/>
    <col min="767" max="767" width="12.109375" style="613" customWidth="1"/>
    <col min="768" max="768" width="14.33203125" style="613" customWidth="1"/>
    <col min="769" max="769" width="3.44140625" style="613" customWidth="1"/>
    <col min="770" max="770" width="17.33203125" style="613" customWidth="1"/>
    <col min="771" max="771" width="2.109375" style="613" customWidth="1"/>
    <col min="772" max="772" width="7.5546875" style="613" customWidth="1"/>
    <col min="773" max="773" width="12.109375" style="613" customWidth="1"/>
    <col min="774" max="774" width="14.33203125" style="613" customWidth="1"/>
    <col min="775" max="775" width="42.5546875" style="613" customWidth="1"/>
    <col min="776" max="1019" width="8.88671875" style="613"/>
    <col min="1020" max="1020" width="15.88671875" style="613" customWidth="1"/>
    <col min="1021" max="1021" width="2.109375" style="613" customWidth="1"/>
    <col min="1022" max="1022" width="7.5546875" style="613" customWidth="1"/>
    <col min="1023" max="1023" width="12.109375" style="613" customWidth="1"/>
    <col min="1024" max="1024" width="14.33203125" style="613" customWidth="1"/>
    <col min="1025" max="1025" width="3.44140625" style="613" customWidth="1"/>
    <col min="1026" max="1026" width="17.33203125" style="613" customWidth="1"/>
    <col min="1027" max="1027" width="2.109375" style="613" customWidth="1"/>
    <col min="1028" max="1028" width="7.5546875" style="613" customWidth="1"/>
    <col min="1029" max="1029" width="12.109375" style="613" customWidth="1"/>
    <col min="1030" max="1030" width="14.33203125" style="613" customWidth="1"/>
    <col min="1031" max="1031" width="42.5546875" style="613" customWidth="1"/>
    <col min="1032" max="1275" width="8.88671875" style="613"/>
    <col min="1276" max="1276" width="15.88671875" style="613" customWidth="1"/>
    <col min="1277" max="1277" width="2.109375" style="613" customWidth="1"/>
    <col min="1278" max="1278" width="7.5546875" style="613" customWidth="1"/>
    <col min="1279" max="1279" width="12.109375" style="613" customWidth="1"/>
    <col min="1280" max="1280" width="14.33203125" style="613" customWidth="1"/>
    <col min="1281" max="1281" width="3.44140625" style="613" customWidth="1"/>
    <col min="1282" max="1282" width="17.33203125" style="613" customWidth="1"/>
    <col min="1283" max="1283" width="2.109375" style="613" customWidth="1"/>
    <col min="1284" max="1284" width="7.5546875" style="613" customWidth="1"/>
    <col min="1285" max="1285" width="12.109375" style="613" customWidth="1"/>
    <col min="1286" max="1286" width="14.33203125" style="613" customWidth="1"/>
    <col min="1287" max="1287" width="42.5546875" style="613" customWidth="1"/>
    <col min="1288" max="1531" width="8.88671875" style="613"/>
    <col min="1532" max="1532" width="15.88671875" style="613" customWidth="1"/>
    <col min="1533" max="1533" width="2.109375" style="613" customWidth="1"/>
    <col min="1534" max="1534" width="7.5546875" style="613" customWidth="1"/>
    <col min="1535" max="1535" width="12.109375" style="613" customWidth="1"/>
    <col min="1536" max="1536" width="14.33203125" style="613" customWidth="1"/>
    <col min="1537" max="1537" width="3.44140625" style="613" customWidth="1"/>
    <col min="1538" max="1538" width="17.33203125" style="613" customWidth="1"/>
    <col min="1539" max="1539" width="2.109375" style="613" customWidth="1"/>
    <col min="1540" max="1540" width="7.5546875" style="613" customWidth="1"/>
    <col min="1541" max="1541" width="12.109375" style="613" customWidth="1"/>
    <col min="1542" max="1542" width="14.33203125" style="613" customWidth="1"/>
    <col min="1543" max="1543" width="42.5546875" style="613" customWidth="1"/>
    <col min="1544" max="1787" width="8.88671875" style="613"/>
    <col min="1788" max="1788" width="15.88671875" style="613" customWidth="1"/>
    <col min="1789" max="1789" width="2.109375" style="613" customWidth="1"/>
    <col min="1790" max="1790" width="7.5546875" style="613" customWidth="1"/>
    <col min="1791" max="1791" width="12.109375" style="613" customWidth="1"/>
    <col min="1792" max="1792" width="14.33203125" style="613" customWidth="1"/>
    <col min="1793" max="1793" width="3.44140625" style="613" customWidth="1"/>
    <col min="1794" max="1794" width="17.33203125" style="613" customWidth="1"/>
    <col min="1795" max="1795" width="2.109375" style="613" customWidth="1"/>
    <col min="1796" max="1796" width="7.5546875" style="613" customWidth="1"/>
    <col min="1797" max="1797" width="12.109375" style="613" customWidth="1"/>
    <col min="1798" max="1798" width="14.33203125" style="613" customWidth="1"/>
    <col min="1799" max="1799" width="42.5546875" style="613" customWidth="1"/>
    <col min="1800" max="2043" width="8.88671875" style="613"/>
    <col min="2044" max="2044" width="15.88671875" style="613" customWidth="1"/>
    <col min="2045" max="2045" width="2.109375" style="613" customWidth="1"/>
    <col min="2046" max="2046" width="7.5546875" style="613" customWidth="1"/>
    <col min="2047" max="2047" width="12.109375" style="613" customWidth="1"/>
    <col min="2048" max="2048" width="14.33203125" style="613" customWidth="1"/>
    <col min="2049" max="2049" width="3.44140625" style="613" customWidth="1"/>
    <col min="2050" max="2050" width="17.33203125" style="613" customWidth="1"/>
    <col min="2051" max="2051" width="2.109375" style="613" customWidth="1"/>
    <col min="2052" max="2052" width="7.5546875" style="613" customWidth="1"/>
    <col min="2053" max="2053" width="12.109375" style="613" customWidth="1"/>
    <col min="2054" max="2054" width="14.33203125" style="613" customWidth="1"/>
    <col min="2055" max="2055" width="42.5546875" style="613" customWidth="1"/>
    <col min="2056" max="2299" width="8.88671875" style="613"/>
    <col min="2300" max="2300" width="15.88671875" style="613" customWidth="1"/>
    <col min="2301" max="2301" width="2.109375" style="613" customWidth="1"/>
    <col min="2302" max="2302" width="7.5546875" style="613" customWidth="1"/>
    <col min="2303" max="2303" width="12.109375" style="613" customWidth="1"/>
    <col min="2304" max="2304" width="14.33203125" style="613" customWidth="1"/>
    <col min="2305" max="2305" width="3.44140625" style="613" customWidth="1"/>
    <col min="2306" max="2306" width="17.33203125" style="613" customWidth="1"/>
    <col min="2307" max="2307" width="2.109375" style="613" customWidth="1"/>
    <col min="2308" max="2308" width="7.5546875" style="613" customWidth="1"/>
    <col min="2309" max="2309" width="12.109375" style="613" customWidth="1"/>
    <col min="2310" max="2310" width="14.33203125" style="613" customWidth="1"/>
    <col min="2311" max="2311" width="42.5546875" style="613" customWidth="1"/>
    <col min="2312" max="2555" width="8.88671875" style="613"/>
    <col min="2556" max="2556" width="15.88671875" style="613" customWidth="1"/>
    <col min="2557" max="2557" width="2.109375" style="613" customWidth="1"/>
    <col min="2558" max="2558" width="7.5546875" style="613" customWidth="1"/>
    <col min="2559" max="2559" width="12.109375" style="613" customWidth="1"/>
    <col min="2560" max="2560" width="14.33203125" style="613" customWidth="1"/>
    <col min="2561" max="2561" width="3.44140625" style="613" customWidth="1"/>
    <col min="2562" max="2562" width="17.33203125" style="613" customWidth="1"/>
    <col min="2563" max="2563" width="2.109375" style="613" customWidth="1"/>
    <col min="2564" max="2564" width="7.5546875" style="613" customWidth="1"/>
    <col min="2565" max="2565" width="12.109375" style="613" customWidth="1"/>
    <col min="2566" max="2566" width="14.33203125" style="613" customWidth="1"/>
    <col min="2567" max="2567" width="42.5546875" style="613" customWidth="1"/>
    <col min="2568" max="2811" width="8.88671875" style="613"/>
    <col min="2812" max="2812" width="15.88671875" style="613" customWidth="1"/>
    <col min="2813" max="2813" width="2.109375" style="613" customWidth="1"/>
    <col min="2814" max="2814" width="7.5546875" style="613" customWidth="1"/>
    <col min="2815" max="2815" width="12.109375" style="613" customWidth="1"/>
    <col min="2816" max="2816" width="14.33203125" style="613" customWidth="1"/>
    <col min="2817" max="2817" width="3.44140625" style="613" customWidth="1"/>
    <col min="2818" max="2818" width="17.33203125" style="613" customWidth="1"/>
    <col min="2819" max="2819" width="2.109375" style="613" customWidth="1"/>
    <col min="2820" max="2820" width="7.5546875" style="613" customWidth="1"/>
    <col min="2821" max="2821" width="12.109375" style="613" customWidth="1"/>
    <col min="2822" max="2822" width="14.33203125" style="613" customWidth="1"/>
    <col min="2823" max="2823" width="42.5546875" style="613" customWidth="1"/>
    <col min="2824" max="3067" width="8.88671875" style="613"/>
    <col min="3068" max="3068" width="15.88671875" style="613" customWidth="1"/>
    <col min="3069" max="3069" width="2.109375" style="613" customWidth="1"/>
    <col min="3070" max="3070" width="7.5546875" style="613" customWidth="1"/>
    <col min="3071" max="3071" width="12.109375" style="613" customWidth="1"/>
    <col min="3072" max="3072" width="14.33203125" style="613" customWidth="1"/>
    <col min="3073" max="3073" width="3.44140625" style="613" customWidth="1"/>
    <col min="3074" max="3074" width="17.33203125" style="613" customWidth="1"/>
    <col min="3075" max="3075" width="2.109375" style="613" customWidth="1"/>
    <col min="3076" max="3076" width="7.5546875" style="613" customWidth="1"/>
    <col min="3077" max="3077" width="12.109375" style="613" customWidth="1"/>
    <col min="3078" max="3078" width="14.33203125" style="613" customWidth="1"/>
    <col min="3079" max="3079" width="42.5546875" style="613" customWidth="1"/>
    <col min="3080" max="3323" width="8.88671875" style="613"/>
    <col min="3324" max="3324" width="15.88671875" style="613" customWidth="1"/>
    <col min="3325" max="3325" width="2.109375" style="613" customWidth="1"/>
    <col min="3326" max="3326" width="7.5546875" style="613" customWidth="1"/>
    <col min="3327" max="3327" width="12.109375" style="613" customWidth="1"/>
    <col min="3328" max="3328" width="14.33203125" style="613" customWidth="1"/>
    <col min="3329" max="3329" width="3.44140625" style="613" customWidth="1"/>
    <col min="3330" max="3330" width="17.33203125" style="613" customWidth="1"/>
    <col min="3331" max="3331" width="2.109375" style="613" customWidth="1"/>
    <col min="3332" max="3332" width="7.5546875" style="613" customWidth="1"/>
    <col min="3333" max="3333" width="12.109375" style="613" customWidth="1"/>
    <col min="3334" max="3334" width="14.33203125" style="613" customWidth="1"/>
    <col min="3335" max="3335" width="42.5546875" style="613" customWidth="1"/>
    <col min="3336" max="3579" width="8.88671875" style="613"/>
    <col min="3580" max="3580" width="15.88671875" style="613" customWidth="1"/>
    <col min="3581" max="3581" width="2.109375" style="613" customWidth="1"/>
    <col min="3582" max="3582" width="7.5546875" style="613" customWidth="1"/>
    <col min="3583" max="3583" width="12.109375" style="613" customWidth="1"/>
    <col min="3584" max="3584" width="14.33203125" style="613" customWidth="1"/>
    <col min="3585" max="3585" width="3.44140625" style="613" customWidth="1"/>
    <col min="3586" max="3586" width="17.33203125" style="613" customWidth="1"/>
    <col min="3587" max="3587" width="2.109375" style="613" customWidth="1"/>
    <col min="3588" max="3588" width="7.5546875" style="613" customWidth="1"/>
    <col min="3589" max="3589" width="12.109375" style="613" customWidth="1"/>
    <col min="3590" max="3590" width="14.33203125" style="613" customWidth="1"/>
    <col min="3591" max="3591" width="42.5546875" style="613" customWidth="1"/>
    <col min="3592" max="3835" width="8.88671875" style="613"/>
    <col min="3836" max="3836" width="15.88671875" style="613" customWidth="1"/>
    <col min="3837" max="3837" width="2.109375" style="613" customWidth="1"/>
    <col min="3838" max="3838" width="7.5546875" style="613" customWidth="1"/>
    <col min="3839" max="3839" width="12.109375" style="613" customWidth="1"/>
    <col min="3840" max="3840" width="14.33203125" style="613" customWidth="1"/>
    <col min="3841" max="3841" width="3.44140625" style="613" customWidth="1"/>
    <col min="3842" max="3842" width="17.33203125" style="613" customWidth="1"/>
    <col min="3843" max="3843" width="2.109375" style="613" customWidth="1"/>
    <col min="3844" max="3844" width="7.5546875" style="613" customWidth="1"/>
    <col min="3845" max="3845" width="12.109375" style="613" customWidth="1"/>
    <col min="3846" max="3846" width="14.33203125" style="613" customWidth="1"/>
    <col min="3847" max="3847" width="42.5546875" style="613" customWidth="1"/>
    <col min="3848" max="4091" width="8.88671875" style="613"/>
    <col min="4092" max="4092" width="15.88671875" style="613" customWidth="1"/>
    <col min="4093" max="4093" width="2.109375" style="613" customWidth="1"/>
    <col min="4094" max="4094" width="7.5546875" style="613" customWidth="1"/>
    <col min="4095" max="4095" width="12.109375" style="613" customWidth="1"/>
    <col min="4096" max="4096" width="14.33203125" style="613" customWidth="1"/>
    <col min="4097" max="4097" width="3.44140625" style="613" customWidth="1"/>
    <col min="4098" max="4098" width="17.33203125" style="613" customWidth="1"/>
    <col min="4099" max="4099" width="2.109375" style="613" customWidth="1"/>
    <col min="4100" max="4100" width="7.5546875" style="613" customWidth="1"/>
    <col min="4101" max="4101" width="12.109375" style="613" customWidth="1"/>
    <col min="4102" max="4102" width="14.33203125" style="613" customWidth="1"/>
    <col min="4103" max="4103" width="42.5546875" style="613" customWidth="1"/>
    <col min="4104" max="4347" width="8.88671875" style="613"/>
    <col min="4348" max="4348" width="15.88671875" style="613" customWidth="1"/>
    <col min="4349" max="4349" width="2.109375" style="613" customWidth="1"/>
    <col min="4350" max="4350" width="7.5546875" style="613" customWidth="1"/>
    <col min="4351" max="4351" width="12.109375" style="613" customWidth="1"/>
    <col min="4352" max="4352" width="14.33203125" style="613" customWidth="1"/>
    <col min="4353" max="4353" width="3.44140625" style="613" customWidth="1"/>
    <col min="4354" max="4354" width="17.33203125" style="613" customWidth="1"/>
    <col min="4355" max="4355" width="2.109375" style="613" customWidth="1"/>
    <col min="4356" max="4356" width="7.5546875" style="613" customWidth="1"/>
    <col min="4357" max="4357" width="12.109375" style="613" customWidth="1"/>
    <col min="4358" max="4358" width="14.33203125" style="613" customWidth="1"/>
    <col min="4359" max="4359" width="42.5546875" style="613" customWidth="1"/>
    <col min="4360" max="4603" width="8.88671875" style="613"/>
    <col min="4604" max="4604" width="15.88671875" style="613" customWidth="1"/>
    <col min="4605" max="4605" width="2.109375" style="613" customWidth="1"/>
    <col min="4606" max="4606" width="7.5546875" style="613" customWidth="1"/>
    <col min="4607" max="4607" width="12.109375" style="613" customWidth="1"/>
    <col min="4608" max="4608" width="14.33203125" style="613" customWidth="1"/>
    <col min="4609" max="4609" width="3.44140625" style="613" customWidth="1"/>
    <col min="4610" max="4610" width="17.33203125" style="613" customWidth="1"/>
    <col min="4611" max="4611" width="2.109375" style="613" customWidth="1"/>
    <col min="4612" max="4612" width="7.5546875" style="613" customWidth="1"/>
    <col min="4613" max="4613" width="12.109375" style="613" customWidth="1"/>
    <col min="4614" max="4614" width="14.33203125" style="613" customWidth="1"/>
    <col min="4615" max="4615" width="42.5546875" style="613" customWidth="1"/>
    <col min="4616" max="4859" width="8.88671875" style="613"/>
    <col min="4860" max="4860" width="15.88671875" style="613" customWidth="1"/>
    <col min="4861" max="4861" width="2.109375" style="613" customWidth="1"/>
    <col min="4862" max="4862" width="7.5546875" style="613" customWidth="1"/>
    <col min="4863" max="4863" width="12.109375" style="613" customWidth="1"/>
    <col min="4864" max="4864" width="14.33203125" style="613" customWidth="1"/>
    <col min="4865" max="4865" width="3.44140625" style="613" customWidth="1"/>
    <col min="4866" max="4866" width="17.33203125" style="613" customWidth="1"/>
    <col min="4867" max="4867" width="2.109375" style="613" customWidth="1"/>
    <col min="4868" max="4868" width="7.5546875" style="613" customWidth="1"/>
    <col min="4869" max="4869" width="12.109375" style="613" customWidth="1"/>
    <col min="4870" max="4870" width="14.33203125" style="613" customWidth="1"/>
    <col min="4871" max="4871" width="42.5546875" style="613" customWidth="1"/>
    <col min="4872" max="5115" width="8.88671875" style="613"/>
    <col min="5116" max="5116" width="15.88671875" style="613" customWidth="1"/>
    <col min="5117" max="5117" width="2.109375" style="613" customWidth="1"/>
    <col min="5118" max="5118" width="7.5546875" style="613" customWidth="1"/>
    <col min="5119" max="5119" width="12.109375" style="613" customWidth="1"/>
    <col min="5120" max="5120" width="14.33203125" style="613" customWidth="1"/>
    <col min="5121" max="5121" width="3.44140625" style="613" customWidth="1"/>
    <col min="5122" max="5122" width="17.33203125" style="613" customWidth="1"/>
    <col min="5123" max="5123" width="2.109375" style="613" customWidth="1"/>
    <col min="5124" max="5124" width="7.5546875" style="613" customWidth="1"/>
    <col min="5125" max="5125" width="12.109375" style="613" customWidth="1"/>
    <col min="5126" max="5126" width="14.33203125" style="613" customWidth="1"/>
    <col min="5127" max="5127" width="42.5546875" style="613" customWidth="1"/>
    <col min="5128" max="5371" width="8.88671875" style="613"/>
    <col min="5372" max="5372" width="15.88671875" style="613" customWidth="1"/>
    <col min="5373" max="5373" width="2.109375" style="613" customWidth="1"/>
    <col min="5374" max="5374" width="7.5546875" style="613" customWidth="1"/>
    <col min="5375" max="5375" width="12.109375" style="613" customWidth="1"/>
    <col min="5376" max="5376" width="14.33203125" style="613" customWidth="1"/>
    <col min="5377" max="5377" width="3.44140625" style="613" customWidth="1"/>
    <col min="5378" max="5378" width="17.33203125" style="613" customWidth="1"/>
    <col min="5379" max="5379" width="2.109375" style="613" customWidth="1"/>
    <col min="5380" max="5380" width="7.5546875" style="613" customWidth="1"/>
    <col min="5381" max="5381" width="12.109375" style="613" customWidth="1"/>
    <col min="5382" max="5382" width="14.33203125" style="613" customWidth="1"/>
    <col min="5383" max="5383" width="42.5546875" style="613" customWidth="1"/>
    <col min="5384" max="5627" width="8.88671875" style="613"/>
    <col min="5628" max="5628" width="15.88671875" style="613" customWidth="1"/>
    <col min="5629" max="5629" width="2.109375" style="613" customWidth="1"/>
    <col min="5630" max="5630" width="7.5546875" style="613" customWidth="1"/>
    <col min="5631" max="5631" width="12.109375" style="613" customWidth="1"/>
    <col min="5632" max="5632" width="14.33203125" style="613" customWidth="1"/>
    <col min="5633" max="5633" width="3.44140625" style="613" customWidth="1"/>
    <col min="5634" max="5634" width="17.33203125" style="613" customWidth="1"/>
    <col min="5635" max="5635" width="2.109375" style="613" customWidth="1"/>
    <col min="5636" max="5636" width="7.5546875" style="613" customWidth="1"/>
    <col min="5637" max="5637" width="12.109375" style="613" customWidth="1"/>
    <col min="5638" max="5638" width="14.33203125" style="613" customWidth="1"/>
    <col min="5639" max="5639" width="42.5546875" style="613" customWidth="1"/>
    <col min="5640" max="5883" width="8.88671875" style="613"/>
    <col min="5884" max="5884" width="15.88671875" style="613" customWidth="1"/>
    <col min="5885" max="5885" width="2.109375" style="613" customWidth="1"/>
    <col min="5886" max="5886" width="7.5546875" style="613" customWidth="1"/>
    <col min="5887" max="5887" width="12.109375" style="613" customWidth="1"/>
    <col min="5888" max="5888" width="14.33203125" style="613" customWidth="1"/>
    <col min="5889" max="5889" width="3.44140625" style="613" customWidth="1"/>
    <col min="5890" max="5890" width="17.33203125" style="613" customWidth="1"/>
    <col min="5891" max="5891" width="2.109375" style="613" customWidth="1"/>
    <col min="5892" max="5892" width="7.5546875" style="613" customWidth="1"/>
    <col min="5893" max="5893" width="12.109375" style="613" customWidth="1"/>
    <col min="5894" max="5894" width="14.33203125" style="613" customWidth="1"/>
    <col min="5895" max="5895" width="42.5546875" style="613" customWidth="1"/>
    <col min="5896" max="6139" width="8.88671875" style="613"/>
    <col min="6140" max="6140" width="15.88671875" style="613" customWidth="1"/>
    <col min="6141" max="6141" width="2.109375" style="613" customWidth="1"/>
    <col min="6142" max="6142" width="7.5546875" style="613" customWidth="1"/>
    <col min="6143" max="6143" width="12.109375" style="613" customWidth="1"/>
    <col min="6144" max="6144" width="14.33203125" style="613" customWidth="1"/>
    <col min="6145" max="6145" width="3.44140625" style="613" customWidth="1"/>
    <col min="6146" max="6146" width="17.33203125" style="613" customWidth="1"/>
    <col min="6147" max="6147" width="2.109375" style="613" customWidth="1"/>
    <col min="6148" max="6148" width="7.5546875" style="613" customWidth="1"/>
    <col min="6149" max="6149" width="12.109375" style="613" customWidth="1"/>
    <col min="6150" max="6150" width="14.33203125" style="613" customWidth="1"/>
    <col min="6151" max="6151" width="42.5546875" style="613" customWidth="1"/>
    <col min="6152" max="6395" width="8.88671875" style="613"/>
    <col min="6396" max="6396" width="15.88671875" style="613" customWidth="1"/>
    <col min="6397" max="6397" width="2.109375" style="613" customWidth="1"/>
    <col min="6398" max="6398" width="7.5546875" style="613" customWidth="1"/>
    <col min="6399" max="6399" width="12.109375" style="613" customWidth="1"/>
    <col min="6400" max="6400" width="14.33203125" style="613" customWidth="1"/>
    <col min="6401" max="6401" width="3.44140625" style="613" customWidth="1"/>
    <col min="6402" max="6402" width="17.33203125" style="613" customWidth="1"/>
    <col min="6403" max="6403" width="2.109375" style="613" customWidth="1"/>
    <col min="6404" max="6404" width="7.5546875" style="613" customWidth="1"/>
    <col min="6405" max="6405" width="12.109375" style="613" customWidth="1"/>
    <col min="6406" max="6406" width="14.33203125" style="613" customWidth="1"/>
    <col min="6407" max="6407" width="42.5546875" style="613" customWidth="1"/>
    <col min="6408" max="6651" width="8.88671875" style="613"/>
    <col min="6652" max="6652" width="15.88671875" style="613" customWidth="1"/>
    <col min="6653" max="6653" width="2.109375" style="613" customWidth="1"/>
    <col min="6654" max="6654" width="7.5546875" style="613" customWidth="1"/>
    <col min="6655" max="6655" width="12.109375" style="613" customWidth="1"/>
    <col min="6656" max="6656" width="14.33203125" style="613" customWidth="1"/>
    <col min="6657" max="6657" width="3.44140625" style="613" customWidth="1"/>
    <col min="6658" max="6658" width="17.33203125" style="613" customWidth="1"/>
    <col min="6659" max="6659" width="2.109375" style="613" customWidth="1"/>
    <col min="6660" max="6660" width="7.5546875" style="613" customWidth="1"/>
    <col min="6661" max="6661" width="12.109375" style="613" customWidth="1"/>
    <col min="6662" max="6662" width="14.33203125" style="613" customWidth="1"/>
    <col min="6663" max="6663" width="42.5546875" style="613" customWidth="1"/>
    <col min="6664" max="6907" width="8.88671875" style="613"/>
    <col min="6908" max="6908" width="15.88671875" style="613" customWidth="1"/>
    <col min="6909" max="6909" width="2.109375" style="613" customWidth="1"/>
    <col min="6910" max="6910" width="7.5546875" style="613" customWidth="1"/>
    <col min="6911" max="6911" width="12.109375" style="613" customWidth="1"/>
    <col min="6912" max="6912" width="14.33203125" style="613" customWidth="1"/>
    <col min="6913" max="6913" width="3.44140625" style="613" customWidth="1"/>
    <col min="6914" max="6914" width="17.33203125" style="613" customWidth="1"/>
    <col min="6915" max="6915" width="2.109375" style="613" customWidth="1"/>
    <col min="6916" max="6916" width="7.5546875" style="613" customWidth="1"/>
    <col min="6917" max="6917" width="12.109375" style="613" customWidth="1"/>
    <col min="6918" max="6918" width="14.33203125" style="613" customWidth="1"/>
    <col min="6919" max="6919" width="42.5546875" style="613" customWidth="1"/>
    <col min="6920" max="7163" width="8.88671875" style="613"/>
    <col min="7164" max="7164" width="15.88671875" style="613" customWidth="1"/>
    <col min="7165" max="7165" width="2.109375" style="613" customWidth="1"/>
    <col min="7166" max="7166" width="7.5546875" style="613" customWidth="1"/>
    <col min="7167" max="7167" width="12.109375" style="613" customWidth="1"/>
    <col min="7168" max="7168" width="14.33203125" style="613" customWidth="1"/>
    <col min="7169" max="7169" width="3.44140625" style="613" customWidth="1"/>
    <col min="7170" max="7170" width="17.33203125" style="613" customWidth="1"/>
    <col min="7171" max="7171" width="2.109375" style="613" customWidth="1"/>
    <col min="7172" max="7172" width="7.5546875" style="613" customWidth="1"/>
    <col min="7173" max="7173" width="12.109375" style="613" customWidth="1"/>
    <col min="7174" max="7174" width="14.33203125" style="613" customWidth="1"/>
    <col min="7175" max="7175" width="42.5546875" style="613" customWidth="1"/>
    <col min="7176" max="7419" width="8.88671875" style="613"/>
    <col min="7420" max="7420" width="15.88671875" style="613" customWidth="1"/>
    <col min="7421" max="7421" width="2.109375" style="613" customWidth="1"/>
    <col min="7422" max="7422" width="7.5546875" style="613" customWidth="1"/>
    <col min="7423" max="7423" width="12.109375" style="613" customWidth="1"/>
    <col min="7424" max="7424" width="14.33203125" style="613" customWidth="1"/>
    <col min="7425" max="7425" width="3.44140625" style="613" customWidth="1"/>
    <col min="7426" max="7426" width="17.33203125" style="613" customWidth="1"/>
    <col min="7427" max="7427" width="2.109375" style="613" customWidth="1"/>
    <col min="7428" max="7428" width="7.5546875" style="613" customWidth="1"/>
    <col min="7429" max="7429" width="12.109375" style="613" customWidth="1"/>
    <col min="7430" max="7430" width="14.33203125" style="613" customWidth="1"/>
    <col min="7431" max="7431" width="42.5546875" style="613" customWidth="1"/>
    <col min="7432" max="7675" width="8.88671875" style="613"/>
    <col min="7676" max="7676" width="15.88671875" style="613" customWidth="1"/>
    <col min="7677" max="7677" width="2.109375" style="613" customWidth="1"/>
    <col min="7678" max="7678" width="7.5546875" style="613" customWidth="1"/>
    <col min="7679" max="7679" width="12.109375" style="613" customWidth="1"/>
    <col min="7680" max="7680" width="14.33203125" style="613" customWidth="1"/>
    <col min="7681" max="7681" width="3.44140625" style="613" customWidth="1"/>
    <col min="7682" max="7682" width="17.33203125" style="613" customWidth="1"/>
    <col min="7683" max="7683" width="2.109375" style="613" customWidth="1"/>
    <col min="7684" max="7684" width="7.5546875" style="613" customWidth="1"/>
    <col min="7685" max="7685" width="12.109375" style="613" customWidth="1"/>
    <col min="7686" max="7686" width="14.33203125" style="613" customWidth="1"/>
    <col min="7687" max="7687" width="42.5546875" style="613" customWidth="1"/>
    <col min="7688" max="7931" width="8.88671875" style="613"/>
    <col min="7932" max="7932" width="15.88671875" style="613" customWidth="1"/>
    <col min="7933" max="7933" width="2.109375" style="613" customWidth="1"/>
    <col min="7934" max="7934" width="7.5546875" style="613" customWidth="1"/>
    <col min="7935" max="7935" width="12.109375" style="613" customWidth="1"/>
    <col min="7936" max="7936" width="14.33203125" style="613" customWidth="1"/>
    <col min="7937" max="7937" width="3.44140625" style="613" customWidth="1"/>
    <col min="7938" max="7938" width="17.33203125" style="613" customWidth="1"/>
    <col min="7939" max="7939" width="2.109375" style="613" customWidth="1"/>
    <col min="7940" max="7940" width="7.5546875" style="613" customWidth="1"/>
    <col min="7941" max="7941" width="12.109375" style="613" customWidth="1"/>
    <col min="7942" max="7942" width="14.33203125" style="613" customWidth="1"/>
    <col min="7943" max="7943" width="42.5546875" style="613" customWidth="1"/>
    <col min="7944" max="8187" width="8.88671875" style="613"/>
    <col min="8188" max="8188" width="15.88671875" style="613" customWidth="1"/>
    <col min="8189" max="8189" width="2.109375" style="613" customWidth="1"/>
    <col min="8190" max="8190" width="7.5546875" style="613" customWidth="1"/>
    <col min="8191" max="8191" width="12.109375" style="613" customWidth="1"/>
    <col min="8192" max="8192" width="14.33203125" style="613" customWidth="1"/>
    <col min="8193" max="8193" width="3.44140625" style="613" customWidth="1"/>
    <col min="8194" max="8194" width="17.33203125" style="613" customWidth="1"/>
    <col min="8195" max="8195" width="2.109375" style="613" customWidth="1"/>
    <col min="8196" max="8196" width="7.5546875" style="613" customWidth="1"/>
    <col min="8197" max="8197" width="12.109375" style="613" customWidth="1"/>
    <col min="8198" max="8198" width="14.33203125" style="613" customWidth="1"/>
    <col min="8199" max="8199" width="42.5546875" style="613" customWidth="1"/>
    <col min="8200" max="8443" width="8.88671875" style="613"/>
    <col min="8444" max="8444" width="15.88671875" style="613" customWidth="1"/>
    <col min="8445" max="8445" width="2.109375" style="613" customWidth="1"/>
    <col min="8446" max="8446" width="7.5546875" style="613" customWidth="1"/>
    <col min="8447" max="8447" width="12.109375" style="613" customWidth="1"/>
    <col min="8448" max="8448" width="14.33203125" style="613" customWidth="1"/>
    <col min="8449" max="8449" width="3.44140625" style="613" customWidth="1"/>
    <col min="8450" max="8450" width="17.33203125" style="613" customWidth="1"/>
    <col min="8451" max="8451" width="2.109375" style="613" customWidth="1"/>
    <col min="8452" max="8452" width="7.5546875" style="613" customWidth="1"/>
    <col min="8453" max="8453" width="12.109375" style="613" customWidth="1"/>
    <col min="8454" max="8454" width="14.33203125" style="613" customWidth="1"/>
    <col min="8455" max="8455" width="42.5546875" style="613" customWidth="1"/>
    <col min="8456" max="8699" width="8.88671875" style="613"/>
    <col min="8700" max="8700" width="15.88671875" style="613" customWidth="1"/>
    <col min="8701" max="8701" width="2.109375" style="613" customWidth="1"/>
    <col min="8702" max="8702" width="7.5546875" style="613" customWidth="1"/>
    <col min="8703" max="8703" width="12.109375" style="613" customWidth="1"/>
    <col min="8704" max="8704" width="14.33203125" style="613" customWidth="1"/>
    <col min="8705" max="8705" width="3.44140625" style="613" customWidth="1"/>
    <col min="8706" max="8706" width="17.33203125" style="613" customWidth="1"/>
    <col min="8707" max="8707" width="2.109375" style="613" customWidth="1"/>
    <col min="8708" max="8708" width="7.5546875" style="613" customWidth="1"/>
    <col min="8709" max="8709" width="12.109375" style="613" customWidth="1"/>
    <col min="8710" max="8710" width="14.33203125" style="613" customWidth="1"/>
    <col min="8711" max="8711" width="42.5546875" style="613" customWidth="1"/>
    <col min="8712" max="8955" width="8.88671875" style="613"/>
    <col min="8956" max="8956" width="15.88671875" style="613" customWidth="1"/>
    <col min="8957" max="8957" width="2.109375" style="613" customWidth="1"/>
    <col min="8958" max="8958" width="7.5546875" style="613" customWidth="1"/>
    <col min="8959" max="8959" width="12.109375" style="613" customWidth="1"/>
    <col min="8960" max="8960" width="14.33203125" style="613" customWidth="1"/>
    <col min="8961" max="8961" width="3.44140625" style="613" customWidth="1"/>
    <col min="8962" max="8962" width="17.33203125" style="613" customWidth="1"/>
    <col min="8963" max="8963" width="2.109375" style="613" customWidth="1"/>
    <col min="8964" max="8964" width="7.5546875" style="613" customWidth="1"/>
    <col min="8965" max="8965" width="12.109375" style="613" customWidth="1"/>
    <col min="8966" max="8966" width="14.33203125" style="613" customWidth="1"/>
    <col min="8967" max="8967" width="42.5546875" style="613" customWidth="1"/>
    <col min="8968" max="9211" width="8.88671875" style="613"/>
    <col min="9212" max="9212" width="15.88671875" style="613" customWidth="1"/>
    <col min="9213" max="9213" width="2.109375" style="613" customWidth="1"/>
    <col min="9214" max="9214" width="7.5546875" style="613" customWidth="1"/>
    <col min="9215" max="9215" width="12.109375" style="613" customWidth="1"/>
    <col min="9216" max="9216" width="14.33203125" style="613" customWidth="1"/>
    <col min="9217" max="9217" width="3.44140625" style="613" customWidth="1"/>
    <col min="9218" max="9218" width="17.33203125" style="613" customWidth="1"/>
    <col min="9219" max="9219" width="2.109375" style="613" customWidth="1"/>
    <col min="9220" max="9220" width="7.5546875" style="613" customWidth="1"/>
    <col min="9221" max="9221" width="12.109375" style="613" customWidth="1"/>
    <col min="9222" max="9222" width="14.33203125" style="613" customWidth="1"/>
    <col min="9223" max="9223" width="42.5546875" style="613" customWidth="1"/>
    <col min="9224" max="9467" width="8.88671875" style="613"/>
    <col min="9468" max="9468" width="15.88671875" style="613" customWidth="1"/>
    <col min="9469" max="9469" width="2.109375" style="613" customWidth="1"/>
    <col min="9470" max="9470" width="7.5546875" style="613" customWidth="1"/>
    <col min="9471" max="9471" width="12.109375" style="613" customWidth="1"/>
    <col min="9472" max="9472" width="14.33203125" style="613" customWidth="1"/>
    <col min="9473" max="9473" width="3.44140625" style="613" customWidth="1"/>
    <col min="9474" max="9474" width="17.33203125" style="613" customWidth="1"/>
    <col min="9475" max="9475" width="2.109375" style="613" customWidth="1"/>
    <col min="9476" max="9476" width="7.5546875" style="613" customWidth="1"/>
    <col min="9477" max="9477" width="12.109375" style="613" customWidth="1"/>
    <col min="9478" max="9478" width="14.33203125" style="613" customWidth="1"/>
    <col min="9479" max="9479" width="42.5546875" style="613" customWidth="1"/>
    <col min="9480" max="9723" width="8.88671875" style="613"/>
    <col min="9724" max="9724" width="15.88671875" style="613" customWidth="1"/>
    <col min="9725" max="9725" width="2.109375" style="613" customWidth="1"/>
    <col min="9726" max="9726" width="7.5546875" style="613" customWidth="1"/>
    <col min="9727" max="9727" width="12.109375" style="613" customWidth="1"/>
    <col min="9728" max="9728" width="14.33203125" style="613" customWidth="1"/>
    <col min="9729" max="9729" width="3.44140625" style="613" customWidth="1"/>
    <col min="9730" max="9730" width="17.33203125" style="613" customWidth="1"/>
    <col min="9731" max="9731" width="2.109375" style="613" customWidth="1"/>
    <col min="9732" max="9732" width="7.5546875" style="613" customWidth="1"/>
    <col min="9733" max="9733" width="12.109375" style="613" customWidth="1"/>
    <col min="9734" max="9734" width="14.33203125" style="613" customWidth="1"/>
    <col min="9735" max="9735" width="42.5546875" style="613" customWidth="1"/>
    <col min="9736" max="9979" width="8.88671875" style="613"/>
    <col min="9980" max="9980" width="15.88671875" style="613" customWidth="1"/>
    <col min="9981" max="9981" width="2.109375" style="613" customWidth="1"/>
    <col min="9982" max="9982" width="7.5546875" style="613" customWidth="1"/>
    <col min="9983" max="9983" width="12.109375" style="613" customWidth="1"/>
    <col min="9984" max="9984" width="14.33203125" style="613" customWidth="1"/>
    <col min="9985" max="9985" width="3.44140625" style="613" customWidth="1"/>
    <col min="9986" max="9986" width="17.33203125" style="613" customWidth="1"/>
    <col min="9987" max="9987" width="2.109375" style="613" customWidth="1"/>
    <col min="9988" max="9988" width="7.5546875" style="613" customWidth="1"/>
    <col min="9989" max="9989" width="12.109375" style="613" customWidth="1"/>
    <col min="9990" max="9990" width="14.33203125" style="613" customWidth="1"/>
    <col min="9991" max="9991" width="42.5546875" style="613" customWidth="1"/>
    <col min="9992" max="10235" width="8.88671875" style="613"/>
    <col min="10236" max="10236" width="15.88671875" style="613" customWidth="1"/>
    <col min="10237" max="10237" width="2.109375" style="613" customWidth="1"/>
    <col min="10238" max="10238" width="7.5546875" style="613" customWidth="1"/>
    <col min="10239" max="10239" width="12.109375" style="613" customWidth="1"/>
    <col min="10240" max="10240" width="14.33203125" style="613" customWidth="1"/>
    <col min="10241" max="10241" width="3.44140625" style="613" customWidth="1"/>
    <col min="10242" max="10242" width="17.33203125" style="613" customWidth="1"/>
    <col min="10243" max="10243" width="2.109375" style="613" customWidth="1"/>
    <col min="10244" max="10244" width="7.5546875" style="613" customWidth="1"/>
    <col min="10245" max="10245" width="12.109375" style="613" customWidth="1"/>
    <col min="10246" max="10246" width="14.33203125" style="613" customWidth="1"/>
    <col min="10247" max="10247" width="42.5546875" style="613" customWidth="1"/>
    <col min="10248" max="10491" width="8.88671875" style="613"/>
    <col min="10492" max="10492" width="15.88671875" style="613" customWidth="1"/>
    <col min="10493" max="10493" width="2.109375" style="613" customWidth="1"/>
    <col min="10494" max="10494" width="7.5546875" style="613" customWidth="1"/>
    <col min="10495" max="10495" width="12.109375" style="613" customWidth="1"/>
    <col min="10496" max="10496" width="14.33203125" style="613" customWidth="1"/>
    <col min="10497" max="10497" width="3.44140625" style="613" customWidth="1"/>
    <col min="10498" max="10498" width="17.33203125" style="613" customWidth="1"/>
    <col min="10499" max="10499" width="2.109375" style="613" customWidth="1"/>
    <col min="10500" max="10500" width="7.5546875" style="613" customWidth="1"/>
    <col min="10501" max="10501" width="12.109375" style="613" customWidth="1"/>
    <col min="10502" max="10502" width="14.33203125" style="613" customWidth="1"/>
    <col min="10503" max="10503" width="42.5546875" style="613" customWidth="1"/>
    <col min="10504" max="10747" width="8.88671875" style="613"/>
    <col min="10748" max="10748" width="15.88671875" style="613" customWidth="1"/>
    <col min="10749" max="10749" width="2.109375" style="613" customWidth="1"/>
    <col min="10750" max="10750" width="7.5546875" style="613" customWidth="1"/>
    <col min="10751" max="10751" width="12.109375" style="613" customWidth="1"/>
    <col min="10752" max="10752" width="14.33203125" style="613" customWidth="1"/>
    <col min="10753" max="10753" width="3.44140625" style="613" customWidth="1"/>
    <col min="10754" max="10754" width="17.33203125" style="613" customWidth="1"/>
    <col min="10755" max="10755" width="2.109375" style="613" customWidth="1"/>
    <col min="10756" max="10756" width="7.5546875" style="613" customWidth="1"/>
    <col min="10757" max="10757" width="12.109375" style="613" customWidth="1"/>
    <col min="10758" max="10758" width="14.33203125" style="613" customWidth="1"/>
    <col min="10759" max="10759" width="42.5546875" style="613" customWidth="1"/>
    <col min="10760" max="11003" width="8.88671875" style="613"/>
    <col min="11004" max="11004" width="15.88671875" style="613" customWidth="1"/>
    <col min="11005" max="11005" width="2.109375" style="613" customWidth="1"/>
    <col min="11006" max="11006" width="7.5546875" style="613" customWidth="1"/>
    <col min="11007" max="11007" width="12.109375" style="613" customWidth="1"/>
    <col min="11008" max="11008" width="14.33203125" style="613" customWidth="1"/>
    <col min="11009" max="11009" width="3.44140625" style="613" customWidth="1"/>
    <col min="11010" max="11010" width="17.33203125" style="613" customWidth="1"/>
    <col min="11011" max="11011" width="2.109375" style="613" customWidth="1"/>
    <col min="11012" max="11012" width="7.5546875" style="613" customWidth="1"/>
    <col min="11013" max="11013" width="12.109375" style="613" customWidth="1"/>
    <col min="11014" max="11014" width="14.33203125" style="613" customWidth="1"/>
    <col min="11015" max="11015" width="42.5546875" style="613" customWidth="1"/>
    <col min="11016" max="11259" width="8.88671875" style="613"/>
    <col min="11260" max="11260" width="15.88671875" style="613" customWidth="1"/>
    <col min="11261" max="11261" width="2.109375" style="613" customWidth="1"/>
    <col min="11262" max="11262" width="7.5546875" style="613" customWidth="1"/>
    <col min="11263" max="11263" width="12.109375" style="613" customWidth="1"/>
    <col min="11264" max="11264" width="14.33203125" style="613" customWidth="1"/>
    <col min="11265" max="11265" width="3.44140625" style="613" customWidth="1"/>
    <col min="11266" max="11266" width="17.33203125" style="613" customWidth="1"/>
    <col min="11267" max="11267" width="2.109375" style="613" customWidth="1"/>
    <col min="11268" max="11268" width="7.5546875" style="613" customWidth="1"/>
    <col min="11269" max="11269" width="12.109375" style="613" customWidth="1"/>
    <col min="11270" max="11270" width="14.33203125" style="613" customWidth="1"/>
    <col min="11271" max="11271" width="42.5546875" style="613" customWidth="1"/>
    <col min="11272" max="11515" width="8.88671875" style="613"/>
    <col min="11516" max="11516" width="15.88671875" style="613" customWidth="1"/>
    <col min="11517" max="11517" width="2.109375" style="613" customWidth="1"/>
    <col min="11518" max="11518" width="7.5546875" style="613" customWidth="1"/>
    <col min="11519" max="11519" width="12.109375" style="613" customWidth="1"/>
    <col min="11520" max="11520" width="14.33203125" style="613" customWidth="1"/>
    <col min="11521" max="11521" width="3.44140625" style="613" customWidth="1"/>
    <col min="11522" max="11522" width="17.33203125" style="613" customWidth="1"/>
    <col min="11523" max="11523" width="2.109375" style="613" customWidth="1"/>
    <col min="11524" max="11524" width="7.5546875" style="613" customWidth="1"/>
    <col min="11525" max="11525" width="12.109375" style="613" customWidth="1"/>
    <col min="11526" max="11526" width="14.33203125" style="613" customWidth="1"/>
    <col min="11527" max="11527" width="42.5546875" style="613" customWidth="1"/>
    <col min="11528" max="11771" width="8.88671875" style="613"/>
    <col min="11772" max="11772" width="15.88671875" style="613" customWidth="1"/>
    <col min="11773" max="11773" width="2.109375" style="613" customWidth="1"/>
    <col min="11774" max="11774" width="7.5546875" style="613" customWidth="1"/>
    <col min="11775" max="11775" width="12.109375" style="613" customWidth="1"/>
    <col min="11776" max="11776" width="14.33203125" style="613" customWidth="1"/>
    <col min="11777" max="11777" width="3.44140625" style="613" customWidth="1"/>
    <col min="11778" max="11778" width="17.33203125" style="613" customWidth="1"/>
    <col min="11779" max="11779" width="2.109375" style="613" customWidth="1"/>
    <col min="11780" max="11780" width="7.5546875" style="613" customWidth="1"/>
    <col min="11781" max="11781" width="12.109375" style="613" customWidth="1"/>
    <col min="11782" max="11782" width="14.33203125" style="613" customWidth="1"/>
    <col min="11783" max="11783" width="42.5546875" style="613" customWidth="1"/>
    <col min="11784" max="12027" width="8.88671875" style="613"/>
    <col min="12028" max="12028" width="15.88671875" style="613" customWidth="1"/>
    <col min="12029" max="12029" width="2.109375" style="613" customWidth="1"/>
    <col min="12030" max="12030" width="7.5546875" style="613" customWidth="1"/>
    <col min="12031" max="12031" width="12.109375" style="613" customWidth="1"/>
    <col min="12032" max="12032" width="14.33203125" style="613" customWidth="1"/>
    <col min="12033" max="12033" width="3.44140625" style="613" customWidth="1"/>
    <col min="12034" max="12034" width="17.33203125" style="613" customWidth="1"/>
    <col min="12035" max="12035" width="2.109375" style="613" customWidth="1"/>
    <col min="12036" max="12036" width="7.5546875" style="613" customWidth="1"/>
    <col min="12037" max="12037" width="12.109375" style="613" customWidth="1"/>
    <col min="12038" max="12038" width="14.33203125" style="613" customWidth="1"/>
    <col min="12039" max="12039" width="42.5546875" style="613" customWidth="1"/>
    <col min="12040" max="12283" width="8.88671875" style="613"/>
    <col min="12284" max="12284" width="15.88671875" style="613" customWidth="1"/>
    <col min="12285" max="12285" width="2.109375" style="613" customWidth="1"/>
    <col min="12286" max="12286" width="7.5546875" style="613" customWidth="1"/>
    <col min="12287" max="12287" width="12.109375" style="613" customWidth="1"/>
    <col min="12288" max="12288" width="14.33203125" style="613" customWidth="1"/>
    <col min="12289" max="12289" width="3.44140625" style="613" customWidth="1"/>
    <col min="12290" max="12290" width="17.33203125" style="613" customWidth="1"/>
    <col min="12291" max="12291" width="2.109375" style="613" customWidth="1"/>
    <col min="12292" max="12292" width="7.5546875" style="613" customWidth="1"/>
    <col min="12293" max="12293" width="12.109375" style="613" customWidth="1"/>
    <col min="12294" max="12294" width="14.33203125" style="613" customWidth="1"/>
    <col min="12295" max="12295" width="42.5546875" style="613" customWidth="1"/>
    <col min="12296" max="12539" width="8.88671875" style="613"/>
    <col min="12540" max="12540" width="15.88671875" style="613" customWidth="1"/>
    <col min="12541" max="12541" width="2.109375" style="613" customWidth="1"/>
    <col min="12542" max="12542" width="7.5546875" style="613" customWidth="1"/>
    <col min="12543" max="12543" width="12.109375" style="613" customWidth="1"/>
    <col min="12544" max="12544" width="14.33203125" style="613" customWidth="1"/>
    <col min="12545" max="12545" width="3.44140625" style="613" customWidth="1"/>
    <col min="12546" max="12546" width="17.33203125" style="613" customWidth="1"/>
    <col min="12547" max="12547" width="2.109375" style="613" customWidth="1"/>
    <col min="12548" max="12548" width="7.5546875" style="613" customWidth="1"/>
    <col min="12549" max="12549" width="12.109375" style="613" customWidth="1"/>
    <col min="12550" max="12550" width="14.33203125" style="613" customWidth="1"/>
    <col min="12551" max="12551" width="42.5546875" style="613" customWidth="1"/>
    <col min="12552" max="12795" width="8.88671875" style="613"/>
    <col min="12796" max="12796" width="15.88671875" style="613" customWidth="1"/>
    <col min="12797" max="12797" width="2.109375" style="613" customWidth="1"/>
    <col min="12798" max="12798" width="7.5546875" style="613" customWidth="1"/>
    <col min="12799" max="12799" width="12.109375" style="613" customWidth="1"/>
    <col min="12800" max="12800" width="14.33203125" style="613" customWidth="1"/>
    <col min="12801" max="12801" width="3.44140625" style="613" customWidth="1"/>
    <col min="12802" max="12802" width="17.33203125" style="613" customWidth="1"/>
    <col min="12803" max="12803" width="2.109375" style="613" customWidth="1"/>
    <col min="12804" max="12804" width="7.5546875" style="613" customWidth="1"/>
    <col min="12805" max="12805" width="12.109375" style="613" customWidth="1"/>
    <col min="12806" max="12806" width="14.33203125" style="613" customWidth="1"/>
    <col min="12807" max="12807" width="42.5546875" style="613" customWidth="1"/>
    <col min="12808" max="13051" width="8.88671875" style="613"/>
    <col min="13052" max="13052" width="15.88671875" style="613" customWidth="1"/>
    <col min="13053" max="13053" width="2.109375" style="613" customWidth="1"/>
    <col min="13054" max="13054" width="7.5546875" style="613" customWidth="1"/>
    <col min="13055" max="13055" width="12.109375" style="613" customWidth="1"/>
    <col min="13056" max="13056" width="14.33203125" style="613" customWidth="1"/>
    <col min="13057" max="13057" width="3.44140625" style="613" customWidth="1"/>
    <col min="13058" max="13058" width="17.33203125" style="613" customWidth="1"/>
    <col min="13059" max="13059" width="2.109375" style="613" customWidth="1"/>
    <col min="13060" max="13060" width="7.5546875" style="613" customWidth="1"/>
    <col min="13061" max="13061" width="12.109375" style="613" customWidth="1"/>
    <col min="13062" max="13062" width="14.33203125" style="613" customWidth="1"/>
    <col min="13063" max="13063" width="42.5546875" style="613" customWidth="1"/>
    <col min="13064" max="13307" width="8.88671875" style="613"/>
    <col min="13308" max="13308" width="15.88671875" style="613" customWidth="1"/>
    <col min="13309" max="13309" width="2.109375" style="613" customWidth="1"/>
    <col min="13310" max="13310" width="7.5546875" style="613" customWidth="1"/>
    <col min="13311" max="13311" width="12.109375" style="613" customWidth="1"/>
    <col min="13312" max="13312" width="14.33203125" style="613" customWidth="1"/>
    <col min="13313" max="13313" width="3.44140625" style="613" customWidth="1"/>
    <col min="13314" max="13314" width="17.33203125" style="613" customWidth="1"/>
    <col min="13315" max="13315" width="2.109375" style="613" customWidth="1"/>
    <col min="13316" max="13316" width="7.5546875" style="613" customWidth="1"/>
    <col min="13317" max="13317" width="12.109375" style="613" customWidth="1"/>
    <col min="13318" max="13318" width="14.33203125" style="613" customWidth="1"/>
    <col min="13319" max="13319" width="42.5546875" style="613" customWidth="1"/>
    <col min="13320" max="13563" width="8.88671875" style="613"/>
    <col min="13564" max="13564" width="15.88671875" style="613" customWidth="1"/>
    <col min="13565" max="13565" width="2.109375" style="613" customWidth="1"/>
    <col min="13566" max="13566" width="7.5546875" style="613" customWidth="1"/>
    <col min="13567" max="13567" width="12.109375" style="613" customWidth="1"/>
    <col min="13568" max="13568" width="14.33203125" style="613" customWidth="1"/>
    <col min="13569" max="13569" width="3.44140625" style="613" customWidth="1"/>
    <col min="13570" max="13570" width="17.33203125" style="613" customWidth="1"/>
    <col min="13571" max="13571" width="2.109375" style="613" customWidth="1"/>
    <col min="13572" max="13572" width="7.5546875" style="613" customWidth="1"/>
    <col min="13573" max="13573" width="12.109375" style="613" customWidth="1"/>
    <col min="13574" max="13574" width="14.33203125" style="613" customWidth="1"/>
    <col min="13575" max="13575" width="42.5546875" style="613" customWidth="1"/>
    <col min="13576" max="13819" width="8.88671875" style="613"/>
    <col min="13820" max="13820" width="15.88671875" style="613" customWidth="1"/>
    <col min="13821" max="13821" width="2.109375" style="613" customWidth="1"/>
    <col min="13822" max="13822" width="7.5546875" style="613" customWidth="1"/>
    <col min="13823" max="13823" width="12.109375" style="613" customWidth="1"/>
    <col min="13824" max="13824" width="14.33203125" style="613" customWidth="1"/>
    <col min="13825" max="13825" width="3.44140625" style="613" customWidth="1"/>
    <col min="13826" max="13826" width="17.33203125" style="613" customWidth="1"/>
    <col min="13827" max="13827" width="2.109375" style="613" customWidth="1"/>
    <col min="13828" max="13828" width="7.5546875" style="613" customWidth="1"/>
    <col min="13829" max="13829" width="12.109375" style="613" customWidth="1"/>
    <col min="13830" max="13830" width="14.33203125" style="613" customWidth="1"/>
    <col min="13831" max="13831" width="42.5546875" style="613" customWidth="1"/>
    <col min="13832" max="14075" width="8.88671875" style="613"/>
    <col min="14076" max="14076" width="15.88671875" style="613" customWidth="1"/>
    <col min="14077" max="14077" width="2.109375" style="613" customWidth="1"/>
    <col min="14078" max="14078" width="7.5546875" style="613" customWidth="1"/>
    <col min="14079" max="14079" width="12.109375" style="613" customWidth="1"/>
    <col min="14080" max="14080" width="14.33203125" style="613" customWidth="1"/>
    <col min="14081" max="14081" width="3.44140625" style="613" customWidth="1"/>
    <col min="14082" max="14082" width="17.33203125" style="613" customWidth="1"/>
    <col min="14083" max="14083" width="2.109375" style="613" customWidth="1"/>
    <col min="14084" max="14084" width="7.5546875" style="613" customWidth="1"/>
    <col min="14085" max="14085" width="12.109375" style="613" customWidth="1"/>
    <col min="14086" max="14086" width="14.33203125" style="613" customWidth="1"/>
    <col min="14087" max="14087" width="42.5546875" style="613" customWidth="1"/>
    <col min="14088" max="14331" width="8.88671875" style="613"/>
    <col min="14332" max="14332" width="15.88671875" style="613" customWidth="1"/>
    <col min="14333" max="14333" width="2.109375" style="613" customWidth="1"/>
    <col min="14334" max="14334" width="7.5546875" style="613" customWidth="1"/>
    <col min="14335" max="14335" width="12.109375" style="613" customWidth="1"/>
    <col min="14336" max="14336" width="14.33203125" style="613" customWidth="1"/>
    <col min="14337" max="14337" width="3.44140625" style="613" customWidth="1"/>
    <col min="14338" max="14338" width="17.33203125" style="613" customWidth="1"/>
    <col min="14339" max="14339" width="2.109375" style="613" customWidth="1"/>
    <col min="14340" max="14340" width="7.5546875" style="613" customWidth="1"/>
    <col min="14341" max="14341" width="12.109375" style="613" customWidth="1"/>
    <col min="14342" max="14342" width="14.33203125" style="613" customWidth="1"/>
    <col min="14343" max="14343" width="42.5546875" style="613" customWidth="1"/>
    <col min="14344" max="14587" width="8.88671875" style="613"/>
    <col min="14588" max="14588" width="15.88671875" style="613" customWidth="1"/>
    <col min="14589" max="14589" width="2.109375" style="613" customWidth="1"/>
    <col min="14590" max="14590" width="7.5546875" style="613" customWidth="1"/>
    <col min="14591" max="14591" width="12.109375" style="613" customWidth="1"/>
    <col min="14592" max="14592" width="14.33203125" style="613" customWidth="1"/>
    <col min="14593" max="14593" width="3.44140625" style="613" customWidth="1"/>
    <col min="14594" max="14594" width="17.33203125" style="613" customWidth="1"/>
    <col min="14595" max="14595" width="2.109375" style="613" customWidth="1"/>
    <col min="14596" max="14596" width="7.5546875" style="613" customWidth="1"/>
    <col min="14597" max="14597" width="12.109375" style="613" customWidth="1"/>
    <col min="14598" max="14598" width="14.33203125" style="613" customWidth="1"/>
    <col min="14599" max="14599" width="42.5546875" style="613" customWidth="1"/>
    <col min="14600" max="14843" width="8.88671875" style="613"/>
    <col min="14844" max="14844" width="15.88671875" style="613" customWidth="1"/>
    <col min="14845" max="14845" width="2.109375" style="613" customWidth="1"/>
    <col min="14846" max="14846" width="7.5546875" style="613" customWidth="1"/>
    <col min="14847" max="14847" width="12.109375" style="613" customWidth="1"/>
    <col min="14848" max="14848" width="14.33203125" style="613" customWidth="1"/>
    <col min="14849" max="14849" width="3.44140625" style="613" customWidth="1"/>
    <col min="14850" max="14850" width="17.33203125" style="613" customWidth="1"/>
    <col min="14851" max="14851" width="2.109375" style="613" customWidth="1"/>
    <col min="14852" max="14852" width="7.5546875" style="613" customWidth="1"/>
    <col min="14853" max="14853" width="12.109375" style="613" customWidth="1"/>
    <col min="14854" max="14854" width="14.33203125" style="613" customWidth="1"/>
    <col min="14855" max="14855" width="42.5546875" style="613" customWidth="1"/>
    <col min="14856" max="15099" width="8.88671875" style="613"/>
    <col min="15100" max="15100" width="15.88671875" style="613" customWidth="1"/>
    <col min="15101" max="15101" width="2.109375" style="613" customWidth="1"/>
    <col min="15102" max="15102" width="7.5546875" style="613" customWidth="1"/>
    <col min="15103" max="15103" width="12.109375" style="613" customWidth="1"/>
    <col min="15104" max="15104" width="14.33203125" style="613" customWidth="1"/>
    <col min="15105" max="15105" width="3.44140625" style="613" customWidth="1"/>
    <col min="15106" max="15106" width="17.33203125" style="613" customWidth="1"/>
    <col min="15107" max="15107" width="2.109375" style="613" customWidth="1"/>
    <col min="15108" max="15108" width="7.5546875" style="613" customWidth="1"/>
    <col min="15109" max="15109" width="12.109375" style="613" customWidth="1"/>
    <col min="15110" max="15110" width="14.33203125" style="613" customWidth="1"/>
    <col min="15111" max="15111" width="42.5546875" style="613" customWidth="1"/>
    <col min="15112" max="15355" width="8.88671875" style="613"/>
    <col min="15356" max="15356" width="15.88671875" style="613" customWidth="1"/>
    <col min="15357" max="15357" width="2.109375" style="613" customWidth="1"/>
    <col min="15358" max="15358" width="7.5546875" style="613" customWidth="1"/>
    <col min="15359" max="15359" width="12.109375" style="613" customWidth="1"/>
    <col min="15360" max="15360" width="14.33203125" style="613" customWidth="1"/>
    <col min="15361" max="15361" width="3.44140625" style="613" customWidth="1"/>
    <col min="15362" max="15362" width="17.33203125" style="613" customWidth="1"/>
    <col min="15363" max="15363" width="2.109375" style="613" customWidth="1"/>
    <col min="15364" max="15364" width="7.5546875" style="613" customWidth="1"/>
    <col min="15365" max="15365" width="12.109375" style="613" customWidth="1"/>
    <col min="15366" max="15366" width="14.33203125" style="613" customWidth="1"/>
    <col min="15367" max="15367" width="42.5546875" style="613" customWidth="1"/>
    <col min="15368" max="15611" width="8.88671875" style="613"/>
    <col min="15612" max="15612" width="15.88671875" style="613" customWidth="1"/>
    <col min="15613" max="15613" width="2.109375" style="613" customWidth="1"/>
    <col min="15614" max="15614" width="7.5546875" style="613" customWidth="1"/>
    <col min="15615" max="15615" width="12.109375" style="613" customWidth="1"/>
    <col min="15616" max="15616" width="14.33203125" style="613" customWidth="1"/>
    <col min="15617" max="15617" width="3.44140625" style="613" customWidth="1"/>
    <col min="15618" max="15618" width="17.33203125" style="613" customWidth="1"/>
    <col min="15619" max="15619" width="2.109375" style="613" customWidth="1"/>
    <col min="15620" max="15620" width="7.5546875" style="613" customWidth="1"/>
    <col min="15621" max="15621" width="12.109375" style="613" customWidth="1"/>
    <col min="15622" max="15622" width="14.33203125" style="613" customWidth="1"/>
    <col min="15623" max="15623" width="42.5546875" style="613" customWidth="1"/>
    <col min="15624" max="15867" width="8.88671875" style="613"/>
    <col min="15868" max="15868" width="15.88671875" style="613" customWidth="1"/>
    <col min="15869" max="15869" width="2.109375" style="613" customWidth="1"/>
    <col min="15870" max="15870" width="7.5546875" style="613" customWidth="1"/>
    <col min="15871" max="15871" width="12.109375" style="613" customWidth="1"/>
    <col min="15872" max="15872" width="14.33203125" style="613" customWidth="1"/>
    <col min="15873" max="15873" width="3.44140625" style="613" customWidth="1"/>
    <col min="15874" max="15874" width="17.33203125" style="613" customWidth="1"/>
    <col min="15875" max="15875" width="2.109375" style="613" customWidth="1"/>
    <col min="15876" max="15876" width="7.5546875" style="613" customWidth="1"/>
    <col min="15877" max="15877" width="12.109375" style="613" customWidth="1"/>
    <col min="15878" max="15878" width="14.33203125" style="613" customWidth="1"/>
    <col min="15879" max="15879" width="42.5546875" style="613" customWidth="1"/>
    <col min="15880" max="16123" width="8.88671875" style="613"/>
    <col min="16124" max="16124" width="15.88671875" style="613" customWidth="1"/>
    <col min="16125" max="16125" width="2.109375" style="613" customWidth="1"/>
    <col min="16126" max="16126" width="7.5546875" style="613" customWidth="1"/>
    <col min="16127" max="16127" width="12.109375" style="613" customWidth="1"/>
    <col min="16128" max="16128" width="14.33203125" style="613" customWidth="1"/>
    <col min="16129" max="16129" width="3.44140625" style="613" customWidth="1"/>
    <col min="16130" max="16130" width="17.33203125" style="613" customWidth="1"/>
    <col min="16131" max="16131" width="2.109375" style="613" customWidth="1"/>
    <col min="16132" max="16132" width="7.5546875" style="613" customWidth="1"/>
    <col min="16133" max="16133" width="12.109375" style="613" customWidth="1"/>
    <col min="16134" max="16134" width="14.33203125" style="613" customWidth="1"/>
    <col min="16135" max="16135" width="42.5546875" style="613" customWidth="1"/>
    <col min="16136" max="16384" width="8.88671875" style="613"/>
  </cols>
  <sheetData>
    <row r="1" spans="1:13" x14ac:dyDescent="0.3">
      <c r="A1" s="804" t="s">
        <v>1739</v>
      </c>
      <c r="B1" s="804"/>
      <c r="C1" s="804"/>
      <c r="D1" s="804"/>
      <c r="E1" s="804"/>
      <c r="F1" s="804"/>
      <c r="G1" s="804"/>
      <c r="H1" s="804"/>
      <c r="I1" s="804"/>
      <c r="J1" s="804"/>
      <c r="K1" s="804"/>
      <c r="L1" s="804"/>
      <c r="M1" s="804"/>
    </row>
    <row r="2" spans="1:13" x14ac:dyDescent="0.3">
      <c r="A2" s="804" t="s">
        <v>615</v>
      </c>
      <c r="B2" s="804"/>
      <c r="C2" s="804"/>
      <c r="D2" s="804"/>
      <c r="E2" s="804"/>
      <c r="F2" s="804"/>
      <c r="G2" s="804"/>
      <c r="H2" s="804"/>
      <c r="I2" s="804"/>
      <c r="J2" s="804"/>
      <c r="K2" s="804"/>
      <c r="L2" s="804"/>
      <c r="M2" s="804"/>
    </row>
    <row r="3" spans="1:13" x14ac:dyDescent="0.3">
      <c r="A3" s="804" t="s">
        <v>616</v>
      </c>
      <c r="B3" s="804"/>
      <c r="C3" s="804"/>
      <c r="D3" s="804"/>
      <c r="E3" s="804"/>
      <c r="F3" s="804"/>
      <c r="G3" s="804"/>
      <c r="H3" s="804"/>
      <c r="I3" s="804"/>
      <c r="J3" s="804"/>
      <c r="K3" s="804"/>
      <c r="L3" s="804"/>
    </row>
    <row r="4" spans="1:13" x14ac:dyDescent="0.3">
      <c r="A4" s="804"/>
      <c r="B4" s="804"/>
      <c r="C4" s="805"/>
      <c r="D4" s="806"/>
      <c r="E4" s="806"/>
      <c r="F4" s="804"/>
      <c r="G4" s="180"/>
      <c r="H4" s="180"/>
      <c r="I4" s="180"/>
      <c r="J4" s="180"/>
      <c r="K4" s="180"/>
      <c r="L4" s="180"/>
    </row>
    <row r="5" spans="1:13" x14ac:dyDescent="0.3">
      <c r="A5" s="804"/>
      <c r="B5" s="804"/>
      <c r="C5" s="805"/>
      <c r="D5" s="806" t="s">
        <v>617</v>
      </c>
      <c r="E5" s="806" t="s">
        <v>618</v>
      </c>
      <c r="F5" s="804"/>
      <c r="G5" s="180"/>
      <c r="H5" s="180"/>
      <c r="I5" s="180"/>
      <c r="J5" s="180"/>
      <c r="K5" s="180"/>
      <c r="L5" s="180"/>
      <c r="M5" s="804"/>
    </row>
    <row r="6" spans="1:13" x14ac:dyDescent="0.3">
      <c r="A6" s="804"/>
      <c r="B6" s="804"/>
      <c r="C6" s="805" t="s">
        <v>619</v>
      </c>
      <c r="D6" s="806" t="s">
        <v>620</v>
      </c>
      <c r="E6" s="806" t="s">
        <v>621</v>
      </c>
      <c r="F6" s="804"/>
      <c r="G6" s="180"/>
      <c r="H6" s="180"/>
      <c r="I6" s="180"/>
      <c r="J6" s="180"/>
      <c r="K6" s="180"/>
      <c r="L6" s="180"/>
      <c r="M6" s="804"/>
    </row>
    <row r="7" spans="1:13" x14ac:dyDescent="0.3">
      <c r="A7" s="804" t="s">
        <v>622</v>
      </c>
      <c r="B7" s="804"/>
      <c r="C7" s="805" t="s">
        <v>623</v>
      </c>
      <c r="D7" s="806" t="s">
        <v>624</v>
      </c>
      <c r="E7" s="806" t="s">
        <v>624</v>
      </c>
      <c r="F7" s="804"/>
      <c r="G7" s="180"/>
      <c r="H7" s="180"/>
      <c r="I7" s="180"/>
      <c r="J7" s="180"/>
      <c r="K7" s="180"/>
      <c r="L7" s="180"/>
      <c r="M7" s="804"/>
    </row>
    <row r="8" spans="1:13" hidden="1" x14ac:dyDescent="0.3">
      <c r="A8" s="804" t="s">
        <v>1769</v>
      </c>
      <c r="B8" s="804" t="s">
        <v>1770</v>
      </c>
      <c r="C8" s="807">
        <v>0.66</v>
      </c>
      <c r="D8" s="806">
        <v>2017</v>
      </c>
      <c r="E8" s="806">
        <v>2023</v>
      </c>
      <c r="F8" s="804"/>
      <c r="G8" s="180"/>
      <c r="H8" s="180"/>
      <c r="I8" s="180"/>
      <c r="J8" s="180"/>
      <c r="K8" s="180"/>
      <c r="L8" s="180"/>
    </row>
    <row r="9" spans="1:13" hidden="1" x14ac:dyDescent="0.3">
      <c r="A9" s="804" t="s">
        <v>1771</v>
      </c>
      <c r="B9" s="804" t="s">
        <v>1772</v>
      </c>
      <c r="C9" s="807">
        <v>0.79</v>
      </c>
      <c r="D9" s="806">
        <v>2015</v>
      </c>
      <c r="E9" s="806">
        <v>2023</v>
      </c>
      <c r="F9" s="804"/>
      <c r="G9" s="180"/>
      <c r="H9" s="180"/>
      <c r="I9" s="180"/>
      <c r="J9" s="180"/>
      <c r="K9" s="180"/>
      <c r="L9" s="180"/>
    </row>
    <row r="10" spans="1:13" hidden="1" x14ac:dyDescent="0.3">
      <c r="A10" s="804" t="s">
        <v>1773</v>
      </c>
      <c r="B10" s="804" t="s">
        <v>1774</v>
      </c>
      <c r="C10" s="807">
        <v>0.59699999999999998</v>
      </c>
      <c r="D10" s="806">
        <v>2021</v>
      </c>
      <c r="E10" s="806">
        <v>2027</v>
      </c>
      <c r="F10" s="804"/>
      <c r="G10" s="180"/>
      <c r="H10" s="180"/>
      <c r="I10" s="180"/>
      <c r="J10" s="180"/>
      <c r="K10" s="180"/>
      <c r="L10" s="180"/>
      <c r="M10" s="804"/>
    </row>
    <row r="11" spans="1:13" hidden="1" x14ac:dyDescent="0.3">
      <c r="A11" s="804" t="s">
        <v>1775</v>
      </c>
      <c r="B11" s="804" t="s">
        <v>478</v>
      </c>
      <c r="C11" s="807">
        <v>0.77700000000000002</v>
      </c>
      <c r="D11" s="806">
        <v>2018</v>
      </c>
      <c r="E11" s="806">
        <v>2026</v>
      </c>
      <c r="F11" s="804"/>
      <c r="G11" s="180"/>
      <c r="H11" s="180"/>
      <c r="I11" s="180"/>
      <c r="J11" s="180"/>
      <c r="K11" s="180"/>
      <c r="L11" s="180"/>
      <c r="M11" s="804"/>
    </row>
    <row r="12" spans="1:13" hidden="1" x14ac:dyDescent="0.3">
      <c r="A12" s="804" t="s">
        <v>1776</v>
      </c>
      <c r="B12" s="804" t="s">
        <v>1777</v>
      </c>
      <c r="C12" s="807">
        <v>0.51</v>
      </c>
      <c r="D12" s="806">
        <v>2019</v>
      </c>
      <c r="E12" s="806">
        <v>2023</v>
      </c>
      <c r="F12" s="804"/>
      <c r="G12" s="180"/>
      <c r="H12" s="180"/>
      <c r="I12" s="180"/>
      <c r="J12" s="180"/>
      <c r="K12" s="180"/>
      <c r="L12" s="180"/>
      <c r="M12" s="804"/>
    </row>
    <row r="13" spans="1:13" hidden="1" x14ac:dyDescent="0.3">
      <c r="A13" s="804" t="s">
        <v>1778</v>
      </c>
      <c r="B13" s="804" t="s">
        <v>1779</v>
      </c>
      <c r="C13" s="807">
        <v>0.55000000000000004</v>
      </c>
      <c r="D13" s="806">
        <v>2018</v>
      </c>
      <c r="E13" s="806">
        <v>2022</v>
      </c>
      <c r="F13" s="804"/>
      <c r="G13" s="180"/>
      <c r="H13" s="180"/>
      <c r="I13" s="180"/>
      <c r="J13" s="180"/>
      <c r="K13" s="180"/>
      <c r="L13" s="180"/>
      <c r="M13" s="804"/>
    </row>
    <row r="14" spans="1:13" hidden="1" x14ac:dyDescent="0.3">
      <c r="A14" s="804" t="s">
        <v>1780</v>
      </c>
      <c r="B14" s="804" t="s">
        <v>1781</v>
      </c>
      <c r="C14" s="807">
        <v>0.625</v>
      </c>
      <c r="D14" s="806">
        <v>2018</v>
      </c>
      <c r="E14" s="806">
        <v>2026</v>
      </c>
      <c r="F14" s="804"/>
      <c r="G14" s="180"/>
      <c r="H14" s="180"/>
      <c r="I14" s="180"/>
      <c r="J14" s="180"/>
      <c r="K14" s="180"/>
      <c r="L14" s="180"/>
      <c r="M14" s="804"/>
    </row>
    <row r="15" spans="1:13" hidden="1" x14ac:dyDescent="0.3">
      <c r="A15" s="804" t="s">
        <v>1782</v>
      </c>
      <c r="B15" s="804" t="s">
        <v>484</v>
      </c>
      <c r="C15" s="807">
        <v>0.86499999999999999</v>
      </c>
      <c r="D15" s="806">
        <v>2020</v>
      </c>
      <c r="E15" s="806">
        <v>2028</v>
      </c>
      <c r="F15" s="804"/>
      <c r="G15" s="180"/>
      <c r="H15" s="180"/>
      <c r="I15" s="180"/>
      <c r="J15" s="180"/>
      <c r="K15" s="180"/>
      <c r="L15" s="180"/>
      <c r="M15" s="804"/>
    </row>
    <row r="16" spans="1:13" hidden="1" x14ac:dyDescent="0.3">
      <c r="A16" s="804" t="s">
        <v>1783</v>
      </c>
      <c r="B16" s="804" t="s">
        <v>1784</v>
      </c>
      <c r="C16" s="807">
        <v>0.82</v>
      </c>
      <c r="D16" s="806">
        <v>2015</v>
      </c>
      <c r="E16" s="806">
        <v>2022</v>
      </c>
      <c r="F16" s="804"/>
      <c r="G16" s="180"/>
      <c r="H16" s="180"/>
      <c r="I16" s="180"/>
      <c r="J16" s="180"/>
      <c r="K16" s="180"/>
      <c r="L16" s="180"/>
      <c r="M16" s="804"/>
    </row>
    <row r="17" spans="1:13" hidden="1" x14ac:dyDescent="0.3">
      <c r="A17" s="804" t="s">
        <v>1785</v>
      </c>
      <c r="B17" s="804" t="s">
        <v>1786</v>
      </c>
      <c r="C17" s="807">
        <v>0.48499999999999999</v>
      </c>
      <c r="D17" s="806">
        <v>2019</v>
      </c>
      <c r="E17" s="806">
        <v>2023</v>
      </c>
      <c r="F17" s="804"/>
      <c r="G17" s="180"/>
      <c r="H17" s="180"/>
      <c r="I17" s="180"/>
      <c r="J17" s="180"/>
      <c r="K17" s="180"/>
      <c r="L17" s="180"/>
      <c r="M17" s="804"/>
    </row>
    <row r="18" spans="1:13" hidden="1" x14ac:dyDescent="0.3">
      <c r="A18" s="804" t="s">
        <v>1787</v>
      </c>
      <c r="B18" s="804" t="s">
        <v>1788</v>
      </c>
      <c r="C18" s="807">
        <v>0.48799999999999999</v>
      </c>
      <c r="D18" s="806">
        <v>2021</v>
      </c>
      <c r="E18" s="806">
        <v>2025</v>
      </c>
      <c r="F18" s="804"/>
      <c r="G18" s="180"/>
      <c r="H18" s="180"/>
      <c r="I18" s="180"/>
      <c r="J18" s="180"/>
      <c r="K18" s="180"/>
      <c r="L18" s="180"/>
      <c r="M18" s="804"/>
    </row>
    <row r="19" spans="1:13" hidden="1" x14ac:dyDescent="0.3">
      <c r="A19" s="804" t="s">
        <v>1789</v>
      </c>
      <c r="B19" s="804" t="s">
        <v>1790</v>
      </c>
      <c r="C19" s="807">
        <v>0.69499999999999995</v>
      </c>
      <c r="D19" s="806">
        <v>2019</v>
      </c>
      <c r="E19" s="806">
        <v>2023</v>
      </c>
      <c r="F19" s="804"/>
      <c r="G19" s="180"/>
      <c r="H19" s="180"/>
      <c r="I19" s="180"/>
      <c r="J19" s="180"/>
      <c r="K19" s="180"/>
      <c r="L19" s="180"/>
      <c r="M19" s="804"/>
    </row>
    <row r="20" spans="1:13" x14ac:dyDescent="0.3">
      <c r="A20" s="804" t="s">
        <v>1740</v>
      </c>
      <c r="B20" s="804" t="s">
        <v>1741</v>
      </c>
      <c r="C20" s="807">
        <v>0.74</v>
      </c>
      <c r="D20" s="806">
        <v>2020</v>
      </c>
      <c r="E20" s="806">
        <v>2024</v>
      </c>
      <c r="F20" s="804"/>
      <c r="G20" s="180"/>
      <c r="H20" s="180"/>
      <c r="I20" s="180"/>
      <c r="J20" s="180"/>
      <c r="K20" s="180"/>
      <c r="L20" s="180"/>
      <c r="M20" s="804"/>
    </row>
    <row r="21" spans="1:13" hidden="1" x14ac:dyDescent="0.3">
      <c r="A21" s="804" t="s">
        <v>1791</v>
      </c>
      <c r="B21" s="804" t="s">
        <v>1792</v>
      </c>
      <c r="C21" s="807">
        <v>0.63</v>
      </c>
      <c r="D21" s="806">
        <v>2021</v>
      </c>
      <c r="E21" s="806">
        <v>2029</v>
      </c>
      <c r="F21" s="804"/>
      <c r="G21" s="180"/>
      <c r="H21" s="180"/>
      <c r="I21" s="180"/>
      <c r="J21" s="180"/>
      <c r="K21" s="180"/>
      <c r="L21" s="180"/>
      <c r="M21" s="804"/>
    </row>
    <row r="22" spans="1:13" hidden="1" x14ac:dyDescent="0.3">
      <c r="A22" s="804" t="s">
        <v>1793</v>
      </c>
      <c r="B22" s="804" t="s">
        <v>1794</v>
      </c>
      <c r="C22" s="807">
        <v>0.87</v>
      </c>
      <c r="D22" s="806">
        <v>2015</v>
      </c>
      <c r="E22" s="806">
        <v>2023</v>
      </c>
      <c r="F22" s="804"/>
      <c r="G22" s="180"/>
      <c r="H22" s="180"/>
      <c r="I22" s="180"/>
      <c r="J22" s="180"/>
      <c r="K22" s="180"/>
      <c r="L22" s="180"/>
      <c r="M22" s="804"/>
    </row>
    <row r="23" spans="1:13" x14ac:dyDescent="0.3">
      <c r="A23" s="804" t="s">
        <v>1742</v>
      </c>
      <c r="B23" s="804" t="s">
        <v>1743</v>
      </c>
      <c r="C23" s="807">
        <v>0.33</v>
      </c>
      <c r="D23" s="806">
        <v>2020</v>
      </c>
      <c r="E23" s="806">
        <v>2024</v>
      </c>
      <c r="F23" s="804"/>
      <c r="G23" s="180"/>
      <c r="H23" s="180"/>
      <c r="I23" s="180"/>
      <c r="J23" s="180"/>
      <c r="K23" s="180"/>
      <c r="L23" s="180"/>
      <c r="M23" s="804"/>
    </row>
    <row r="24" spans="1:13" hidden="1" x14ac:dyDescent="0.3">
      <c r="A24" s="804" t="s">
        <v>1795</v>
      </c>
      <c r="B24" s="804" t="s">
        <v>859</v>
      </c>
      <c r="C24" s="807">
        <v>0.73499999999999999</v>
      </c>
      <c r="D24" s="806">
        <v>2016</v>
      </c>
      <c r="E24" s="806">
        <v>2023</v>
      </c>
      <c r="F24" s="804"/>
      <c r="G24" s="180"/>
      <c r="H24" s="180"/>
      <c r="I24" s="180"/>
      <c r="J24" s="180"/>
      <c r="K24" s="180"/>
      <c r="L24" s="180"/>
      <c r="M24" s="804"/>
    </row>
    <row r="25" spans="1:13" hidden="1" x14ac:dyDescent="0.3">
      <c r="A25" s="804" t="s">
        <v>1796</v>
      </c>
      <c r="B25" s="804" t="s">
        <v>1797</v>
      </c>
      <c r="C25" s="807">
        <v>0.57499999999999996</v>
      </c>
      <c r="D25" s="806">
        <v>2019</v>
      </c>
      <c r="E25" s="806">
        <v>2023</v>
      </c>
      <c r="F25" s="804"/>
      <c r="G25" s="180"/>
      <c r="H25" s="180"/>
      <c r="I25" s="180"/>
      <c r="J25" s="180"/>
      <c r="K25" s="180"/>
      <c r="L25" s="180"/>
      <c r="M25" s="804"/>
    </row>
    <row r="26" spans="1:13" hidden="1" x14ac:dyDescent="0.3">
      <c r="A26" s="804" t="s">
        <v>1798</v>
      </c>
      <c r="B26" s="804" t="s">
        <v>1799</v>
      </c>
      <c r="C26" s="807">
        <v>0.66500000000000004</v>
      </c>
      <c r="D26" s="806">
        <v>2021</v>
      </c>
      <c r="E26" s="806">
        <v>2025</v>
      </c>
      <c r="F26" s="804"/>
      <c r="G26" s="180"/>
      <c r="H26" s="180"/>
      <c r="I26" s="180"/>
      <c r="J26" s="180"/>
      <c r="K26" s="180"/>
      <c r="L26" s="180"/>
      <c r="M26" s="804"/>
    </row>
    <row r="27" spans="1:13" hidden="1" x14ac:dyDescent="0.3">
      <c r="A27" s="804" t="s">
        <v>1800</v>
      </c>
      <c r="B27" s="804" t="s">
        <v>860</v>
      </c>
      <c r="C27" s="807">
        <v>0.5</v>
      </c>
      <c r="D27" s="806">
        <v>2020</v>
      </c>
      <c r="E27" s="806">
        <v>2028</v>
      </c>
      <c r="F27" s="804"/>
      <c r="G27" s="180"/>
      <c r="H27" s="180"/>
      <c r="I27" s="180"/>
      <c r="J27" s="180"/>
      <c r="K27" s="180"/>
      <c r="L27" s="180"/>
      <c r="M27" s="804"/>
    </row>
    <row r="28" spans="1:13" hidden="1" x14ac:dyDescent="0.3">
      <c r="A28" s="804" t="s">
        <v>1801</v>
      </c>
      <c r="B28" s="804" t="s">
        <v>1802</v>
      </c>
      <c r="C28" s="807">
        <v>0.755</v>
      </c>
      <c r="D28" s="806">
        <v>2014</v>
      </c>
      <c r="E28" s="806">
        <v>2022</v>
      </c>
      <c r="G28" s="180"/>
      <c r="H28" s="180"/>
      <c r="I28" s="180"/>
      <c r="J28" s="180"/>
      <c r="K28" s="180"/>
      <c r="L28" s="180"/>
      <c r="M28" s="804"/>
    </row>
    <row r="29" spans="1:13" hidden="1" x14ac:dyDescent="0.3">
      <c r="A29" s="804" t="s">
        <v>1803</v>
      </c>
      <c r="B29" s="804" t="s">
        <v>1804</v>
      </c>
      <c r="C29" s="807">
        <v>0.43</v>
      </c>
      <c r="D29" s="806">
        <v>2018</v>
      </c>
      <c r="E29" s="806">
        <v>2026</v>
      </c>
      <c r="G29" s="180"/>
      <c r="H29" s="180"/>
      <c r="I29" s="180"/>
      <c r="J29" s="180"/>
      <c r="K29" s="180"/>
      <c r="L29" s="180"/>
      <c r="M29" s="804"/>
    </row>
    <row r="30" spans="1:13" hidden="1" x14ac:dyDescent="0.3">
      <c r="A30" s="804" t="s">
        <v>1805</v>
      </c>
      <c r="B30" s="804" t="s">
        <v>1806</v>
      </c>
      <c r="C30" s="807">
        <v>0.6875</v>
      </c>
      <c r="D30" s="806">
        <v>2021</v>
      </c>
      <c r="E30" s="806">
        <v>2025</v>
      </c>
      <c r="F30" s="804"/>
      <c r="G30" s="180"/>
      <c r="H30" s="180"/>
      <c r="I30" s="180"/>
      <c r="J30" s="180"/>
      <c r="K30" s="180"/>
      <c r="L30" s="180"/>
      <c r="M30" s="804"/>
    </row>
    <row r="31" spans="1:13" hidden="1" x14ac:dyDescent="0.3">
      <c r="A31" s="804" t="s">
        <v>1807</v>
      </c>
      <c r="B31" s="804" t="s">
        <v>861</v>
      </c>
      <c r="C31" s="807">
        <v>0.80500000000000005</v>
      </c>
      <c r="D31" s="806">
        <v>2021</v>
      </c>
      <c r="E31" s="806">
        <v>2029</v>
      </c>
      <c r="F31" s="804"/>
      <c r="G31" s="180"/>
      <c r="H31" s="180"/>
      <c r="I31" s="180"/>
      <c r="J31" s="180"/>
      <c r="K31" s="180"/>
      <c r="L31" s="180"/>
      <c r="M31" s="804"/>
    </row>
    <row r="32" spans="1:13" hidden="1" x14ac:dyDescent="0.3">
      <c r="A32" s="804" t="s">
        <v>1808</v>
      </c>
      <c r="B32" s="804" t="s">
        <v>1809</v>
      </c>
      <c r="C32" s="807">
        <v>0.56000000000000005</v>
      </c>
      <c r="D32" s="806">
        <v>2016</v>
      </c>
      <c r="E32" s="806">
        <v>2023</v>
      </c>
      <c r="F32" s="804"/>
      <c r="G32" s="180"/>
      <c r="H32" s="180"/>
      <c r="I32" s="180"/>
      <c r="J32" s="180"/>
      <c r="K32" s="180"/>
      <c r="L32" s="180"/>
      <c r="M32" s="804"/>
    </row>
    <row r="33" spans="1:13" hidden="1" x14ac:dyDescent="0.3">
      <c r="A33" s="804" t="s">
        <v>1810</v>
      </c>
      <c r="B33" s="804" t="s">
        <v>1811</v>
      </c>
      <c r="C33" s="807">
        <v>0.79900000000000004</v>
      </c>
      <c r="D33" s="806">
        <v>2017</v>
      </c>
      <c r="E33" s="806">
        <v>2025</v>
      </c>
      <c r="F33" s="804"/>
      <c r="G33" s="180"/>
      <c r="H33" s="180"/>
      <c r="I33" s="180"/>
      <c r="J33" s="180"/>
      <c r="K33" s="180"/>
      <c r="L33" s="180"/>
      <c r="M33" s="804"/>
    </row>
    <row r="34" spans="1:13" hidden="1" x14ac:dyDescent="0.3">
      <c r="A34" s="804" t="s">
        <v>1812</v>
      </c>
      <c r="B34" s="804" t="s">
        <v>1813</v>
      </c>
      <c r="C34" s="807">
        <v>0.46</v>
      </c>
      <c r="D34" s="806">
        <v>2021</v>
      </c>
      <c r="E34" s="806">
        <v>2029</v>
      </c>
      <c r="F34" s="804"/>
      <c r="G34" s="180"/>
      <c r="H34" s="180"/>
      <c r="I34" s="180"/>
      <c r="J34" s="180"/>
      <c r="K34" s="180"/>
      <c r="L34" s="180"/>
      <c r="M34" s="804"/>
    </row>
    <row r="35" spans="1:13" hidden="1" x14ac:dyDescent="0.3">
      <c r="A35" s="804" t="s">
        <v>1814</v>
      </c>
      <c r="B35" s="804" t="s">
        <v>1815</v>
      </c>
      <c r="C35" s="807">
        <v>0.40050000000000002</v>
      </c>
      <c r="D35" s="806">
        <v>2020</v>
      </c>
      <c r="E35" s="806">
        <v>2025</v>
      </c>
      <c r="F35" s="804"/>
      <c r="G35" s="180"/>
      <c r="H35" s="180"/>
      <c r="I35" s="180"/>
      <c r="J35" s="180"/>
      <c r="K35" s="180"/>
      <c r="L35" s="180"/>
      <c r="M35" s="804"/>
    </row>
    <row r="36" spans="1:13" hidden="1" x14ac:dyDescent="0.3">
      <c r="A36" s="804" t="s">
        <v>1816</v>
      </c>
      <c r="B36" s="804" t="s">
        <v>1817</v>
      </c>
      <c r="C36" s="807">
        <v>0.54</v>
      </c>
      <c r="D36" s="806">
        <v>2021</v>
      </c>
      <c r="E36" s="806">
        <v>2027</v>
      </c>
      <c r="F36" s="804"/>
      <c r="G36" s="180"/>
      <c r="H36" s="180"/>
      <c r="I36" s="180"/>
      <c r="J36" s="180"/>
      <c r="K36" s="180"/>
      <c r="L36" s="180"/>
      <c r="M36" s="804"/>
    </row>
    <row r="37" spans="1:13" hidden="1" x14ac:dyDescent="0.3">
      <c r="A37" s="804" t="s">
        <v>1818</v>
      </c>
      <c r="B37" s="804" t="s">
        <v>1819</v>
      </c>
      <c r="C37" s="807">
        <v>0.73299999999999998</v>
      </c>
      <c r="D37" s="806">
        <v>2021</v>
      </c>
      <c r="E37" s="806">
        <v>2025</v>
      </c>
      <c r="F37" s="804"/>
      <c r="G37" s="180"/>
      <c r="H37" s="180"/>
      <c r="I37" s="180"/>
      <c r="J37" s="180"/>
      <c r="K37" s="180"/>
      <c r="L37" s="180"/>
      <c r="M37" s="804"/>
    </row>
    <row r="38" spans="1:13" hidden="1" x14ac:dyDescent="0.3">
      <c r="A38" s="804" t="s">
        <v>1820</v>
      </c>
      <c r="B38" s="804" t="s">
        <v>1821</v>
      </c>
      <c r="C38" s="807">
        <v>0.73499999999999999</v>
      </c>
      <c r="D38" s="806">
        <v>2017</v>
      </c>
      <c r="E38" s="806">
        <v>2022</v>
      </c>
      <c r="F38" s="804"/>
      <c r="G38" s="180"/>
      <c r="H38" s="180"/>
      <c r="I38" s="180"/>
      <c r="J38" s="180"/>
      <c r="K38" s="180"/>
      <c r="L38" s="180"/>
      <c r="M38" s="804"/>
    </row>
    <row r="39" spans="1:13" hidden="1" x14ac:dyDescent="0.3">
      <c r="A39" s="804" t="s">
        <v>1822</v>
      </c>
      <c r="B39" s="804" t="s">
        <v>1823</v>
      </c>
      <c r="C39" s="807">
        <v>0.72219999999999995</v>
      </c>
      <c r="D39" s="806">
        <v>2019</v>
      </c>
      <c r="E39" s="806">
        <v>2026</v>
      </c>
      <c r="F39" s="804"/>
      <c r="G39" s="180"/>
      <c r="H39" s="180"/>
      <c r="I39" s="180"/>
      <c r="J39" s="180"/>
      <c r="K39" s="180"/>
      <c r="L39" s="180"/>
      <c r="M39" s="804"/>
    </row>
    <row r="40" spans="1:13" x14ac:dyDescent="0.3">
      <c r="A40" s="804" t="s">
        <v>1744</v>
      </c>
      <c r="B40" s="804" t="s">
        <v>501</v>
      </c>
      <c r="C40" s="807">
        <v>0.95</v>
      </c>
      <c r="D40" s="806">
        <v>2017</v>
      </c>
      <c r="E40" s="806">
        <v>2024</v>
      </c>
      <c r="F40" s="804"/>
      <c r="G40" s="180"/>
      <c r="H40" s="180"/>
      <c r="I40" s="180"/>
      <c r="J40" s="180"/>
      <c r="K40" s="180"/>
      <c r="L40" s="180"/>
      <c r="M40" s="804"/>
    </row>
    <row r="41" spans="1:13" hidden="1" x14ac:dyDescent="0.3">
      <c r="A41" s="804" t="s">
        <v>1824</v>
      </c>
      <c r="B41" s="804" t="s">
        <v>1825</v>
      </c>
      <c r="C41" s="807">
        <v>0.67779999999999996</v>
      </c>
      <c r="D41" s="806">
        <v>2021</v>
      </c>
      <c r="E41" s="806">
        <v>2025</v>
      </c>
      <c r="F41" s="804"/>
      <c r="G41" s="180"/>
      <c r="H41" s="180"/>
      <c r="I41" s="180"/>
      <c r="J41" s="180"/>
      <c r="K41" s="180"/>
      <c r="L41" s="180"/>
      <c r="M41" s="804"/>
    </row>
    <row r="42" spans="1:13" x14ac:dyDescent="0.3">
      <c r="A42" s="804" t="s">
        <v>1745</v>
      </c>
      <c r="B42" s="804" t="s">
        <v>1746</v>
      </c>
      <c r="C42" s="807">
        <v>0.79500000000000004</v>
      </c>
      <c r="D42" s="806">
        <v>2018</v>
      </c>
      <c r="E42" s="806">
        <v>2024</v>
      </c>
      <c r="F42" s="804"/>
      <c r="G42" s="180"/>
      <c r="H42" s="180"/>
      <c r="I42" s="180"/>
      <c r="J42" s="180"/>
      <c r="K42" s="180"/>
      <c r="L42" s="180"/>
      <c r="M42" s="804"/>
    </row>
    <row r="43" spans="1:13" hidden="1" x14ac:dyDescent="0.3">
      <c r="A43" s="804" t="s">
        <v>1826</v>
      </c>
      <c r="B43" s="804" t="s">
        <v>1827</v>
      </c>
      <c r="C43" s="807">
        <v>0.83</v>
      </c>
      <c r="D43" s="806">
        <v>2019</v>
      </c>
      <c r="E43" s="806">
        <v>2023</v>
      </c>
      <c r="F43" s="804"/>
      <c r="G43" s="180"/>
      <c r="H43" s="180"/>
      <c r="I43" s="180"/>
      <c r="J43" s="180"/>
      <c r="K43" s="180"/>
      <c r="L43" s="180"/>
      <c r="M43" s="804"/>
    </row>
    <row r="44" spans="1:13" hidden="1" x14ac:dyDescent="0.3">
      <c r="A44" s="804" t="s">
        <v>1828</v>
      </c>
      <c r="B44" s="804" t="s">
        <v>1829</v>
      </c>
      <c r="C44" s="807">
        <v>0.79</v>
      </c>
      <c r="D44" s="806">
        <v>2017</v>
      </c>
      <c r="E44" s="806">
        <v>2025</v>
      </c>
      <c r="F44" s="804"/>
      <c r="G44" s="180"/>
      <c r="H44" s="180"/>
      <c r="I44" s="180"/>
      <c r="J44" s="180"/>
      <c r="K44" s="180"/>
      <c r="L44" s="180"/>
      <c r="M44" s="804"/>
    </row>
    <row r="45" spans="1:13" hidden="1" x14ac:dyDescent="0.3">
      <c r="A45" s="804" t="s">
        <v>1830</v>
      </c>
      <c r="B45" s="804" t="s">
        <v>1831</v>
      </c>
      <c r="C45" s="807">
        <v>0.65</v>
      </c>
      <c r="D45" s="806">
        <v>2019</v>
      </c>
      <c r="E45" s="806">
        <v>2023</v>
      </c>
      <c r="F45" s="804"/>
      <c r="G45" s="180"/>
      <c r="H45" s="180"/>
      <c r="I45" s="180"/>
      <c r="J45" s="180"/>
      <c r="K45" s="180"/>
      <c r="L45" s="180"/>
      <c r="M45" s="804"/>
    </row>
    <row r="46" spans="1:13" x14ac:dyDescent="0.3">
      <c r="A46" s="804" t="s">
        <v>1747</v>
      </c>
      <c r="B46" s="804" t="s">
        <v>1748</v>
      </c>
      <c r="C46" s="807">
        <v>0.84</v>
      </c>
      <c r="D46" s="806">
        <v>2018</v>
      </c>
      <c r="E46" s="806">
        <v>2024</v>
      </c>
      <c r="F46" s="804"/>
      <c r="G46" s="180"/>
      <c r="H46" s="180"/>
      <c r="I46" s="180"/>
      <c r="J46" s="180"/>
      <c r="K46" s="180"/>
      <c r="L46" s="180"/>
      <c r="M46" s="804"/>
    </row>
    <row r="47" spans="1:13" hidden="1" x14ac:dyDescent="0.3">
      <c r="A47" s="804" t="s">
        <v>1832</v>
      </c>
      <c r="B47" s="804" t="s">
        <v>1833</v>
      </c>
      <c r="C47" s="807">
        <v>0.78600000000000003</v>
      </c>
      <c r="D47" s="806">
        <v>2021</v>
      </c>
      <c r="E47" s="806">
        <v>2029</v>
      </c>
      <c r="F47" s="804"/>
      <c r="G47" s="180"/>
      <c r="H47" s="180"/>
      <c r="I47" s="180"/>
      <c r="J47" s="180"/>
      <c r="K47" s="180"/>
      <c r="L47" s="180"/>
      <c r="M47" s="804"/>
    </row>
    <row r="48" spans="1:13" hidden="1" x14ac:dyDescent="0.3">
      <c r="A48" s="804" t="s">
        <v>1834</v>
      </c>
      <c r="B48" s="804" t="s">
        <v>1835</v>
      </c>
      <c r="C48" s="807">
        <v>0.73050000000000004</v>
      </c>
      <c r="D48" s="806">
        <v>2017</v>
      </c>
      <c r="E48" s="806">
        <v>2022</v>
      </c>
      <c r="F48" s="804"/>
      <c r="G48" s="180"/>
      <c r="H48" s="180"/>
      <c r="I48" s="180"/>
      <c r="J48" s="180"/>
      <c r="K48" s="180"/>
      <c r="L48" s="180"/>
      <c r="M48" s="804"/>
    </row>
    <row r="49" spans="1:13" x14ac:dyDescent="0.3">
      <c r="A49" s="804" t="s">
        <v>1749</v>
      </c>
      <c r="B49" s="804" t="s">
        <v>1750</v>
      </c>
      <c r="C49" s="807">
        <v>0.76</v>
      </c>
      <c r="D49" s="806">
        <v>2020</v>
      </c>
      <c r="E49" s="806">
        <v>2024</v>
      </c>
      <c r="F49" s="804"/>
      <c r="G49" s="180"/>
      <c r="H49" s="180"/>
      <c r="I49" s="180"/>
      <c r="J49" s="180"/>
      <c r="K49" s="180"/>
      <c r="L49" s="180"/>
      <c r="M49" s="804"/>
    </row>
    <row r="50" spans="1:13" hidden="1" x14ac:dyDescent="0.3">
      <c r="A50" s="804" t="s">
        <v>1836</v>
      </c>
      <c r="B50" s="804" t="s">
        <v>1837</v>
      </c>
      <c r="C50" s="807">
        <v>0.75</v>
      </c>
      <c r="D50" s="806">
        <v>2017</v>
      </c>
      <c r="E50" s="806">
        <v>2022</v>
      </c>
      <c r="F50" s="804"/>
      <c r="G50" s="180"/>
      <c r="H50" s="180"/>
      <c r="I50" s="180"/>
      <c r="J50" s="180"/>
      <c r="K50" s="180"/>
      <c r="L50" s="180"/>
      <c r="M50" s="804"/>
    </row>
    <row r="51" spans="1:13" hidden="1" x14ac:dyDescent="0.3">
      <c r="A51" s="804" t="s">
        <v>1838</v>
      </c>
      <c r="B51" s="804" t="s">
        <v>1839</v>
      </c>
      <c r="C51" s="807">
        <v>0.53500000000000003</v>
      </c>
      <c r="D51" s="806">
        <v>2021</v>
      </c>
      <c r="E51" s="806">
        <v>2025</v>
      </c>
      <c r="F51" s="804"/>
      <c r="G51" s="180"/>
      <c r="H51" s="180"/>
      <c r="I51" s="180"/>
      <c r="J51" s="180"/>
      <c r="K51" s="180"/>
      <c r="L51" s="180"/>
      <c r="M51" s="804"/>
    </row>
    <row r="52" spans="1:13" hidden="1" x14ac:dyDescent="0.3">
      <c r="A52" s="804" t="s">
        <v>1840</v>
      </c>
      <c r="B52" s="804" t="s">
        <v>1841</v>
      </c>
      <c r="C52" s="807">
        <v>0.56100000000000005</v>
      </c>
      <c r="D52" s="806">
        <v>2019</v>
      </c>
      <c r="E52" s="806">
        <v>2023</v>
      </c>
      <c r="F52" s="804"/>
      <c r="G52" s="180"/>
      <c r="H52" s="180"/>
      <c r="I52" s="180"/>
      <c r="J52" s="180"/>
      <c r="K52" s="180"/>
      <c r="L52" s="180"/>
      <c r="M52" s="804"/>
    </row>
    <row r="53" spans="1:13" hidden="1" x14ac:dyDescent="0.3">
      <c r="A53" s="804" t="s">
        <v>1842</v>
      </c>
      <c r="B53" s="804" t="s">
        <v>1843</v>
      </c>
      <c r="C53" s="807">
        <v>0.84</v>
      </c>
      <c r="D53" s="806">
        <v>2019</v>
      </c>
      <c r="E53" s="806">
        <v>2027</v>
      </c>
      <c r="F53" s="804"/>
      <c r="G53" s="180"/>
      <c r="H53" s="180"/>
      <c r="I53" s="180"/>
      <c r="J53" s="180"/>
      <c r="K53" s="180"/>
      <c r="L53" s="180"/>
      <c r="M53" s="804"/>
    </row>
    <row r="54" spans="1:13" hidden="1" x14ac:dyDescent="0.3">
      <c r="A54" s="804" t="s">
        <v>1844</v>
      </c>
      <c r="B54" s="804" t="s">
        <v>1845</v>
      </c>
      <c r="C54" s="807">
        <v>0.75</v>
      </c>
      <c r="D54" s="806">
        <v>2014</v>
      </c>
      <c r="E54" s="806">
        <v>2022</v>
      </c>
      <c r="F54" s="804"/>
      <c r="G54" s="180"/>
      <c r="H54" s="180"/>
      <c r="I54" s="180"/>
      <c r="J54" s="180"/>
      <c r="K54" s="180"/>
      <c r="L54" s="180"/>
      <c r="M54" s="804"/>
    </row>
    <row r="55" spans="1:13" hidden="1" x14ac:dyDescent="0.3">
      <c r="A55" s="804" t="s">
        <v>1846</v>
      </c>
      <c r="B55" s="804" t="s">
        <v>523</v>
      </c>
      <c r="C55" s="807">
        <v>0.79500000000000004</v>
      </c>
      <c r="D55" s="806">
        <v>2017</v>
      </c>
      <c r="E55" s="806">
        <v>2023</v>
      </c>
      <c r="F55" s="804"/>
      <c r="G55" s="180"/>
      <c r="H55" s="180"/>
      <c r="I55" s="180"/>
      <c r="J55" s="180"/>
      <c r="K55" s="180"/>
      <c r="L55" s="180"/>
      <c r="M55" s="804"/>
    </row>
    <row r="56" spans="1:13" hidden="1" x14ac:dyDescent="0.3">
      <c r="A56" s="804" t="s">
        <v>1847</v>
      </c>
      <c r="B56" s="804" t="s">
        <v>1848</v>
      </c>
      <c r="C56" s="807">
        <v>0.53749999999999998</v>
      </c>
      <c r="D56" s="806">
        <v>2019</v>
      </c>
      <c r="E56" s="806">
        <v>2023</v>
      </c>
      <c r="F56" s="804"/>
      <c r="G56" s="180"/>
      <c r="H56" s="180"/>
      <c r="I56" s="180"/>
      <c r="J56" s="180"/>
      <c r="K56" s="180"/>
      <c r="L56" s="180"/>
      <c r="M56" s="804"/>
    </row>
    <row r="57" spans="1:13" hidden="1" x14ac:dyDescent="0.3">
      <c r="A57" s="804" t="s">
        <v>1849</v>
      </c>
      <c r="B57" s="804" t="s">
        <v>1850</v>
      </c>
      <c r="C57" s="807">
        <v>0.36</v>
      </c>
      <c r="D57" s="806">
        <v>2021</v>
      </c>
      <c r="E57" s="806">
        <v>2025</v>
      </c>
      <c r="F57" s="804"/>
      <c r="G57" s="180"/>
      <c r="H57" s="180"/>
      <c r="I57" s="180"/>
      <c r="J57" s="180"/>
      <c r="K57" s="180"/>
      <c r="L57" s="180"/>
      <c r="M57" s="804"/>
    </row>
    <row r="58" spans="1:13" hidden="1" x14ac:dyDescent="0.3">
      <c r="A58" s="804" t="s">
        <v>1851</v>
      </c>
      <c r="B58" s="804" t="s">
        <v>1852</v>
      </c>
      <c r="C58" s="805">
        <v>0.73</v>
      </c>
      <c r="D58" s="806">
        <v>2019</v>
      </c>
      <c r="E58" s="806">
        <v>2025</v>
      </c>
      <c r="F58" s="804"/>
      <c r="G58" s="180"/>
      <c r="H58" s="180"/>
      <c r="I58" s="180"/>
      <c r="J58" s="180"/>
      <c r="K58" s="180"/>
      <c r="L58" s="180"/>
      <c r="M58" s="804"/>
    </row>
    <row r="59" spans="1:13" hidden="1" x14ac:dyDescent="0.3">
      <c r="A59" s="804" t="s">
        <v>1853</v>
      </c>
      <c r="B59" s="804" t="s">
        <v>1854</v>
      </c>
      <c r="C59" s="805">
        <v>0.75</v>
      </c>
      <c r="D59" s="806">
        <v>2014</v>
      </c>
      <c r="E59" s="806">
        <v>2022</v>
      </c>
      <c r="F59" s="804"/>
      <c r="G59" s="180"/>
      <c r="H59" s="180"/>
      <c r="I59" s="180"/>
      <c r="J59" s="180"/>
      <c r="K59" s="180"/>
      <c r="L59" s="180"/>
      <c r="M59" s="804"/>
    </row>
    <row r="60" spans="1:13" hidden="1" x14ac:dyDescent="0.3">
      <c r="A60" s="804" t="s">
        <v>1855</v>
      </c>
      <c r="B60" s="804" t="s">
        <v>1856</v>
      </c>
      <c r="C60" s="805">
        <v>0.76</v>
      </c>
      <c r="D60" s="806">
        <v>2019</v>
      </c>
      <c r="E60" s="806">
        <v>2023</v>
      </c>
      <c r="F60" s="804"/>
      <c r="G60" s="180"/>
      <c r="H60" s="180"/>
      <c r="I60" s="180"/>
      <c r="J60" s="180"/>
      <c r="K60" s="180"/>
      <c r="L60" s="180"/>
      <c r="M60" s="804"/>
    </row>
    <row r="61" spans="1:13" hidden="1" x14ac:dyDescent="0.3">
      <c r="A61" s="804" t="s">
        <v>1857</v>
      </c>
      <c r="B61" s="804" t="s">
        <v>1858</v>
      </c>
      <c r="C61" s="805">
        <v>0.84499999999999997</v>
      </c>
      <c r="D61" s="806">
        <v>2017</v>
      </c>
      <c r="E61" s="806">
        <v>2025</v>
      </c>
      <c r="F61" s="804"/>
      <c r="G61" s="180"/>
      <c r="H61" s="180"/>
      <c r="I61" s="180"/>
      <c r="J61" s="180"/>
      <c r="K61" s="180"/>
      <c r="L61" s="180"/>
      <c r="M61" s="804"/>
    </row>
    <row r="62" spans="1:13" hidden="1" x14ac:dyDescent="0.3">
      <c r="A62" s="804" t="s">
        <v>1859</v>
      </c>
      <c r="B62" s="804" t="s">
        <v>1860</v>
      </c>
      <c r="C62" s="805">
        <v>0.61899999999999999</v>
      </c>
      <c r="D62" s="806">
        <v>2019</v>
      </c>
      <c r="E62" s="806">
        <v>2023</v>
      </c>
      <c r="F62" s="804"/>
      <c r="G62" s="180"/>
      <c r="H62" s="180"/>
      <c r="I62" s="180"/>
      <c r="J62" s="180"/>
      <c r="K62" s="180"/>
      <c r="L62" s="180"/>
      <c r="M62" s="804"/>
    </row>
    <row r="63" spans="1:13" hidden="1" x14ac:dyDescent="0.3">
      <c r="A63" s="804" t="s">
        <v>1861</v>
      </c>
      <c r="B63" s="804" t="s">
        <v>1862</v>
      </c>
      <c r="C63" s="805">
        <v>0.4</v>
      </c>
      <c r="D63" s="806">
        <v>2019</v>
      </c>
      <c r="E63" s="806">
        <v>2023</v>
      </c>
      <c r="F63" s="804"/>
      <c r="G63" s="180"/>
      <c r="H63" s="180"/>
      <c r="I63" s="180"/>
      <c r="J63" s="180"/>
      <c r="K63" s="180"/>
      <c r="L63" s="180"/>
      <c r="M63" s="804"/>
    </row>
    <row r="64" spans="1:13" hidden="1" x14ac:dyDescent="0.3">
      <c r="A64" s="804" t="s">
        <v>1863</v>
      </c>
      <c r="B64" s="804" t="s">
        <v>1864</v>
      </c>
      <c r="C64" s="805">
        <v>0.5</v>
      </c>
      <c r="D64" s="806">
        <v>2020</v>
      </c>
      <c r="E64" s="806">
        <v>2028</v>
      </c>
      <c r="F64" s="804"/>
      <c r="G64" s="180"/>
      <c r="H64" s="180"/>
      <c r="I64" s="180"/>
      <c r="J64" s="180"/>
      <c r="K64" s="180"/>
      <c r="L64" s="180"/>
      <c r="M64" s="804"/>
    </row>
    <row r="65" spans="1:13" hidden="1" x14ac:dyDescent="0.3">
      <c r="A65" s="804" t="s">
        <v>1865</v>
      </c>
      <c r="B65" s="804" t="s">
        <v>862</v>
      </c>
      <c r="C65" s="805">
        <v>0.81</v>
      </c>
      <c r="D65" s="806">
        <v>2017</v>
      </c>
      <c r="E65" s="806">
        <v>2025</v>
      </c>
      <c r="F65" s="804"/>
      <c r="G65" s="180"/>
      <c r="H65" s="180"/>
      <c r="I65" s="180"/>
      <c r="J65" s="180"/>
      <c r="K65" s="180"/>
      <c r="L65" s="180"/>
      <c r="M65" s="804"/>
    </row>
    <row r="66" spans="1:13" hidden="1" x14ac:dyDescent="0.3">
      <c r="A66" s="804" t="s">
        <v>1866</v>
      </c>
      <c r="B66" s="804" t="s">
        <v>1867</v>
      </c>
      <c r="C66" s="805">
        <v>0.57750000000000001</v>
      </c>
      <c r="D66" s="806">
        <v>2019</v>
      </c>
      <c r="E66" s="806">
        <v>2023</v>
      </c>
      <c r="F66" s="804"/>
      <c r="G66" s="180"/>
      <c r="H66" s="180"/>
      <c r="I66" s="180"/>
      <c r="J66" s="180"/>
      <c r="K66" s="180"/>
      <c r="L66" s="180"/>
      <c r="M66" s="804"/>
    </row>
    <row r="67" spans="1:13" hidden="1" x14ac:dyDescent="0.3">
      <c r="A67" s="804" t="s">
        <v>1868</v>
      </c>
      <c r="B67" s="804" t="s">
        <v>1869</v>
      </c>
      <c r="C67" s="805">
        <v>0.6169</v>
      </c>
      <c r="D67" s="806">
        <v>2019</v>
      </c>
      <c r="E67" s="806">
        <v>2023</v>
      </c>
      <c r="F67" s="804"/>
      <c r="G67" s="180"/>
      <c r="H67" s="180"/>
      <c r="I67" s="180"/>
      <c r="J67" s="180"/>
      <c r="K67" s="180"/>
      <c r="L67" s="180"/>
      <c r="M67" s="804"/>
    </row>
    <row r="68" spans="1:13" hidden="1" x14ac:dyDescent="0.3">
      <c r="A68" s="804" t="s">
        <v>1870</v>
      </c>
      <c r="B68" s="804" t="s">
        <v>1871</v>
      </c>
      <c r="C68" s="805">
        <v>0.57999999999999996</v>
      </c>
      <c r="D68" s="806">
        <v>2018</v>
      </c>
      <c r="E68" s="806">
        <v>2022</v>
      </c>
      <c r="F68" s="804"/>
      <c r="G68" s="180"/>
      <c r="H68" s="180"/>
      <c r="I68" s="180"/>
      <c r="J68" s="180"/>
      <c r="K68" s="180"/>
      <c r="L68" s="180"/>
      <c r="M68" s="804"/>
    </row>
    <row r="69" spans="1:13" hidden="1" x14ac:dyDescent="0.3">
      <c r="A69" s="804" t="s">
        <v>1872</v>
      </c>
      <c r="B69" s="804" t="s">
        <v>1873</v>
      </c>
      <c r="C69" s="805">
        <v>0.61499999999999999</v>
      </c>
      <c r="D69" s="806">
        <v>2020</v>
      </c>
      <c r="E69" s="806">
        <v>2028</v>
      </c>
      <c r="F69" s="804"/>
      <c r="G69" s="180"/>
      <c r="H69" s="180"/>
      <c r="I69" s="180"/>
      <c r="J69" s="180"/>
      <c r="K69" s="180"/>
      <c r="L69" s="180"/>
      <c r="M69" s="804"/>
    </row>
    <row r="70" spans="1:13" hidden="1" x14ac:dyDescent="0.3">
      <c r="A70" s="804" t="s">
        <v>1874</v>
      </c>
      <c r="B70" s="804" t="s">
        <v>1875</v>
      </c>
      <c r="C70" s="805">
        <v>0.51</v>
      </c>
      <c r="D70" s="806">
        <v>2019</v>
      </c>
      <c r="E70" s="806">
        <v>2023</v>
      </c>
      <c r="F70" s="804"/>
      <c r="G70" s="180"/>
      <c r="H70" s="180"/>
      <c r="I70" s="180"/>
      <c r="J70" s="180"/>
      <c r="K70" s="180"/>
      <c r="L70" s="180"/>
      <c r="M70" s="804"/>
    </row>
    <row r="71" spans="1:13" x14ac:dyDescent="0.3">
      <c r="A71" s="804" t="s">
        <v>1751</v>
      </c>
      <c r="B71" s="804" t="s">
        <v>1752</v>
      </c>
      <c r="C71" s="805">
        <v>0.67</v>
      </c>
      <c r="D71" s="806">
        <v>2017</v>
      </c>
      <c r="E71" s="806">
        <v>2024</v>
      </c>
      <c r="F71" s="804"/>
      <c r="G71" s="180"/>
      <c r="H71" s="180"/>
      <c r="I71" s="180"/>
      <c r="J71" s="180"/>
      <c r="K71" s="180"/>
      <c r="L71" s="180"/>
      <c r="M71" s="804"/>
    </row>
    <row r="72" spans="1:13" hidden="1" x14ac:dyDescent="0.3">
      <c r="A72" s="804" t="s">
        <v>1876</v>
      </c>
      <c r="B72" s="804" t="s">
        <v>1877</v>
      </c>
      <c r="C72" s="805">
        <v>0.47499999999999998</v>
      </c>
      <c r="D72" s="806">
        <v>2021</v>
      </c>
      <c r="E72" s="806">
        <v>2025</v>
      </c>
      <c r="F72" s="804"/>
      <c r="G72" s="180"/>
      <c r="H72" s="180"/>
      <c r="I72" s="180"/>
      <c r="J72" s="180"/>
      <c r="K72" s="180"/>
      <c r="L72" s="180"/>
      <c r="M72" s="804"/>
    </row>
    <row r="73" spans="1:13" hidden="1" x14ac:dyDescent="0.3">
      <c r="A73" s="613" t="s">
        <v>1878</v>
      </c>
      <c r="B73" s="613" t="s">
        <v>532</v>
      </c>
      <c r="C73" s="808">
        <v>0.90500000000000003</v>
      </c>
      <c r="D73" s="614">
        <v>2015</v>
      </c>
      <c r="E73" s="614">
        <v>2023</v>
      </c>
      <c r="G73" s="180"/>
      <c r="H73" s="180"/>
      <c r="I73" s="180"/>
      <c r="J73" s="180"/>
      <c r="K73" s="180"/>
      <c r="L73" s="180"/>
    </row>
    <row r="74" spans="1:13" hidden="1" x14ac:dyDescent="0.3">
      <c r="A74" s="613" t="s">
        <v>1879</v>
      </c>
      <c r="B74" s="613" t="s">
        <v>1880</v>
      </c>
      <c r="C74" s="808">
        <v>0.70499999999999996</v>
      </c>
      <c r="D74" s="614">
        <v>2018</v>
      </c>
      <c r="E74" s="614">
        <v>2022</v>
      </c>
      <c r="G74" s="180"/>
      <c r="H74" s="180"/>
      <c r="I74" s="180"/>
      <c r="J74" s="180"/>
      <c r="K74" s="180"/>
      <c r="L74" s="180"/>
    </row>
    <row r="75" spans="1:13" hidden="1" x14ac:dyDescent="0.3">
      <c r="A75" s="613" t="s">
        <v>1881</v>
      </c>
      <c r="B75" s="613" t="s">
        <v>1882</v>
      </c>
      <c r="C75" s="808">
        <v>0.81869999999999998</v>
      </c>
      <c r="D75" s="614">
        <v>2021</v>
      </c>
      <c r="E75" s="614">
        <v>2025</v>
      </c>
      <c r="G75" s="180"/>
      <c r="H75" s="180"/>
      <c r="I75" s="180"/>
      <c r="J75" s="180"/>
      <c r="K75" s="180"/>
      <c r="L75" s="180"/>
    </row>
    <row r="76" spans="1:13" hidden="1" x14ac:dyDescent="0.3">
      <c r="A76" s="613" t="s">
        <v>1883</v>
      </c>
      <c r="B76" s="613" t="s">
        <v>1884</v>
      </c>
      <c r="C76" s="808">
        <v>0.625</v>
      </c>
      <c r="D76" s="614">
        <v>2020</v>
      </c>
      <c r="E76" s="614">
        <v>2028</v>
      </c>
      <c r="G76" s="180"/>
      <c r="H76" s="180"/>
      <c r="I76" s="180"/>
      <c r="J76" s="180"/>
      <c r="K76" s="180"/>
      <c r="L76" s="180"/>
    </row>
    <row r="77" spans="1:13" hidden="1" x14ac:dyDescent="0.3">
      <c r="A77" s="613" t="s">
        <v>1885</v>
      </c>
      <c r="B77" s="613" t="s">
        <v>1886</v>
      </c>
      <c r="C77" s="808">
        <v>0.77</v>
      </c>
      <c r="D77" s="614">
        <v>2014</v>
      </c>
      <c r="E77" s="614">
        <v>2022</v>
      </c>
      <c r="G77" s="180"/>
      <c r="H77" s="180"/>
      <c r="I77" s="180"/>
      <c r="J77" s="180"/>
      <c r="K77" s="180"/>
      <c r="L77" s="180"/>
    </row>
    <row r="78" spans="1:13" hidden="1" x14ac:dyDescent="0.3">
      <c r="A78" s="613" t="s">
        <v>1887</v>
      </c>
      <c r="B78" s="613" t="s">
        <v>535</v>
      </c>
      <c r="C78" s="808">
        <v>0.64500000000000002</v>
      </c>
      <c r="D78" s="614">
        <v>2019</v>
      </c>
      <c r="E78" s="614">
        <v>2027</v>
      </c>
      <c r="G78" s="180"/>
      <c r="H78" s="180"/>
      <c r="I78" s="180"/>
      <c r="J78" s="180"/>
      <c r="K78" s="180"/>
      <c r="L78" s="180"/>
    </row>
    <row r="79" spans="1:13" x14ac:dyDescent="0.3">
      <c r="A79" s="613" t="s">
        <v>1753</v>
      </c>
      <c r="B79" s="613" t="s">
        <v>1754</v>
      </c>
      <c r="C79" s="808">
        <v>0.61</v>
      </c>
      <c r="D79" s="614">
        <v>2016</v>
      </c>
      <c r="E79" s="614">
        <v>2024</v>
      </c>
      <c r="G79" s="180"/>
      <c r="H79" s="180"/>
      <c r="I79" s="180"/>
      <c r="J79" s="180"/>
      <c r="K79" s="180"/>
      <c r="L79" s="180"/>
    </row>
    <row r="80" spans="1:13" hidden="1" x14ac:dyDescent="0.3">
      <c r="A80" s="613" t="s">
        <v>1888</v>
      </c>
      <c r="B80" s="613" t="s">
        <v>1889</v>
      </c>
      <c r="C80" s="808">
        <v>0.72</v>
      </c>
      <c r="D80" s="614">
        <v>2021</v>
      </c>
      <c r="E80" s="614">
        <v>2025</v>
      </c>
      <c r="G80" s="180"/>
      <c r="H80" s="180"/>
      <c r="I80" s="180"/>
      <c r="J80" s="180"/>
      <c r="K80" s="180"/>
      <c r="L80" s="180"/>
    </row>
    <row r="81" spans="1:12" x14ac:dyDescent="0.3">
      <c r="A81" s="613" t="s">
        <v>1755</v>
      </c>
      <c r="B81" s="613" t="s">
        <v>1756</v>
      </c>
      <c r="C81" s="808">
        <v>0.68410000000000004</v>
      </c>
      <c r="D81" s="614">
        <v>2020</v>
      </c>
      <c r="E81" s="614">
        <v>2024</v>
      </c>
      <c r="G81" s="180"/>
      <c r="H81" s="180"/>
      <c r="I81" s="180"/>
      <c r="J81" s="180"/>
      <c r="K81" s="180"/>
      <c r="L81" s="180"/>
    </row>
    <row r="82" spans="1:12" hidden="1" x14ac:dyDescent="0.3">
      <c r="A82" s="613" t="s">
        <v>1890</v>
      </c>
      <c r="B82" s="613" t="s">
        <v>1891</v>
      </c>
      <c r="C82" s="808">
        <v>0.51429999999999998</v>
      </c>
      <c r="D82" s="614">
        <v>2021</v>
      </c>
      <c r="E82" s="614">
        <v>2025</v>
      </c>
      <c r="G82" s="180"/>
      <c r="H82" s="180"/>
      <c r="I82" s="180"/>
      <c r="J82" s="180"/>
      <c r="K82" s="180"/>
      <c r="L82" s="180"/>
    </row>
    <row r="83" spans="1:12" hidden="1" x14ac:dyDescent="0.3">
      <c r="A83" s="613" t="s">
        <v>1892</v>
      </c>
      <c r="B83" s="613" t="s">
        <v>1893</v>
      </c>
      <c r="C83" s="808">
        <v>0.63270000000000004</v>
      </c>
      <c r="D83" s="614">
        <v>2019</v>
      </c>
      <c r="E83" s="614">
        <v>2023</v>
      </c>
      <c r="G83" s="180"/>
      <c r="H83" s="180"/>
      <c r="I83" s="180"/>
      <c r="J83" s="180"/>
      <c r="K83" s="180"/>
      <c r="L83" s="180"/>
    </row>
    <row r="84" spans="1:12" x14ac:dyDescent="0.3">
      <c r="A84" s="613" t="s">
        <v>1757</v>
      </c>
      <c r="B84" s="613" t="s">
        <v>1758</v>
      </c>
      <c r="C84" s="808">
        <v>0.83</v>
      </c>
      <c r="D84" s="614">
        <v>2016</v>
      </c>
      <c r="E84" s="614">
        <v>2024</v>
      </c>
      <c r="G84" s="180"/>
      <c r="H84" s="180"/>
      <c r="I84" s="180"/>
      <c r="J84" s="180"/>
      <c r="K84" s="180"/>
      <c r="L84" s="180"/>
    </row>
    <row r="85" spans="1:12" x14ac:dyDescent="0.3">
      <c r="A85" s="613" t="s">
        <v>1759</v>
      </c>
      <c r="B85" s="613" t="s">
        <v>1760</v>
      </c>
      <c r="C85" s="808">
        <v>0.77</v>
      </c>
      <c r="D85" s="614">
        <v>2018</v>
      </c>
      <c r="E85" s="614">
        <v>2024</v>
      </c>
      <c r="G85" s="180"/>
      <c r="H85" s="180"/>
      <c r="I85" s="180"/>
      <c r="J85" s="180"/>
      <c r="K85" s="180"/>
      <c r="L85" s="180"/>
    </row>
    <row r="86" spans="1:12" x14ac:dyDescent="0.3">
      <c r="A86" s="613" t="s">
        <v>1761</v>
      </c>
      <c r="B86" s="613" t="s">
        <v>1762</v>
      </c>
      <c r="C86" s="808">
        <v>0.69499999999999995</v>
      </c>
      <c r="D86" s="614">
        <v>2019</v>
      </c>
      <c r="E86" s="614">
        <v>2024</v>
      </c>
      <c r="G86" s="180"/>
      <c r="H86" s="180"/>
      <c r="I86" s="180"/>
      <c r="J86" s="180"/>
      <c r="K86" s="180"/>
      <c r="L86" s="180"/>
    </row>
    <row r="87" spans="1:12" hidden="1" x14ac:dyDescent="0.3">
      <c r="A87" s="613" t="s">
        <v>1894</v>
      </c>
      <c r="B87" s="613" t="s">
        <v>1895</v>
      </c>
      <c r="C87" s="808">
        <v>0.65749999999999997</v>
      </c>
      <c r="D87" s="614">
        <v>2019</v>
      </c>
      <c r="E87" s="614">
        <v>2023</v>
      </c>
      <c r="G87" s="180"/>
      <c r="H87" s="180"/>
      <c r="I87" s="180"/>
      <c r="J87" s="180"/>
      <c r="K87" s="180"/>
      <c r="L87" s="180"/>
    </row>
    <row r="88" spans="1:12" hidden="1" x14ac:dyDescent="0.3">
      <c r="A88" s="613" t="s">
        <v>1896</v>
      </c>
      <c r="B88" s="613" t="s">
        <v>1897</v>
      </c>
      <c r="C88" s="808">
        <v>0.59699999999999998</v>
      </c>
      <c r="D88" s="614">
        <v>2019</v>
      </c>
      <c r="E88" s="614">
        <v>2023</v>
      </c>
      <c r="G88" s="180"/>
      <c r="H88" s="180"/>
      <c r="I88" s="180"/>
      <c r="J88" s="180"/>
      <c r="K88" s="180"/>
      <c r="L88" s="180"/>
    </row>
    <row r="89" spans="1:12" hidden="1" x14ac:dyDescent="0.3">
      <c r="A89" s="613" t="s">
        <v>1898</v>
      </c>
      <c r="B89" s="613" t="s">
        <v>1899</v>
      </c>
      <c r="C89" s="808">
        <v>0.82499999999999996</v>
      </c>
      <c r="D89" s="614">
        <v>2019</v>
      </c>
      <c r="E89" s="614">
        <v>2027</v>
      </c>
      <c r="G89" s="180"/>
      <c r="H89" s="180"/>
      <c r="I89" s="180"/>
      <c r="J89" s="180"/>
      <c r="K89" s="180"/>
      <c r="L89" s="180"/>
    </row>
    <row r="90" spans="1:12" hidden="1" x14ac:dyDescent="0.3">
      <c r="A90" s="613" t="s">
        <v>1900</v>
      </c>
      <c r="B90" s="613" t="s">
        <v>549</v>
      </c>
      <c r="C90" s="808">
        <v>1</v>
      </c>
      <c r="D90" s="614">
        <v>2019</v>
      </c>
      <c r="E90" s="614">
        <v>2027</v>
      </c>
      <c r="G90" s="180"/>
      <c r="H90" s="180"/>
      <c r="I90" s="180"/>
      <c r="J90" s="180"/>
      <c r="K90" s="180"/>
      <c r="L90" s="180"/>
    </row>
    <row r="91" spans="1:12" hidden="1" x14ac:dyDescent="0.3">
      <c r="A91" s="613" t="s">
        <v>1901</v>
      </c>
      <c r="B91" s="613" t="s">
        <v>1902</v>
      </c>
      <c r="C91" s="808">
        <v>0.61</v>
      </c>
      <c r="D91" s="614">
        <v>2021</v>
      </c>
      <c r="E91" s="614">
        <v>2025</v>
      </c>
      <c r="G91" s="180"/>
      <c r="H91" s="180"/>
      <c r="I91" s="180"/>
      <c r="J91" s="180"/>
      <c r="K91" s="180"/>
      <c r="L91" s="180"/>
    </row>
    <row r="92" spans="1:12" hidden="1" x14ac:dyDescent="0.3">
      <c r="A92" s="613" t="s">
        <v>1903</v>
      </c>
      <c r="B92" s="613" t="s">
        <v>1904</v>
      </c>
      <c r="C92" s="808">
        <v>0.66</v>
      </c>
      <c r="D92" s="614">
        <v>2021</v>
      </c>
      <c r="E92" s="614">
        <v>2025</v>
      </c>
      <c r="G92" s="180"/>
      <c r="H92" s="180"/>
      <c r="I92" s="180"/>
      <c r="J92" s="180"/>
      <c r="K92" s="180"/>
      <c r="L92" s="180"/>
    </row>
    <row r="93" spans="1:12" hidden="1" x14ac:dyDescent="0.3">
      <c r="A93" s="613" t="s">
        <v>1905</v>
      </c>
      <c r="B93" s="613" t="s">
        <v>1906</v>
      </c>
      <c r="C93" s="808">
        <v>0.55200000000000005</v>
      </c>
      <c r="D93" s="614">
        <v>2021</v>
      </c>
      <c r="E93" s="614">
        <v>2025</v>
      </c>
      <c r="G93" s="180"/>
      <c r="H93" s="180"/>
      <c r="I93" s="180"/>
      <c r="J93" s="180"/>
      <c r="K93" s="180"/>
      <c r="L93" s="180"/>
    </row>
    <row r="94" spans="1:12" hidden="1" x14ac:dyDescent="0.3">
      <c r="A94" s="613" t="s">
        <v>1907</v>
      </c>
      <c r="B94" s="613" t="s">
        <v>1908</v>
      </c>
      <c r="C94" s="808">
        <v>0.36</v>
      </c>
      <c r="D94" s="614">
        <v>2021</v>
      </c>
      <c r="E94" s="614">
        <v>2029</v>
      </c>
      <c r="G94" s="180"/>
      <c r="H94" s="180"/>
      <c r="I94" s="180"/>
      <c r="J94" s="180"/>
      <c r="K94" s="180"/>
      <c r="L94" s="180"/>
    </row>
    <row r="95" spans="1:12" hidden="1" x14ac:dyDescent="0.3">
      <c r="A95" s="613" t="s">
        <v>1909</v>
      </c>
      <c r="B95" s="613" t="s">
        <v>1910</v>
      </c>
      <c r="C95" s="808">
        <v>0.60329999999999995</v>
      </c>
      <c r="D95" s="614">
        <v>2021</v>
      </c>
      <c r="E95" s="614">
        <v>2025</v>
      </c>
      <c r="G95" s="180"/>
      <c r="H95" s="180"/>
      <c r="I95" s="180"/>
      <c r="J95" s="180"/>
      <c r="K95" s="180"/>
      <c r="L95" s="180"/>
    </row>
    <row r="96" spans="1:12" hidden="1" x14ac:dyDescent="0.3">
      <c r="A96" s="613" t="s">
        <v>1911</v>
      </c>
      <c r="B96" s="613" t="s">
        <v>558</v>
      </c>
      <c r="C96" s="808">
        <v>0.95</v>
      </c>
      <c r="D96" s="614">
        <v>2017</v>
      </c>
      <c r="E96" s="614">
        <v>2025</v>
      </c>
      <c r="G96" s="180"/>
      <c r="H96" s="180"/>
      <c r="I96" s="180"/>
      <c r="J96" s="180"/>
      <c r="K96" s="180"/>
      <c r="L96" s="180"/>
    </row>
    <row r="97" spans="1:12" hidden="1" x14ac:dyDescent="0.3">
      <c r="A97" s="613" t="s">
        <v>1912</v>
      </c>
      <c r="B97" s="613" t="s">
        <v>1913</v>
      </c>
      <c r="C97" s="808">
        <v>0.58799999999999997</v>
      </c>
      <c r="D97" s="614">
        <v>2021</v>
      </c>
      <c r="E97" s="614">
        <v>2025</v>
      </c>
      <c r="G97" s="180"/>
      <c r="H97" s="180"/>
      <c r="I97" s="180"/>
      <c r="J97" s="180"/>
      <c r="K97" s="180"/>
      <c r="L97" s="180"/>
    </row>
    <row r="98" spans="1:12" x14ac:dyDescent="0.3">
      <c r="A98" s="613" t="s">
        <v>1763</v>
      </c>
      <c r="B98" s="613" t="s">
        <v>1764</v>
      </c>
      <c r="C98" s="808">
        <v>0.89</v>
      </c>
      <c r="D98" s="614">
        <v>2016</v>
      </c>
      <c r="E98" s="614">
        <v>2024</v>
      </c>
    </row>
    <row r="99" spans="1:12" x14ac:dyDescent="0.3">
      <c r="A99" s="613" t="s">
        <v>1765</v>
      </c>
      <c r="B99" s="613" t="s">
        <v>1766</v>
      </c>
      <c r="C99" s="808">
        <v>0.6</v>
      </c>
      <c r="D99" s="614">
        <v>2020</v>
      </c>
      <c r="E99" s="614">
        <v>2024</v>
      </c>
    </row>
    <row r="100" spans="1:12" hidden="1" x14ac:dyDescent="0.3">
      <c r="A100" s="613" t="s">
        <v>1914</v>
      </c>
      <c r="B100" s="613" t="s">
        <v>1915</v>
      </c>
      <c r="C100" s="808">
        <v>0.81</v>
      </c>
      <c r="D100" s="614">
        <v>2017</v>
      </c>
      <c r="E100" s="614">
        <v>2025</v>
      </c>
    </row>
    <row r="101" spans="1:12" hidden="1" x14ac:dyDescent="0.3">
      <c r="A101" s="613" t="s">
        <v>1916</v>
      </c>
      <c r="B101" s="613" t="s">
        <v>1917</v>
      </c>
      <c r="C101" s="808">
        <v>0.85</v>
      </c>
      <c r="D101" s="614">
        <v>2021</v>
      </c>
      <c r="E101" s="614">
        <v>2029</v>
      </c>
    </row>
    <row r="102" spans="1:12" hidden="1" x14ac:dyDescent="0.3">
      <c r="A102" s="613" t="s">
        <v>1918</v>
      </c>
      <c r="B102" s="613" t="s">
        <v>1919</v>
      </c>
      <c r="C102" s="808">
        <v>0.40300000000000002</v>
      </c>
      <c r="D102" s="614">
        <v>2014</v>
      </c>
      <c r="E102" s="614">
        <v>2022</v>
      </c>
    </row>
    <row r="103" spans="1:12" hidden="1" x14ac:dyDescent="0.3">
      <c r="A103" s="613" t="s">
        <v>1920</v>
      </c>
      <c r="B103" s="613" t="s">
        <v>1921</v>
      </c>
      <c r="C103" s="808">
        <v>0.70750000000000002</v>
      </c>
      <c r="D103" s="614">
        <v>2019</v>
      </c>
      <c r="E103" s="614">
        <v>2027</v>
      </c>
    </row>
    <row r="104" spans="1:12" hidden="1" x14ac:dyDescent="0.3">
      <c r="A104" s="613" t="s">
        <v>1922</v>
      </c>
      <c r="B104" s="613" t="s">
        <v>1923</v>
      </c>
      <c r="C104" s="808">
        <v>0.66</v>
      </c>
      <c r="D104" s="614">
        <v>2019</v>
      </c>
      <c r="E104" s="614">
        <v>2023</v>
      </c>
    </row>
    <row r="105" spans="1:12" x14ac:dyDescent="0.3">
      <c r="A105" s="613" t="s">
        <v>1767</v>
      </c>
      <c r="B105" s="613" t="s">
        <v>1768</v>
      </c>
      <c r="C105" s="808">
        <v>0.73</v>
      </c>
      <c r="D105" s="614">
        <v>2016</v>
      </c>
      <c r="E105" s="614">
        <v>2024</v>
      </c>
    </row>
    <row r="106" spans="1:12" hidden="1" x14ac:dyDescent="0.3">
      <c r="A106" s="613" t="s">
        <v>1924</v>
      </c>
      <c r="B106" s="613" t="s">
        <v>1925</v>
      </c>
      <c r="C106" s="808">
        <v>0.66</v>
      </c>
      <c r="D106" s="614">
        <v>2017</v>
      </c>
      <c r="E106" s="614">
        <v>2023</v>
      </c>
    </row>
    <row r="107" spans="1:12" x14ac:dyDescent="0.3">
      <c r="A107" s="613" t="s">
        <v>1926</v>
      </c>
      <c r="B107" s="613" t="s">
        <v>1927</v>
      </c>
      <c r="C107" s="808">
        <v>0.6</v>
      </c>
      <c r="D107" s="614">
        <v>2016</v>
      </c>
      <c r="E107" s="614">
        <v>2024</v>
      </c>
    </row>
    <row r="109" spans="1:12" x14ac:dyDescent="0.3">
      <c r="C109" s="808">
        <f>SUM(C8:C108)</f>
        <v>67.168499999999995</v>
      </c>
    </row>
  </sheetData>
  <sheetProtection algorithmName="SHA-512" hashValue="7gnlxkCtkjB8fMAbkd+dShpbZ1V/S/0/+H/XPxNAOCgS1FXiHj9wAaQW9ybHiaLRk7sRvnbUA0gnKkKRJ2JOLQ==" saltValue="kW6bFXL75o3BbEjrLWOPrQ==" spinCount="100000" sheet="1" objects="1" scenarios="1"/>
  <autoFilter ref="A7:E107" xr:uid="{C4C859C7-D101-4FF8-B13C-F4FADB068718}">
    <filterColumn colId="4">
      <filters>
        <filter val="2024"/>
      </filters>
    </filterColumn>
  </autoFilter>
  <sortState xmlns:xlrd2="http://schemas.microsoft.com/office/spreadsheetml/2017/richdata2" ref="A7:D106">
    <sortCondition ref="D7:D106"/>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B2" sqref="B2:D2"/>
    </sheetView>
  </sheetViews>
  <sheetFormatPr defaultColWidth="9.109375" defaultRowHeight="14.4" x14ac:dyDescent="0.3"/>
  <cols>
    <col min="1" max="1" width="2" style="180" customWidth="1"/>
    <col min="2" max="2" width="96.33203125" style="180" customWidth="1"/>
    <col min="3" max="3" width="2" style="180" customWidth="1"/>
    <col min="4" max="4" width="17.6640625" style="180" customWidth="1"/>
    <col min="5" max="5" width="9.33203125" style="180" customWidth="1"/>
    <col min="6" max="6" width="14.109375" style="155" customWidth="1"/>
    <col min="7" max="7" width="50.44140625" style="527" customWidth="1"/>
    <col min="8" max="8" width="44.33203125" style="180" customWidth="1"/>
    <col min="9" max="9" width="9.109375" style="180"/>
    <col min="10" max="10" width="36.664062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708" t="s">
        <v>1595</v>
      </c>
      <c r="C1" s="708"/>
      <c r="D1" s="708"/>
    </row>
    <row r="2" spans="2:8" ht="27" customHeight="1" x14ac:dyDescent="0.3">
      <c r="B2" s="1159"/>
      <c r="C2" s="1159"/>
      <c r="D2" s="1159"/>
    </row>
    <row r="3" spans="2:8" ht="26.4" customHeight="1" x14ac:dyDescent="0.35">
      <c r="B3" s="697" t="str">
        <f>'Unit Data from Audit Worksheet'!D2</f>
        <v>Select Unit Name from Drop Down List</v>
      </c>
      <c r="C3" s="568"/>
      <c r="D3" s="698">
        <v>2023</v>
      </c>
      <c r="F3" s="711" t="s">
        <v>1596</v>
      </c>
      <c r="G3" s="712" t="s">
        <v>41</v>
      </c>
    </row>
    <row r="4" spans="2:8" ht="18.600000000000001" customHeight="1" x14ac:dyDescent="0.3">
      <c r="B4" s="699" t="s">
        <v>71</v>
      </c>
      <c r="C4" s="265"/>
    </row>
    <row r="5" spans="2:8" ht="19.2" customHeight="1" x14ac:dyDescent="0.3">
      <c r="B5" s="607" t="s">
        <v>1574</v>
      </c>
      <c r="C5" s="607"/>
      <c r="D5" s="268"/>
    </row>
    <row r="6" spans="2:8" ht="19.95" customHeight="1" x14ac:dyDescent="0.3">
      <c r="B6" s="685" t="s">
        <v>1590</v>
      </c>
      <c r="C6" s="685"/>
      <c r="D6" s="701">
        <f>Import!L38</f>
        <v>0</v>
      </c>
      <c r="F6" s="681">
        <v>506</v>
      </c>
      <c r="G6" s="527" t="s">
        <v>189</v>
      </c>
    </row>
    <row r="7" spans="2:8" ht="19.95" customHeight="1" x14ac:dyDescent="0.3">
      <c r="B7" s="685" t="s">
        <v>1575</v>
      </c>
      <c r="C7" s="685"/>
      <c r="D7" s="702">
        <f>Import!L39</f>
        <v>0</v>
      </c>
      <c r="F7" s="681">
        <v>536</v>
      </c>
      <c r="G7" s="527" t="s">
        <v>190</v>
      </c>
    </row>
    <row r="8" spans="2:8" ht="19.95" customHeight="1" x14ac:dyDescent="0.3">
      <c r="B8" s="685" t="s">
        <v>1576</v>
      </c>
      <c r="C8" s="685"/>
      <c r="D8" s="702">
        <f>Import!L69</f>
        <v>0</v>
      </c>
      <c r="F8" s="561">
        <v>647</v>
      </c>
      <c r="G8" s="624" t="s">
        <v>809</v>
      </c>
    </row>
    <row r="9" spans="2:8" ht="19.95" customHeight="1" x14ac:dyDescent="0.3">
      <c r="B9" s="691" t="s">
        <v>1594</v>
      </c>
      <c r="C9" s="692"/>
      <c r="D9" s="702">
        <f>-Import!L48</f>
        <v>0</v>
      </c>
      <c r="F9" s="693">
        <v>11</v>
      </c>
      <c r="G9" s="694" t="s">
        <v>194</v>
      </c>
    </row>
    <row r="10" spans="2:8" ht="19.95" customHeight="1" x14ac:dyDescent="0.3">
      <c r="B10" s="608" t="s">
        <v>1493</v>
      </c>
      <c r="C10" s="608"/>
      <c r="D10" s="703"/>
    </row>
    <row r="11" spans="2:8" ht="19.95" customHeight="1" x14ac:dyDescent="0.3">
      <c r="B11" s="685" t="s">
        <v>1577</v>
      </c>
      <c r="C11" s="685"/>
      <c r="D11" s="704">
        <f>Import!L43</f>
        <v>0</v>
      </c>
      <c r="F11" s="155">
        <v>4</v>
      </c>
      <c r="G11" s="527" t="s">
        <v>1578</v>
      </c>
    </row>
    <row r="12" spans="2:8" ht="19.95" customHeight="1" x14ac:dyDescent="0.3">
      <c r="B12" s="685" t="s">
        <v>1494</v>
      </c>
      <c r="C12" s="685"/>
      <c r="D12" s="704">
        <f>Import!L196</f>
        <v>0</v>
      </c>
      <c r="F12" s="155">
        <v>6</v>
      </c>
      <c r="G12" s="527" t="s">
        <v>251</v>
      </c>
    </row>
    <row r="13" spans="2:8" ht="19.95" customHeight="1" x14ac:dyDescent="0.3">
      <c r="B13" s="685" t="s">
        <v>1579</v>
      </c>
      <c r="C13" s="685"/>
      <c r="D13" s="705">
        <f>Import!L44</f>
        <v>0</v>
      </c>
      <c r="F13" s="155">
        <v>5</v>
      </c>
      <c r="G13" s="527" t="s">
        <v>1580</v>
      </c>
    </row>
    <row r="14" spans="2:8" ht="24.6" customHeight="1" thickBot="1" x14ac:dyDescent="0.35">
      <c r="B14" s="686" t="s">
        <v>1592</v>
      </c>
      <c r="C14" s="685"/>
      <c r="D14" s="709">
        <f>SUM(D6:D9)-SUM(D11:D13)</f>
        <v>0</v>
      </c>
      <c r="E14" s="687"/>
      <c r="F14" s="155" t="s">
        <v>1566</v>
      </c>
      <c r="G14" s="695" t="s">
        <v>1944</v>
      </c>
      <c r="H14" s="726"/>
    </row>
    <row r="15" spans="2:8" ht="19.95" customHeight="1" thickTop="1" x14ac:dyDescent="0.3">
      <c r="B15" s="19"/>
      <c r="C15" s="19"/>
      <c r="D15" s="610"/>
    </row>
    <row r="16" spans="2:8" ht="19.95" customHeight="1" x14ac:dyDescent="0.3">
      <c r="B16" s="607"/>
      <c r="C16" s="607"/>
      <c r="D16" s="611"/>
    </row>
    <row r="17" spans="2:18" ht="19.95" customHeight="1" x14ac:dyDescent="0.3">
      <c r="B17" s="19" t="s">
        <v>1495</v>
      </c>
      <c r="C17" s="19"/>
      <c r="D17" s="268"/>
    </row>
    <row r="18" spans="2:18" ht="19.95" customHeight="1" x14ac:dyDescent="0.3">
      <c r="B18" s="685" t="s">
        <v>1581</v>
      </c>
      <c r="C18" s="685"/>
      <c r="D18" s="706">
        <f>Import!L59</f>
        <v>0</v>
      </c>
      <c r="F18" s="155">
        <v>532</v>
      </c>
      <c r="G18" s="527" t="s">
        <v>927</v>
      </c>
    </row>
    <row r="19" spans="2:18" ht="13.95" customHeight="1" x14ac:dyDescent="0.3">
      <c r="C19" s="19"/>
      <c r="D19" s="704"/>
    </row>
    <row r="20" spans="2:18" ht="16.95" customHeight="1" x14ac:dyDescent="0.3">
      <c r="B20" s="19" t="s">
        <v>1496</v>
      </c>
      <c r="C20" s="19"/>
      <c r="D20" s="704"/>
    </row>
    <row r="21" spans="2:18" ht="19.95" customHeight="1" x14ac:dyDescent="0.3">
      <c r="B21" s="685" t="s">
        <v>1582</v>
      </c>
      <c r="C21" s="685"/>
      <c r="D21" s="707">
        <f>Import!L62</f>
        <v>0</v>
      </c>
      <c r="F21" s="155">
        <v>20</v>
      </c>
      <c r="G21" s="527" t="s">
        <v>1583</v>
      </c>
    </row>
    <row r="22" spans="2:18" ht="33.6" customHeight="1" x14ac:dyDescent="0.3">
      <c r="B22" s="685" t="s">
        <v>1584</v>
      </c>
      <c r="C22" s="685"/>
      <c r="D22" s="704">
        <f>Import!L65</f>
        <v>0</v>
      </c>
      <c r="F22" s="155">
        <v>509</v>
      </c>
      <c r="G22" s="527" t="s">
        <v>290</v>
      </c>
    </row>
    <row r="23" spans="2:18" ht="28.95" customHeight="1" x14ac:dyDescent="0.3">
      <c r="B23" s="685" t="s">
        <v>1585</v>
      </c>
      <c r="C23" s="685"/>
      <c r="D23" s="707">
        <f>Import!L63</f>
        <v>0</v>
      </c>
      <c r="F23" s="155">
        <v>533</v>
      </c>
      <c r="G23" s="527" t="s">
        <v>928</v>
      </c>
    </row>
    <row r="24" spans="2:18" ht="38.4" customHeight="1" x14ac:dyDescent="0.3">
      <c r="B24" s="685" t="s">
        <v>1586</v>
      </c>
      <c r="C24" s="685"/>
      <c r="D24" s="707">
        <f>Import!L64</f>
        <v>0</v>
      </c>
      <c r="F24" s="155">
        <v>508</v>
      </c>
      <c r="G24" s="527" t="s">
        <v>292</v>
      </c>
    </row>
    <row r="25" spans="2:18" ht="39" customHeight="1" x14ac:dyDescent="0.3">
      <c r="B25" s="691" t="s">
        <v>1591</v>
      </c>
      <c r="C25" s="685"/>
      <c r="D25" s="725">
        <f>Import!L60</f>
        <v>0</v>
      </c>
      <c r="F25" s="693">
        <v>1050</v>
      </c>
      <c r="G25" s="700" t="s">
        <v>1509</v>
      </c>
    </row>
    <row r="26" spans="2:18" ht="25.95" customHeight="1" thickBot="1" x14ac:dyDescent="0.35">
      <c r="B26" s="686" t="s">
        <v>1587</v>
      </c>
      <c r="C26" s="688"/>
      <c r="D26" s="710">
        <f>D18+D21+D22-D23-D24-D25</f>
        <v>0</v>
      </c>
      <c r="F26" s="155" t="s">
        <v>1566</v>
      </c>
      <c r="G26" s="695" t="s">
        <v>1593</v>
      </c>
    </row>
    <row r="27" spans="2:18" ht="19.95" customHeight="1" thickTop="1" x14ac:dyDescent="0.3">
      <c r="B27" s="268"/>
      <c r="C27" s="268"/>
      <c r="D27" s="268"/>
    </row>
    <row r="28" spans="2:18" s="528" customFormat="1" ht="40.950000000000003" customHeight="1" thickBot="1" x14ac:dyDescent="0.35">
      <c r="B28" s="686" t="s">
        <v>1588</v>
      </c>
      <c r="C28" s="688"/>
      <c r="D28" s="612" t="e">
        <f>D14/D26</f>
        <v>#DIV/0!</v>
      </c>
      <c r="F28" s="155" t="s">
        <v>1566</v>
      </c>
      <c r="G28" s="696" t="s">
        <v>1589</v>
      </c>
      <c r="I28" s="180"/>
      <c r="J28" s="180"/>
      <c r="K28" s="180"/>
      <c r="L28" s="180"/>
      <c r="M28" s="180"/>
      <c r="N28" s="180"/>
      <c r="O28" s="180"/>
      <c r="P28" s="180"/>
      <c r="Q28" s="180"/>
      <c r="R28" s="180"/>
    </row>
    <row r="29" spans="2:18" s="528" customFormat="1" ht="15" thickTop="1" x14ac:dyDescent="0.3">
      <c r="B29" s="608"/>
      <c r="C29" s="608"/>
      <c r="D29" s="689"/>
      <c r="F29" s="155"/>
      <c r="G29" s="696"/>
      <c r="I29" s="180"/>
      <c r="J29" s="180"/>
      <c r="K29" s="180"/>
      <c r="L29" s="180"/>
      <c r="M29" s="180"/>
      <c r="N29" s="180"/>
      <c r="O29" s="180"/>
      <c r="P29" s="180"/>
      <c r="Q29" s="180"/>
      <c r="R29" s="180"/>
    </row>
    <row r="30" spans="2:18" s="528" customFormat="1" x14ac:dyDescent="0.3">
      <c r="B30" s="608"/>
      <c r="C30" s="608"/>
      <c r="D30" s="689"/>
      <c r="F30" s="155"/>
      <c r="G30" s="696"/>
      <c r="I30" s="180"/>
      <c r="J30" s="180"/>
      <c r="K30" s="180"/>
      <c r="L30" s="180"/>
      <c r="M30" s="180"/>
      <c r="N30" s="180"/>
      <c r="O30" s="180"/>
      <c r="P30" s="180"/>
      <c r="Q30" s="180"/>
      <c r="R30" s="180"/>
    </row>
    <row r="31" spans="2:18" s="528" customFormat="1" x14ac:dyDescent="0.3">
      <c r="B31" s="690"/>
      <c r="C31" s="690"/>
      <c r="D31" s="689"/>
      <c r="F31" s="155"/>
      <c r="G31" s="696"/>
      <c r="I31" s="180"/>
      <c r="J31" s="180"/>
      <c r="K31" s="180"/>
      <c r="L31" s="180"/>
      <c r="M31" s="180"/>
      <c r="N31" s="180"/>
      <c r="O31" s="180"/>
      <c r="P31" s="180"/>
      <c r="Q31" s="180"/>
      <c r="R31" s="180"/>
    </row>
    <row r="32" spans="2:18" x14ac:dyDescent="0.3">
      <c r="B32" s="584"/>
      <c r="C32" s="584"/>
      <c r="D32" s="609"/>
    </row>
  </sheetData>
  <sheetProtection algorithmName="SHA-512" hashValue="LsJIIP9aKFeWnBrTcbz/cXBFROlIF/cT4xkMg0E91lEb2/p9B1DhDF/qb80uo6iNbTg2JQzXjV51QTPol4OA9w==" saltValue="MoxPYrbrYMUW9OB3pHIcDg==" spinCount="100000" sheet="1" formatCells="0" formatColumns="0" formatRows="0"/>
  <mergeCells count="1">
    <mergeCell ref="B2:D2"/>
  </mergeCells>
  <pageMargins left="0.7" right="0.7" top="0.75" bottom="0.75" header="0.3" footer="0.3"/>
  <pageSetup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7" sqref="C7"/>
    </sheetView>
  </sheetViews>
  <sheetFormatPr defaultColWidth="9.109375" defaultRowHeight="14.4" x14ac:dyDescent="0.3"/>
  <cols>
    <col min="1" max="1" width="4.6640625" style="180" customWidth="1"/>
    <col min="2" max="2" width="77.33203125" style="180" customWidth="1"/>
    <col min="3" max="3" width="20.33203125" style="180" customWidth="1"/>
    <col min="4" max="4" width="3.6640625" style="180" customWidth="1"/>
    <col min="5" max="5" width="20.33203125" style="180" customWidth="1"/>
    <col min="6" max="6" width="6.33203125" style="180" customWidth="1"/>
    <col min="7" max="7" width="17.33203125" style="180" customWidth="1"/>
    <col min="8" max="8" width="34.6640625" style="180" customWidth="1"/>
    <col min="9" max="9" width="17.109375" style="155" customWidth="1"/>
    <col min="10" max="10" width="21.109375" style="180" customWidth="1"/>
    <col min="11" max="11" width="18.33203125" style="180" customWidth="1"/>
    <col min="12" max="12" width="19.88671875" style="180" customWidth="1"/>
    <col min="13" max="13" width="17.6640625" style="180" customWidth="1"/>
    <col min="14" max="16384" width="9.109375" style="180"/>
  </cols>
  <sheetData>
    <row r="2" spans="1:11" ht="14.4" customHeight="1" x14ac:dyDescent="0.3">
      <c r="B2" s="1160" t="s">
        <v>104</v>
      </c>
      <c r="C2" s="1160"/>
      <c r="D2" s="1160"/>
      <c r="E2" s="1160"/>
      <c r="F2" s="606"/>
      <c r="G2" s="261"/>
    </row>
    <row r="4" spans="1:11" ht="15.6" x14ac:dyDescent="0.3">
      <c r="A4" s="261"/>
      <c r="B4" s="262" t="str">
        <f>'Unit Data from Audit Worksheet'!D2</f>
        <v>Select Unit Name from Drop Down List</v>
      </c>
      <c r="C4" s="683">
        <f>'Unit Data from Audit Worksheet'!F5</f>
        <v>2023</v>
      </c>
      <c r="E4" s="673">
        <f>'Unit Data from Audit Worksheet'!F5</f>
        <v>2023</v>
      </c>
    </row>
    <row r="5" spans="1:11" ht="27.6" x14ac:dyDescent="0.4">
      <c r="A5" s="264"/>
      <c r="B5" s="265" t="s">
        <v>71</v>
      </c>
      <c r="C5" s="263" t="s">
        <v>72</v>
      </c>
      <c r="D5" s="264"/>
      <c r="E5" s="266" t="s">
        <v>73</v>
      </c>
      <c r="G5" s="155"/>
      <c r="I5" s="180"/>
    </row>
    <row r="6" spans="1:11" x14ac:dyDescent="0.3">
      <c r="A6" s="261"/>
      <c r="B6" s="267" t="s">
        <v>74</v>
      </c>
      <c r="C6" s="268"/>
      <c r="D6" s="268"/>
      <c r="E6" s="268"/>
      <c r="G6" s="155"/>
      <c r="I6" s="180"/>
    </row>
    <row r="7" spans="1:11" x14ac:dyDescent="0.3">
      <c r="A7" s="261"/>
      <c r="B7" s="674" t="s">
        <v>1563</v>
      </c>
      <c r="C7" s="701">
        <f>Import!L38</f>
        <v>0</v>
      </c>
      <c r="D7" s="269"/>
      <c r="E7" s="701">
        <f>C7</f>
        <v>0</v>
      </c>
      <c r="G7" s="675">
        <v>506</v>
      </c>
      <c r="H7" s="676" t="s">
        <v>189</v>
      </c>
      <c r="I7" s="180"/>
    </row>
    <row r="8" spans="1:11" x14ac:dyDescent="0.3">
      <c r="A8" s="261"/>
      <c r="B8" s="674" t="s">
        <v>1564</v>
      </c>
      <c r="C8" s="703">
        <f>Import!L39</f>
        <v>0</v>
      </c>
      <c r="D8" s="270"/>
      <c r="E8" s="270"/>
      <c r="G8" s="675">
        <v>536</v>
      </c>
      <c r="H8" s="676" t="s">
        <v>190</v>
      </c>
      <c r="I8" s="180"/>
    </row>
    <row r="9" spans="1:11" x14ac:dyDescent="0.3">
      <c r="A9" s="261"/>
      <c r="B9" s="674" t="s">
        <v>173</v>
      </c>
      <c r="C9" s="740">
        <f>Import!L43</f>
        <v>0</v>
      </c>
      <c r="D9" s="270"/>
      <c r="E9" s="740">
        <f>C9</f>
        <v>0</v>
      </c>
      <c r="G9" s="675">
        <v>4</v>
      </c>
      <c r="H9" s="676" t="s">
        <v>111</v>
      </c>
      <c r="I9" s="180"/>
    </row>
    <row r="10" spans="1:11" x14ac:dyDescent="0.3">
      <c r="A10" s="261"/>
      <c r="B10" s="674" t="s">
        <v>75</v>
      </c>
      <c r="C10" s="704">
        <f>Import!L196</f>
        <v>0</v>
      </c>
      <c r="D10" s="270"/>
      <c r="E10" s="740">
        <f>C10</f>
        <v>0</v>
      </c>
      <c r="G10" s="675">
        <v>6</v>
      </c>
      <c r="H10" s="676" t="s">
        <v>251</v>
      </c>
      <c r="I10" s="180"/>
    </row>
    <row r="11" spans="1:11" x14ac:dyDescent="0.3">
      <c r="A11" s="261"/>
      <c r="B11" s="674" t="s">
        <v>76</v>
      </c>
      <c r="C11" s="705">
        <f>Import!L44</f>
        <v>0</v>
      </c>
      <c r="D11" s="271"/>
      <c r="E11" s="740">
        <f>C11</f>
        <v>0</v>
      </c>
      <c r="G11" s="675">
        <v>5</v>
      </c>
      <c r="H11" s="676" t="s">
        <v>112</v>
      </c>
      <c r="I11" s="180"/>
    </row>
    <row r="12" spans="1:11" x14ac:dyDescent="0.3">
      <c r="A12" s="19"/>
      <c r="B12" s="674" t="s">
        <v>77</v>
      </c>
      <c r="C12" s="741">
        <f>C7+C8-SUM(C9:C11)</f>
        <v>0</v>
      </c>
      <c r="E12" s="741">
        <f>E7-SUM(E9:E11)</f>
        <v>0</v>
      </c>
      <c r="G12" s="675" t="s">
        <v>1573</v>
      </c>
      <c r="H12" s="677" t="s">
        <v>1610</v>
      </c>
      <c r="I12" s="676" t="s">
        <v>1613</v>
      </c>
      <c r="J12" s="677" t="s">
        <v>1614</v>
      </c>
      <c r="K12" s="678"/>
    </row>
    <row r="13" spans="1:11" x14ac:dyDescent="0.3">
      <c r="A13" s="261"/>
      <c r="B13" s="261"/>
      <c r="C13" s="268"/>
      <c r="D13" s="268"/>
      <c r="E13" s="268"/>
      <c r="G13" s="675"/>
      <c r="H13" s="676"/>
      <c r="I13" s="180"/>
    </row>
    <row r="14" spans="1:11" x14ac:dyDescent="0.3">
      <c r="A14" s="261"/>
      <c r="B14" s="674" t="s">
        <v>1565</v>
      </c>
      <c r="C14" s="742">
        <f>Import!L51</f>
        <v>0</v>
      </c>
      <c r="D14" s="268"/>
      <c r="E14" s="268"/>
      <c r="G14" s="675">
        <v>9</v>
      </c>
      <c r="H14" s="676" t="s">
        <v>195</v>
      </c>
      <c r="I14" s="180"/>
    </row>
    <row r="15" spans="1:11" x14ac:dyDescent="0.3">
      <c r="A15" s="261"/>
      <c r="B15" s="674" t="s">
        <v>78</v>
      </c>
      <c r="C15" s="743">
        <f>C14-C12</f>
        <v>0</v>
      </c>
      <c r="D15" s="268"/>
      <c r="E15" s="268"/>
      <c r="G15" s="675" t="s">
        <v>1573</v>
      </c>
      <c r="H15" s="677" t="s">
        <v>1611</v>
      </c>
      <c r="I15" s="679"/>
    </row>
    <row r="16" spans="1:11" x14ac:dyDescent="0.3">
      <c r="A16" s="261"/>
      <c r="B16" s="272" t="s">
        <v>79</v>
      </c>
      <c r="C16" s="268"/>
      <c r="D16" s="268"/>
      <c r="E16" s="268"/>
      <c r="G16" s="675"/>
      <c r="H16" s="676"/>
      <c r="I16" s="180"/>
    </row>
    <row r="17" spans="1:9" x14ac:dyDescent="0.3">
      <c r="A17" s="273" t="s">
        <v>80</v>
      </c>
      <c r="B17" s="674" t="s">
        <v>1567</v>
      </c>
      <c r="C17" s="743">
        <f>Import!L47</f>
        <v>0</v>
      </c>
      <c r="D17" s="268"/>
      <c r="E17" s="268"/>
      <c r="G17" s="675">
        <v>7</v>
      </c>
      <c r="H17" s="676" t="s">
        <v>193</v>
      </c>
      <c r="I17" s="180"/>
    </row>
    <row r="18" spans="1:9" ht="15" thickBot="1" x14ac:dyDescent="0.35">
      <c r="B18" s="674" t="s">
        <v>81</v>
      </c>
      <c r="C18" s="744">
        <f>(C15-SUM(C17:C17))</f>
        <v>0</v>
      </c>
      <c r="D18" s="268"/>
      <c r="E18" s="268"/>
      <c r="G18" s="675" t="s">
        <v>1573</v>
      </c>
      <c r="H18" s="677" t="s">
        <v>1612</v>
      </c>
      <c r="I18" s="180"/>
    </row>
    <row r="19" spans="1:9" ht="15" thickTop="1" x14ac:dyDescent="0.3">
      <c r="B19" s="261"/>
      <c r="C19" s="268"/>
      <c r="D19" s="268"/>
      <c r="E19" s="268"/>
      <c r="G19" s="675"/>
      <c r="H19" s="676"/>
      <c r="I19" s="180"/>
    </row>
    <row r="20" spans="1:9" ht="15" thickBot="1" x14ac:dyDescent="0.35">
      <c r="B20" s="674" t="s">
        <v>1568</v>
      </c>
      <c r="C20" s="745">
        <f>Import!L46</f>
        <v>0</v>
      </c>
      <c r="D20" s="268"/>
      <c r="E20" s="268"/>
      <c r="G20" s="675">
        <v>391</v>
      </c>
      <c r="H20" s="676" t="s">
        <v>192</v>
      </c>
      <c r="I20" s="180"/>
    </row>
    <row r="21" spans="1:9" ht="15.6" thickTop="1" thickBot="1" x14ac:dyDescent="0.35">
      <c r="B21" s="274"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46">
        <f>ABS(C18-C20)</f>
        <v>0</v>
      </c>
      <c r="D21" s="268"/>
      <c r="E21" s="268"/>
      <c r="G21" s="155"/>
      <c r="I21" s="180"/>
    </row>
    <row r="22" spans="1:9" ht="15" thickTop="1" x14ac:dyDescent="0.3">
      <c r="B22" s="680" t="str">
        <f>IF(C18&gt;C20,"Since Restricted-Stabilization by State Statute was understated, verfiy that the unit did not appropriate fund balance in excess of legal amount available in row 12 above.","")</f>
        <v/>
      </c>
      <c r="C22" s="680"/>
      <c r="D22" s="680"/>
      <c r="E22" s="680"/>
      <c r="F22" s="268"/>
      <c r="G22" s="268"/>
    </row>
    <row r="23" spans="1:9" x14ac:dyDescent="0.3">
      <c r="B23" s="272" t="s">
        <v>82</v>
      </c>
      <c r="C23" s="268"/>
      <c r="D23" s="268"/>
      <c r="E23" s="275" t="s">
        <v>83</v>
      </c>
      <c r="G23" s="155"/>
      <c r="I23" s="180"/>
    </row>
    <row r="24" spans="1:9" x14ac:dyDescent="0.3">
      <c r="B24" s="272"/>
      <c r="C24" s="263" t="s">
        <v>84</v>
      </c>
      <c r="D24" s="268"/>
      <c r="E24" s="263" t="s">
        <v>91</v>
      </c>
      <c r="G24" s="155"/>
      <c r="I24" s="180"/>
    </row>
    <row r="25" spans="1:9" x14ac:dyDescent="0.3">
      <c r="B25" s="267" t="s">
        <v>85</v>
      </c>
      <c r="C25" s="268"/>
      <c r="D25" s="268"/>
      <c r="E25" s="268"/>
      <c r="G25" s="155"/>
      <c r="I25" s="180"/>
    </row>
    <row r="26" spans="1:9" x14ac:dyDescent="0.3">
      <c r="B26" s="674" t="s">
        <v>86</v>
      </c>
      <c r="C26" s="701">
        <f>Import!L59</f>
        <v>0</v>
      </c>
      <c r="D26" s="269"/>
      <c r="E26" s="701">
        <f>C26</f>
        <v>0</v>
      </c>
      <c r="G26" s="681">
        <v>532</v>
      </c>
      <c r="H26" s="684" t="s">
        <v>199</v>
      </c>
      <c r="I26" s="180"/>
    </row>
    <row r="27" spans="1:9" x14ac:dyDescent="0.3">
      <c r="B27" s="267" t="s">
        <v>87</v>
      </c>
      <c r="C27" s="268"/>
      <c r="D27" s="268"/>
      <c r="E27" s="268"/>
      <c r="G27" s="155"/>
      <c r="H27" s="676"/>
      <c r="I27" s="180"/>
    </row>
    <row r="28" spans="1:9" x14ac:dyDescent="0.3">
      <c r="B28" s="674" t="s">
        <v>88</v>
      </c>
      <c r="C28" s="703">
        <f>Import!L62</f>
        <v>0</v>
      </c>
      <c r="D28" s="270"/>
      <c r="E28" s="703">
        <f>C28</f>
        <v>0</v>
      </c>
      <c r="G28" s="681">
        <v>20</v>
      </c>
      <c r="H28" s="676" t="s">
        <v>201</v>
      </c>
      <c r="I28" s="180"/>
    </row>
    <row r="29" spans="1:9" ht="41.4" x14ac:dyDescent="0.3">
      <c r="B29" s="674" t="s">
        <v>1569</v>
      </c>
      <c r="C29" s="703">
        <f>Import!L65</f>
        <v>0</v>
      </c>
      <c r="D29" s="270"/>
      <c r="E29" s="703">
        <f>C29</f>
        <v>0</v>
      </c>
      <c r="G29" s="941">
        <v>509</v>
      </c>
      <c r="H29" s="942" t="s">
        <v>290</v>
      </c>
      <c r="I29" s="180"/>
    </row>
    <row r="30" spans="1:9" ht="21" customHeight="1" x14ac:dyDescent="0.3">
      <c r="B30" s="674" t="s">
        <v>89</v>
      </c>
      <c r="C30" s="703">
        <f>Import!L63</f>
        <v>0</v>
      </c>
      <c r="D30" s="270"/>
      <c r="E30" s="703">
        <f>C30</f>
        <v>0</v>
      </c>
      <c r="G30" s="941">
        <v>533</v>
      </c>
      <c r="H30" s="942" t="s">
        <v>928</v>
      </c>
      <c r="I30" s="180"/>
    </row>
    <row r="31" spans="1:9" ht="41.4" x14ac:dyDescent="0.3">
      <c r="B31" s="674" t="s">
        <v>1570</v>
      </c>
      <c r="C31" s="703">
        <f>Import!L64</f>
        <v>0</v>
      </c>
      <c r="D31" s="270"/>
      <c r="E31" s="703">
        <f>C31</f>
        <v>0</v>
      </c>
      <c r="G31" s="941">
        <v>508</v>
      </c>
      <c r="H31" s="942" t="s">
        <v>292</v>
      </c>
      <c r="I31" s="180"/>
    </row>
    <row r="32" spans="1:9" ht="16.95" customHeight="1" thickBot="1" x14ac:dyDescent="0.35">
      <c r="B32" s="682" t="s">
        <v>1571</v>
      </c>
      <c r="C32" s="747">
        <f>C26+C28+C29-C30-C31</f>
        <v>0</v>
      </c>
      <c r="D32" s="269"/>
      <c r="E32" s="747">
        <f>E26+E28+E29-E30-E31</f>
        <v>0</v>
      </c>
      <c r="G32" s="675" t="s">
        <v>1573</v>
      </c>
      <c r="H32" s="678" t="s">
        <v>1572</v>
      </c>
      <c r="I32" s="180"/>
    </row>
    <row r="33" spans="1:9" ht="15" thickTop="1" x14ac:dyDescent="0.3">
      <c r="B33" s="268"/>
      <c r="C33" s="268"/>
      <c r="D33" s="268"/>
      <c r="E33" s="268"/>
      <c r="G33" s="155"/>
      <c r="I33" s="180"/>
    </row>
    <row r="34" spans="1:9" ht="15" thickBot="1" x14ac:dyDescent="0.35">
      <c r="B34" s="682" t="s">
        <v>90</v>
      </c>
      <c r="C34" s="276" t="e">
        <f>C12/C32</f>
        <v>#DIV/0!</v>
      </c>
      <c r="D34" s="268"/>
      <c r="E34" s="276" t="e">
        <f>E12/E32</f>
        <v>#DIV/0!</v>
      </c>
      <c r="G34" s="155"/>
      <c r="I34" s="180"/>
    </row>
    <row r="35" spans="1:9" ht="15" thickTop="1" x14ac:dyDescent="0.3">
      <c r="C35" s="268"/>
      <c r="D35" s="268"/>
      <c r="E35" s="268"/>
      <c r="G35" s="155"/>
      <c r="I35" s="180"/>
    </row>
    <row r="36" spans="1:9" ht="15.6" x14ac:dyDescent="0.3">
      <c r="A36" s="20"/>
    </row>
    <row r="38" spans="1:9" x14ac:dyDescent="0.3">
      <c r="E38" s="530"/>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nb9knStP5ITC52YZLKzH8oJ/KK6Jt9q3IyB82+J0GNyH208Mt/zwOebvMOzAsadBIFQfqWHhoUVmno2XFa8oSg==" saltValue="w3Arywrlb8ii55e7MfiC0Q==" spinCount="100000" sheet="1" objects="1" scenarios="1"/>
  <mergeCells count="1">
    <mergeCell ref="B2:E2"/>
  </mergeCells>
  <pageMargins left="0.7" right="0.7" top="0.7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Unit Data from Audit Worksheet</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cp:lastModifiedBy>
  <cp:lastPrinted>2023-08-16T18:40:30Z</cp:lastPrinted>
  <dcterms:created xsi:type="dcterms:W3CDTF">2011-03-11T21:05:05Z</dcterms:created>
  <dcterms:modified xsi:type="dcterms:W3CDTF">2023-10-15T19:04:13Z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