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DIW 10 13 2023\"/>
    </mc:Choice>
  </mc:AlternateContent>
  <xr:revisionPtr revIDLastSave="0" documentId="13_ncr:1_{4B1367C1-CFB2-4AD8-BF8F-83123B2BCBF8}" xr6:coauthVersionLast="47" xr6:coauthVersionMax="47" xr10:uidLastSave="{00000000-0000-0000-0000-000000000000}"/>
  <bookViews>
    <workbookView xWindow="57480" yWindow="-120" windowWidth="29040" windowHeight="15840" tabRatio="813" xr2:uid="{00000000-000D-0000-FFFF-FFFF00000000}"/>
  </bookViews>
  <sheets>
    <sheet name="Instructions" sheetId="81" r:id="rId1"/>
    <sheet name="Unit Data from Audit Worksheet" sheetId="1" r:id="rId2"/>
    <sheet name="TD Info Completed by Auditor" sheetId="91" r:id="rId3"/>
    <sheet name="Performance  Indicators Print" sheetId="88" r:id="rId4"/>
    <sheet name="UAL" sheetId="75" state="hidden" r:id="rId5"/>
    <sheet name="Tax Reval Rate" sheetId="72" state="hidden" r:id="rId6"/>
    <sheet name="Import" sheetId="28" state="hidden" r:id="rId7"/>
    <sheet name="Performance Indicator FBA%" sheetId="93" r:id="rId8"/>
    <sheet name="RSS" sheetId="99" r:id="rId9"/>
    <sheet name="Electric trans" sheetId="89" r:id="rId10"/>
    <sheet name="PY1 Data(H)" sheetId="82" state="hidden" r:id="rId11"/>
    <sheet name="PY2 Data(H)" sheetId="84" state="hidden" r:id="rId12"/>
    <sheet name="Unit Names(H)" sheetId="29" state="hidden" r:id="rId13"/>
  </sheets>
  <externalReferences>
    <externalReference r:id="rId14"/>
  </externalReferences>
  <definedNames>
    <definedName name="_xlnm._FilterDatabase" localSheetId="5" hidden="1">'Tax Reval Rate'!$A$7:$E$107</definedName>
    <definedName name="Audit_Dtl">[1]Database!$AC$3:$AP$413</definedName>
    <definedName name="errorCount">#REF!</definedName>
    <definedName name="ppp">#REF!</definedName>
    <definedName name="_xlnm.Print_Area" localSheetId="0">Instructions!$B$1:$B$53</definedName>
    <definedName name="_xlnm.Print_Area" localSheetId="3">'Performance  Indicators Print'!$A$1:$H$46</definedName>
    <definedName name="_xlnm.Print_Area" localSheetId="2">'TD Info Completed by Auditor'!$A$1:$D$44</definedName>
    <definedName name="_xlnm.Print_Area" localSheetId="1">'Unit Data from Audit Worksheet'!$A$9:$F$267</definedName>
    <definedName name="Print_Selection_Auditor">#REF!</definedName>
    <definedName name="Print_Selection_Internal" localSheetId="9">#REF!</definedName>
    <definedName name="Print_Selection_Internal" localSheetId="3">#REF!</definedName>
    <definedName name="Print_Selection_Internal" localSheetId="7">#REF!</definedName>
    <definedName name="Print_Selection_Internal">#REF!</definedName>
    <definedName name="_xlnm.Print_Titles" localSheetId="3">'Performance  Indicators Print'!$3:$5</definedName>
    <definedName name="_xlnm.Print_Titles" localSheetId="1">'Unit Data from Audit Worksheet'!$5:$5</definedName>
    <definedName name="showError">#REF!</definedName>
    <definedName name="TD_IMPORT_RANGE" localSheetId="9">#REF!</definedName>
    <definedName name="TD_IMPORT_RANGE" localSheetId="0">#REF!</definedName>
    <definedName name="TD_IMPORT_RANGE" localSheetId="3">#REF!</definedName>
    <definedName name="TD_IMPORT_RANGE" localSheetId="7">#REF!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59" i="28" l="1"/>
  <c r="A259" i="28"/>
  <c r="G13" i="88"/>
  <c r="D28" i="91"/>
  <c r="D29" i="91"/>
  <c r="D27" i="91"/>
  <c r="H77" i="1"/>
  <c r="E259" i="28" l="1"/>
  <c r="L259" i="28" s="1"/>
  <c r="E30" i="88" s="1"/>
  <c r="M30" i="88"/>
  <c r="N30" i="88" s="1"/>
  <c r="D31" i="91" s="1"/>
  <c r="L30" i="88"/>
  <c r="D18" i="91"/>
  <c r="D13" i="91"/>
  <c r="E219" i="28"/>
  <c r="E218" i="28"/>
  <c r="E231" i="28"/>
  <c r="CB280" i="82"/>
  <c r="CC280" i="82"/>
  <c r="CD280" i="82"/>
  <c r="CB276" i="82"/>
  <c r="CC276" i="82"/>
  <c r="CD276" i="82"/>
  <c r="CB277" i="82"/>
  <c r="CC277" i="82"/>
  <c r="CD277" i="82"/>
  <c r="G30" i="88" l="1"/>
  <c r="D276" i="82"/>
  <c r="E276" i="82"/>
  <c r="F276" i="82"/>
  <c r="G276" i="82"/>
  <c r="H276" i="82"/>
  <c r="I276" i="82"/>
  <c r="J276" i="82"/>
  <c r="K276" i="82"/>
  <c r="L276" i="82"/>
  <c r="M276" i="82"/>
  <c r="N276" i="82"/>
  <c r="O276" i="82"/>
  <c r="P276" i="82"/>
  <c r="Q276" i="82"/>
  <c r="R276" i="82"/>
  <c r="S276" i="82"/>
  <c r="T276" i="82"/>
  <c r="V276" i="82"/>
  <c r="W276" i="82"/>
  <c r="X276" i="82"/>
  <c r="Y276" i="82"/>
  <c r="Z276" i="82"/>
  <c r="AA276" i="82"/>
  <c r="AB276" i="82"/>
  <c r="AC276" i="82"/>
  <c r="AD276" i="82"/>
  <c r="AE276" i="82"/>
  <c r="AF276" i="82"/>
  <c r="AG276" i="82"/>
  <c r="AH276" i="82"/>
  <c r="AI276" i="82"/>
  <c r="AJ276" i="82"/>
  <c r="AK276" i="82"/>
  <c r="AL276" i="82"/>
  <c r="AM276" i="82"/>
  <c r="AN276" i="82"/>
  <c r="AO276" i="82"/>
  <c r="AP276" i="82"/>
  <c r="AQ276" i="82"/>
  <c r="AR276" i="82"/>
  <c r="AS276" i="82"/>
  <c r="AT276" i="82"/>
  <c r="AU276" i="82"/>
  <c r="AV276" i="82"/>
  <c r="AW276" i="82"/>
  <c r="AX276" i="82"/>
  <c r="AY276" i="82"/>
  <c r="AZ276" i="82"/>
  <c r="BA276" i="82"/>
  <c r="BB276" i="82"/>
  <c r="BC276" i="82"/>
  <c r="BD276" i="82"/>
  <c r="BE276" i="82"/>
  <c r="BF276" i="82"/>
  <c r="BG276" i="82"/>
  <c r="BH276" i="82"/>
  <c r="BI276" i="82"/>
  <c r="BJ276" i="82"/>
  <c r="BK276" i="82"/>
  <c r="BL276" i="82"/>
  <c r="BM276" i="82"/>
  <c r="BN276" i="82"/>
  <c r="BO276" i="82"/>
  <c r="BP276" i="82"/>
  <c r="BQ276" i="82"/>
  <c r="BR276" i="82"/>
  <c r="BS276" i="82"/>
  <c r="BT276" i="82"/>
  <c r="BU276" i="82"/>
  <c r="BV276" i="82"/>
  <c r="BW276" i="82"/>
  <c r="BX276" i="82"/>
  <c r="BY276" i="82"/>
  <c r="BZ276" i="82"/>
  <c r="D277" i="82"/>
  <c r="E277" i="82"/>
  <c r="F277" i="82"/>
  <c r="G277" i="82"/>
  <c r="H277" i="82"/>
  <c r="I277" i="82"/>
  <c r="J277" i="82"/>
  <c r="K277" i="82"/>
  <c r="L277" i="82"/>
  <c r="M277" i="82"/>
  <c r="N277" i="82"/>
  <c r="O277" i="82"/>
  <c r="P277" i="82"/>
  <c r="Q277" i="82"/>
  <c r="R277" i="82"/>
  <c r="S277" i="82"/>
  <c r="T277" i="82"/>
  <c r="U277" i="82"/>
  <c r="V277" i="82"/>
  <c r="W277" i="82"/>
  <c r="X277" i="82"/>
  <c r="Y277" i="82"/>
  <c r="Z277" i="82"/>
  <c r="AA277" i="82"/>
  <c r="AB277" i="82"/>
  <c r="AC277" i="82"/>
  <c r="AD277" i="82"/>
  <c r="AE277" i="82"/>
  <c r="AF277" i="82"/>
  <c r="AG277" i="82"/>
  <c r="AH277" i="82"/>
  <c r="AI277" i="82"/>
  <c r="AJ277" i="82"/>
  <c r="AK277" i="82"/>
  <c r="AL277" i="82"/>
  <c r="AM277" i="82"/>
  <c r="AN277" i="82"/>
  <c r="AO277" i="82"/>
  <c r="AP277" i="82"/>
  <c r="AQ277" i="82"/>
  <c r="AR277" i="82"/>
  <c r="AS277" i="82"/>
  <c r="AT277" i="82"/>
  <c r="AU277" i="82"/>
  <c r="AV277" i="82"/>
  <c r="AW277" i="82"/>
  <c r="AX277" i="82"/>
  <c r="AY277" i="82"/>
  <c r="AZ277" i="82"/>
  <c r="BA277" i="82"/>
  <c r="BB277" i="82"/>
  <c r="BC277" i="82"/>
  <c r="BD277" i="82"/>
  <c r="BE277" i="82"/>
  <c r="BF277" i="82"/>
  <c r="BG277" i="82"/>
  <c r="BH277" i="82"/>
  <c r="BI277" i="82"/>
  <c r="BJ277" i="82"/>
  <c r="BK277" i="82"/>
  <c r="BL277" i="82"/>
  <c r="BM277" i="82"/>
  <c r="BN277" i="82"/>
  <c r="BO277" i="82"/>
  <c r="BP277" i="82"/>
  <c r="BQ277" i="82"/>
  <c r="BR277" i="82"/>
  <c r="BS277" i="82"/>
  <c r="BT277" i="82"/>
  <c r="BU277" i="82"/>
  <c r="BV277" i="82"/>
  <c r="BW277" i="82"/>
  <c r="BX277" i="82"/>
  <c r="BY277" i="82"/>
  <c r="BZ277" i="82"/>
  <c r="D280" i="82"/>
  <c r="E280" i="82"/>
  <c r="F280" i="82"/>
  <c r="G280" i="82"/>
  <c r="H280" i="82"/>
  <c r="I280" i="82"/>
  <c r="J280" i="82"/>
  <c r="K280" i="82"/>
  <c r="L280" i="82"/>
  <c r="M280" i="82"/>
  <c r="N280" i="82"/>
  <c r="O280" i="82"/>
  <c r="P280" i="82"/>
  <c r="Q280" i="82"/>
  <c r="R280" i="82"/>
  <c r="S280" i="82"/>
  <c r="T280" i="82"/>
  <c r="U280" i="82"/>
  <c r="V280" i="82"/>
  <c r="W280" i="82"/>
  <c r="X280" i="82"/>
  <c r="Y280" i="82"/>
  <c r="Z280" i="82"/>
  <c r="AA280" i="82"/>
  <c r="AB280" i="82"/>
  <c r="AC280" i="82"/>
  <c r="AD280" i="82"/>
  <c r="AE280" i="82"/>
  <c r="AF280" i="82"/>
  <c r="AG280" i="82"/>
  <c r="AH280" i="82"/>
  <c r="AI280" i="82"/>
  <c r="AJ280" i="82"/>
  <c r="AK280" i="82"/>
  <c r="AL280" i="82"/>
  <c r="AM280" i="82"/>
  <c r="AN280" i="82"/>
  <c r="AO280" i="82"/>
  <c r="AP280" i="82"/>
  <c r="AQ280" i="82"/>
  <c r="AR280" i="82"/>
  <c r="AS280" i="82"/>
  <c r="AT280" i="82"/>
  <c r="AU280" i="82"/>
  <c r="AV280" i="82"/>
  <c r="AW280" i="82"/>
  <c r="AX280" i="82"/>
  <c r="AY280" i="82"/>
  <c r="AZ280" i="82"/>
  <c r="BA280" i="82"/>
  <c r="BB280" i="82"/>
  <c r="BC280" i="82"/>
  <c r="BD280" i="82"/>
  <c r="BE280" i="82"/>
  <c r="BF280" i="82"/>
  <c r="BG280" i="82"/>
  <c r="BH280" i="82"/>
  <c r="BI280" i="82"/>
  <c r="BJ280" i="82"/>
  <c r="BK280" i="82"/>
  <c r="BL280" i="82"/>
  <c r="BM280" i="82"/>
  <c r="BN280" i="82"/>
  <c r="BO280" i="82"/>
  <c r="BP280" i="82"/>
  <c r="BQ280" i="82"/>
  <c r="BR280" i="82"/>
  <c r="BS280" i="82"/>
  <c r="BT280" i="82"/>
  <c r="BU280" i="82"/>
  <c r="BV280" i="82"/>
  <c r="BW280" i="82"/>
  <c r="BX280" i="82"/>
  <c r="BY280" i="82"/>
  <c r="BZ280" i="82"/>
  <c r="L281" i="82"/>
  <c r="D285" i="82"/>
  <c r="E285" i="82"/>
  <c r="F285" i="82"/>
  <c r="G285" i="82"/>
  <c r="H285" i="82"/>
  <c r="I285" i="82"/>
  <c r="J285" i="82"/>
  <c r="K285" i="82"/>
  <c r="L285" i="82"/>
  <c r="M285" i="82"/>
  <c r="N285" i="82"/>
  <c r="O285" i="82"/>
  <c r="P285" i="82"/>
  <c r="Q285" i="82"/>
  <c r="R285" i="82"/>
  <c r="S285" i="82"/>
  <c r="T285" i="82"/>
  <c r="U285" i="82"/>
  <c r="V285" i="82"/>
  <c r="W285" i="82"/>
  <c r="X285" i="82"/>
  <c r="Y285" i="82"/>
  <c r="Z285" i="82"/>
  <c r="AA285" i="82"/>
  <c r="AB285" i="82"/>
  <c r="AC285" i="82"/>
  <c r="AD285" i="82"/>
  <c r="AE285" i="82"/>
  <c r="AF285" i="82"/>
  <c r="AG285" i="82"/>
  <c r="AH285" i="82"/>
  <c r="AI285" i="82"/>
  <c r="AJ285" i="82"/>
  <c r="AK285" i="82"/>
  <c r="AL285" i="82"/>
  <c r="AM285" i="82"/>
  <c r="AN285" i="82"/>
  <c r="AO285" i="82"/>
  <c r="AP285" i="82"/>
  <c r="AQ285" i="82"/>
  <c r="AR285" i="82"/>
  <c r="AS285" i="82"/>
  <c r="AT285" i="82"/>
  <c r="AU285" i="82"/>
  <c r="AV285" i="82"/>
  <c r="AW285" i="82"/>
  <c r="AX285" i="82"/>
  <c r="AY285" i="82"/>
  <c r="AZ285" i="82"/>
  <c r="BA285" i="82"/>
  <c r="BB285" i="82"/>
  <c r="BC285" i="82"/>
  <c r="BD285" i="82"/>
  <c r="BE285" i="82"/>
  <c r="BF285" i="82"/>
  <c r="BG285" i="82"/>
  <c r="BH285" i="82"/>
  <c r="BI285" i="82"/>
  <c r="BJ285" i="82"/>
  <c r="BK285" i="82"/>
  <c r="BL285" i="82"/>
  <c r="BM285" i="82"/>
  <c r="BN285" i="82"/>
  <c r="BO285" i="82"/>
  <c r="BP285" i="82"/>
  <c r="BQ285" i="82"/>
  <c r="BR285" i="82"/>
  <c r="BS285" i="82"/>
  <c r="BT285" i="82"/>
  <c r="BU285" i="82"/>
  <c r="BV285" i="82"/>
  <c r="BW285" i="82"/>
  <c r="BX285" i="82"/>
  <c r="BY285" i="82"/>
  <c r="BZ285" i="82"/>
  <c r="D286" i="82"/>
  <c r="E286" i="82"/>
  <c r="F286" i="82"/>
  <c r="G286" i="82"/>
  <c r="H286" i="82"/>
  <c r="I286" i="82"/>
  <c r="J286" i="82"/>
  <c r="K286" i="82"/>
  <c r="L286" i="82"/>
  <c r="M286" i="82"/>
  <c r="N286" i="82"/>
  <c r="O286" i="82"/>
  <c r="P286" i="82"/>
  <c r="Q286" i="82"/>
  <c r="R286" i="82"/>
  <c r="S286" i="82"/>
  <c r="T286" i="82"/>
  <c r="U286" i="82"/>
  <c r="V286" i="82"/>
  <c r="W286" i="82"/>
  <c r="X286" i="82"/>
  <c r="Y286" i="82"/>
  <c r="Z286" i="82"/>
  <c r="AA286" i="82"/>
  <c r="AB286" i="82"/>
  <c r="AC286" i="82"/>
  <c r="AD286" i="82"/>
  <c r="AE286" i="82"/>
  <c r="AF286" i="82"/>
  <c r="AG286" i="82"/>
  <c r="AH286" i="82"/>
  <c r="AI286" i="82"/>
  <c r="AJ286" i="82"/>
  <c r="AK286" i="82"/>
  <c r="AL286" i="82"/>
  <c r="AM286" i="82"/>
  <c r="AN286" i="82"/>
  <c r="AO286" i="82"/>
  <c r="AP286" i="82"/>
  <c r="AQ286" i="82"/>
  <c r="AR286" i="82"/>
  <c r="AS286" i="82"/>
  <c r="AT286" i="82"/>
  <c r="AU286" i="82"/>
  <c r="AV286" i="82"/>
  <c r="AW286" i="82"/>
  <c r="AX286" i="82"/>
  <c r="AY286" i="82"/>
  <c r="AZ286" i="82"/>
  <c r="BA286" i="82"/>
  <c r="BB286" i="82"/>
  <c r="BC286" i="82"/>
  <c r="BD286" i="82"/>
  <c r="BE286" i="82"/>
  <c r="BF286" i="82"/>
  <c r="BG286" i="82"/>
  <c r="BH286" i="82"/>
  <c r="BI286" i="82"/>
  <c r="BJ286" i="82"/>
  <c r="BK286" i="82"/>
  <c r="BL286" i="82"/>
  <c r="BM286" i="82"/>
  <c r="BN286" i="82"/>
  <c r="BO286" i="82"/>
  <c r="BP286" i="82"/>
  <c r="BQ286" i="82"/>
  <c r="BR286" i="82"/>
  <c r="BS286" i="82"/>
  <c r="BT286" i="82"/>
  <c r="BU286" i="82"/>
  <c r="BV286" i="82"/>
  <c r="BW286" i="82"/>
  <c r="BX286" i="82"/>
  <c r="BY286" i="82"/>
  <c r="BZ286" i="82"/>
  <c r="D287" i="82"/>
  <c r="E287" i="82"/>
  <c r="F287" i="82"/>
  <c r="G287" i="82"/>
  <c r="H287" i="82"/>
  <c r="I287" i="82"/>
  <c r="J287" i="82"/>
  <c r="K287" i="82"/>
  <c r="L287" i="82"/>
  <c r="M287" i="82"/>
  <c r="N287" i="82"/>
  <c r="O287" i="82"/>
  <c r="P287" i="82"/>
  <c r="Q287" i="82"/>
  <c r="R287" i="82"/>
  <c r="S287" i="82"/>
  <c r="T287" i="82"/>
  <c r="U287" i="82"/>
  <c r="V287" i="82"/>
  <c r="W287" i="82"/>
  <c r="X287" i="82"/>
  <c r="Y287" i="82"/>
  <c r="Z287" i="82"/>
  <c r="AA287" i="82"/>
  <c r="AB287" i="82"/>
  <c r="AC287" i="82"/>
  <c r="AD287" i="82"/>
  <c r="AE287" i="82"/>
  <c r="AF287" i="82"/>
  <c r="AG287" i="82"/>
  <c r="AH287" i="82"/>
  <c r="AI287" i="82"/>
  <c r="AJ287" i="82"/>
  <c r="AK287" i="82"/>
  <c r="AL287" i="82"/>
  <c r="AM287" i="82"/>
  <c r="AN287" i="82"/>
  <c r="AO287" i="82"/>
  <c r="AP287" i="82"/>
  <c r="AQ287" i="82"/>
  <c r="AR287" i="82"/>
  <c r="AS287" i="82"/>
  <c r="AT287" i="82"/>
  <c r="AU287" i="82"/>
  <c r="AV287" i="82"/>
  <c r="AW287" i="82"/>
  <c r="AX287" i="82"/>
  <c r="AY287" i="82"/>
  <c r="AZ287" i="82"/>
  <c r="BA287" i="82"/>
  <c r="BB287" i="82"/>
  <c r="BC287" i="82"/>
  <c r="BD287" i="82"/>
  <c r="BE287" i="82"/>
  <c r="BF287" i="82"/>
  <c r="BG287" i="82"/>
  <c r="BH287" i="82"/>
  <c r="BI287" i="82"/>
  <c r="BJ287" i="82"/>
  <c r="BK287" i="82"/>
  <c r="BL287" i="82"/>
  <c r="BM287" i="82"/>
  <c r="BN287" i="82"/>
  <c r="BO287" i="82"/>
  <c r="BP287" i="82"/>
  <c r="BQ287" i="82"/>
  <c r="BR287" i="82"/>
  <c r="BS287" i="82"/>
  <c r="BT287" i="82"/>
  <c r="BU287" i="82"/>
  <c r="BV287" i="82"/>
  <c r="BW287" i="82"/>
  <c r="BX287" i="82"/>
  <c r="BY287" i="82"/>
  <c r="BZ287" i="82"/>
  <c r="D288" i="82"/>
  <c r="E288" i="82"/>
  <c r="F288" i="82"/>
  <c r="G288" i="82"/>
  <c r="H288" i="82"/>
  <c r="I288" i="82"/>
  <c r="J288" i="82"/>
  <c r="K288" i="82"/>
  <c r="L288" i="82"/>
  <c r="M288" i="82"/>
  <c r="N288" i="82"/>
  <c r="O288" i="82"/>
  <c r="P288" i="82"/>
  <c r="Q288" i="82"/>
  <c r="R288" i="82"/>
  <c r="S288" i="82"/>
  <c r="T288" i="82"/>
  <c r="U288" i="82"/>
  <c r="V288" i="82"/>
  <c r="W288" i="82"/>
  <c r="X288" i="82"/>
  <c r="Y288" i="82"/>
  <c r="Z288" i="82"/>
  <c r="AA288" i="82"/>
  <c r="AB288" i="82"/>
  <c r="AC288" i="82"/>
  <c r="AD288" i="82"/>
  <c r="AE288" i="82"/>
  <c r="AF288" i="82"/>
  <c r="AG288" i="82"/>
  <c r="AH288" i="82"/>
  <c r="AI288" i="82"/>
  <c r="AJ288" i="82"/>
  <c r="AK288" i="82"/>
  <c r="AL288" i="82"/>
  <c r="AM288" i="82"/>
  <c r="AN288" i="82"/>
  <c r="AO288" i="82"/>
  <c r="AP288" i="82"/>
  <c r="AQ288" i="82"/>
  <c r="AR288" i="82"/>
  <c r="AS288" i="82"/>
  <c r="AT288" i="82"/>
  <c r="AU288" i="82"/>
  <c r="AV288" i="82"/>
  <c r="AW288" i="82"/>
  <c r="AX288" i="82"/>
  <c r="AY288" i="82"/>
  <c r="AZ288" i="82"/>
  <c r="BA288" i="82"/>
  <c r="BB288" i="82"/>
  <c r="BC288" i="82"/>
  <c r="BD288" i="82"/>
  <c r="BE288" i="82"/>
  <c r="BF288" i="82"/>
  <c r="BG288" i="82"/>
  <c r="BH288" i="82"/>
  <c r="BI288" i="82"/>
  <c r="BJ288" i="82"/>
  <c r="BK288" i="82"/>
  <c r="BL288" i="82"/>
  <c r="BM288" i="82"/>
  <c r="BN288" i="82"/>
  <c r="BO288" i="82"/>
  <c r="BP288" i="82"/>
  <c r="BQ288" i="82"/>
  <c r="BR288" i="82"/>
  <c r="BS288" i="82"/>
  <c r="BT288" i="82"/>
  <c r="BU288" i="82"/>
  <c r="BV288" i="82"/>
  <c r="BW288" i="82"/>
  <c r="BX288" i="82"/>
  <c r="BY288" i="82"/>
  <c r="BZ288" i="82"/>
  <c r="D289" i="82"/>
  <c r="E289" i="82"/>
  <c r="F289" i="82"/>
  <c r="G289" i="82"/>
  <c r="H289" i="82"/>
  <c r="I289" i="82"/>
  <c r="J289" i="82"/>
  <c r="K289" i="82"/>
  <c r="L289" i="82"/>
  <c r="M289" i="82"/>
  <c r="N289" i="82"/>
  <c r="O289" i="82"/>
  <c r="P289" i="82"/>
  <c r="Q289" i="82"/>
  <c r="R289" i="82"/>
  <c r="S289" i="82"/>
  <c r="T289" i="82"/>
  <c r="U289" i="82"/>
  <c r="V289" i="82"/>
  <c r="W289" i="82"/>
  <c r="X289" i="82"/>
  <c r="Y289" i="82"/>
  <c r="Z289" i="82"/>
  <c r="AA289" i="82"/>
  <c r="AB289" i="82"/>
  <c r="AC289" i="82"/>
  <c r="AD289" i="82"/>
  <c r="AE289" i="82"/>
  <c r="AF289" i="82"/>
  <c r="AG289" i="82"/>
  <c r="AH289" i="82"/>
  <c r="AI289" i="82"/>
  <c r="AJ289" i="82"/>
  <c r="AK289" i="82"/>
  <c r="AL289" i="82"/>
  <c r="AM289" i="82"/>
  <c r="AN289" i="82"/>
  <c r="AO289" i="82"/>
  <c r="AP289" i="82"/>
  <c r="AQ289" i="82"/>
  <c r="AR289" i="82"/>
  <c r="AS289" i="82"/>
  <c r="AT289" i="82"/>
  <c r="AU289" i="82"/>
  <c r="AV289" i="82"/>
  <c r="AW289" i="82"/>
  <c r="AX289" i="82"/>
  <c r="AY289" i="82"/>
  <c r="AZ289" i="82"/>
  <c r="BA289" i="82"/>
  <c r="BB289" i="82"/>
  <c r="BC289" i="82"/>
  <c r="BD289" i="82"/>
  <c r="BE289" i="82"/>
  <c r="BF289" i="82"/>
  <c r="BG289" i="82"/>
  <c r="BH289" i="82"/>
  <c r="BI289" i="82"/>
  <c r="BJ289" i="82"/>
  <c r="BK289" i="82"/>
  <c r="BL289" i="82"/>
  <c r="BM289" i="82"/>
  <c r="BN289" i="82"/>
  <c r="BO289" i="82"/>
  <c r="BP289" i="82"/>
  <c r="BQ289" i="82"/>
  <c r="BR289" i="82"/>
  <c r="BS289" i="82"/>
  <c r="BT289" i="82"/>
  <c r="BU289" i="82"/>
  <c r="BV289" i="82"/>
  <c r="BW289" i="82"/>
  <c r="BX289" i="82"/>
  <c r="BY289" i="82"/>
  <c r="BZ289" i="82"/>
  <c r="D290" i="82"/>
  <c r="E290" i="82"/>
  <c r="F290" i="82"/>
  <c r="G290" i="82"/>
  <c r="H290" i="82"/>
  <c r="I290" i="82"/>
  <c r="J290" i="82"/>
  <c r="K290" i="82"/>
  <c r="L290" i="82"/>
  <c r="M290" i="82"/>
  <c r="N290" i="82"/>
  <c r="O290" i="82"/>
  <c r="P290" i="82"/>
  <c r="Q290" i="82"/>
  <c r="R290" i="82"/>
  <c r="S290" i="82"/>
  <c r="T290" i="82"/>
  <c r="U290" i="82"/>
  <c r="V290" i="82"/>
  <c r="W290" i="82"/>
  <c r="X290" i="82"/>
  <c r="Y290" i="82"/>
  <c r="Z290" i="82"/>
  <c r="AA290" i="82"/>
  <c r="AB290" i="82"/>
  <c r="AC290" i="82"/>
  <c r="AD290" i="82"/>
  <c r="AE290" i="82"/>
  <c r="AF290" i="82"/>
  <c r="AG290" i="82"/>
  <c r="AH290" i="82"/>
  <c r="AI290" i="82"/>
  <c r="AJ290" i="82"/>
  <c r="AK290" i="82"/>
  <c r="AL290" i="82"/>
  <c r="AM290" i="82"/>
  <c r="AN290" i="82"/>
  <c r="AO290" i="82"/>
  <c r="AP290" i="82"/>
  <c r="AQ290" i="82"/>
  <c r="AR290" i="82"/>
  <c r="AS290" i="82"/>
  <c r="AT290" i="82"/>
  <c r="AU290" i="82"/>
  <c r="AV290" i="82"/>
  <c r="AW290" i="82"/>
  <c r="AX290" i="82"/>
  <c r="AY290" i="82"/>
  <c r="AZ290" i="82"/>
  <c r="BA290" i="82"/>
  <c r="BB290" i="82"/>
  <c r="BC290" i="82"/>
  <c r="BD290" i="82"/>
  <c r="BE290" i="82"/>
  <c r="BF290" i="82"/>
  <c r="BG290" i="82"/>
  <c r="BH290" i="82"/>
  <c r="BI290" i="82"/>
  <c r="BJ290" i="82"/>
  <c r="BK290" i="82"/>
  <c r="BL290" i="82"/>
  <c r="BM290" i="82"/>
  <c r="BN290" i="82"/>
  <c r="BO290" i="82"/>
  <c r="BP290" i="82"/>
  <c r="BQ290" i="82"/>
  <c r="BR290" i="82"/>
  <c r="BS290" i="82"/>
  <c r="BT290" i="82"/>
  <c r="BU290" i="82"/>
  <c r="BV290" i="82"/>
  <c r="BW290" i="82"/>
  <c r="BX290" i="82"/>
  <c r="BY290" i="82"/>
  <c r="BZ290" i="82"/>
  <c r="D291" i="82"/>
  <c r="E291" i="82"/>
  <c r="F291" i="82"/>
  <c r="G291" i="82"/>
  <c r="H291" i="82"/>
  <c r="I291" i="82"/>
  <c r="J291" i="82"/>
  <c r="K291" i="82"/>
  <c r="L291" i="82"/>
  <c r="M291" i="82"/>
  <c r="N291" i="82"/>
  <c r="O291" i="82"/>
  <c r="P291" i="82"/>
  <c r="Q291" i="82"/>
  <c r="R291" i="82"/>
  <c r="S291" i="82"/>
  <c r="T291" i="82"/>
  <c r="U291" i="82"/>
  <c r="V291" i="82"/>
  <c r="W291" i="82"/>
  <c r="X291" i="82"/>
  <c r="Y291" i="82"/>
  <c r="Z291" i="82"/>
  <c r="AA291" i="82"/>
  <c r="AB291" i="82"/>
  <c r="AC291" i="82"/>
  <c r="AD291" i="82"/>
  <c r="AE291" i="82"/>
  <c r="AF291" i="82"/>
  <c r="AG291" i="82"/>
  <c r="AH291" i="82"/>
  <c r="AI291" i="82"/>
  <c r="AJ291" i="82"/>
  <c r="AK291" i="82"/>
  <c r="AL291" i="82"/>
  <c r="AM291" i="82"/>
  <c r="AN291" i="82"/>
  <c r="AO291" i="82"/>
  <c r="AP291" i="82"/>
  <c r="AQ291" i="82"/>
  <c r="AR291" i="82"/>
  <c r="AS291" i="82"/>
  <c r="AT291" i="82"/>
  <c r="AU291" i="82"/>
  <c r="AV291" i="82"/>
  <c r="AW291" i="82"/>
  <c r="AX291" i="82"/>
  <c r="AY291" i="82"/>
  <c r="AZ291" i="82"/>
  <c r="BA291" i="82"/>
  <c r="BB291" i="82"/>
  <c r="BC291" i="82"/>
  <c r="BD291" i="82"/>
  <c r="BE291" i="82"/>
  <c r="BF291" i="82"/>
  <c r="BG291" i="82"/>
  <c r="BH291" i="82"/>
  <c r="BI291" i="82"/>
  <c r="BJ291" i="82"/>
  <c r="BK291" i="82"/>
  <c r="BL291" i="82"/>
  <c r="BM291" i="82"/>
  <c r="BN291" i="82"/>
  <c r="BO291" i="82"/>
  <c r="BP291" i="82"/>
  <c r="BQ291" i="82"/>
  <c r="BR291" i="82"/>
  <c r="BS291" i="82"/>
  <c r="BT291" i="82"/>
  <c r="BU291" i="82"/>
  <c r="BV291" i="82"/>
  <c r="BW291" i="82"/>
  <c r="BX291" i="82"/>
  <c r="BY291" i="82"/>
  <c r="BZ291" i="82"/>
  <c r="D292" i="82"/>
  <c r="E292" i="82"/>
  <c r="F292" i="82"/>
  <c r="G292" i="82"/>
  <c r="H292" i="82"/>
  <c r="I292" i="82"/>
  <c r="J292" i="82"/>
  <c r="K292" i="82"/>
  <c r="L292" i="82"/>
  <c r="M292" i="82"/>
  <c r="N292" i="82"/>
  <c r="O292" i="82"/>
  <c r="P292" i="82"/>
  <c r="Q292" i="82"/>
  <c r="R292" i="82"/>
  <c r="S292" i="82"/>
  <c r="T292" i="82"/>
  <c r="U292" i="82"/>
  <c r="V292" i="82"/>
  <c r="W292" i="82"/>
  <c r="X292" i="82"/>
  <c r="Y292" i="82"/>
  <c r="Z292" i="82"/>
  <c r="AA292" i="82"/>
  <c r="AB292" i="82"/>
  <c r="AC292" i="82"/>
  <c r="AD292" i="82"/>
  <c r="AE292" i="82"/>
  <c r="AF292" i="82"/>
  <c r="AG292" i="82"/>
  <c r="AH292" i="82"/>
  <c r="AI292" i="82"/>
  <c r="AJ292" i="82"/>
  <c r="AK292" i="82"/>
  <c r="AL292" i="82"/>
  <c r="AM292" i="82"/>
  <c r="AN292" i="82"/>
  <c r="AO292" i="82"/>
  <c r="AP292" i="82"/>
  <c r="AQ292" i="82"/>
  <c r="AR292" i="82"/>
  <c r="AS292" i="82"/>
  <c r="AT292" i="82"/>
  <c r="AU292" i="82"/>
  <c r="AV292" i="82"/>
  <c r="AW292" i="82"/>
  <c r="AX292" i="82"/>
  <c r="AY292" i="82"/>
  <c r="AZ292" i="82"/>
  <c r="BA292" i="82"/>
  <c r="BB292" i="82"/>
  <c r="BC292" i="82"/>
  <c r="BD292" i="82"/>
  <c r="BE292" i="82"/>
  <c r="BF292" i="82"/>
  <c r="BG292" i="82"/>
  <c r="BH292" i="82"/>
  <c r="BI292" i="82"/>
  <c r="BJ292" i="82"/>
  <c r="BK292" i="82"/>
  <c r="BL292" i="82"/>
  <c r="BM292" i="82"/>
  <c r="BN292" i="82"/>
  <c r="BO292" i="82"/>
  <c r="BP292" i="82"/>
  <c r="BQ292" i="82"/>
  <c r="BR292" i="82"/>
  <c r="BS292" i="82"/>
  <c r="BT292" i="82"/>
  <c r="BU292" i="82"/>
  <c r="BV292" i="82"/>
  <c r="BW292" i="82"/>
  <c r="BX292" i="82"/>
  <c r="BY292" i="82"/>
  <c r="BZ292" i="82"/>
  <c r="D293" i="82"/>
  <c r="E293" i="82"/>
  <c r="F293" i="82"/>
  <c r="G293" i="82"/>
  <c r="H293" i="82"/>
  <c r="I293" i="82"/>
  <c r="J293" i="82"/>
  <c r="K293" i="82"/>
  <c r="L293" i="82"/>
  <c r="M293" i="82"/>
  <c r="N293" i="82"/>
  <c r="O293" i="82"/>
  <c r="P293" i="82"/>
  <c r="Q293" i="82"/>
  <c r="R293" i="82"/>
  <c r="S293" i="82"/>
  <c r="T293" i="82"/>
  <c r="U293" i="82"/>
  <c r="V293" i="82"/>
  <c r="W293" i="82"/>
  <c r="X293" i="82"/>
  <c r="Y293" i="82"/>
  <c r="Z293" i="82"/>
  <c r="AA293" i="82"/>
  <c r="AB293" i="82"/>
  <c r="AC293" i="82"/>
  <c r="AD293" i="82"/>
  <c r="AE293" i="82"/>
  <c r="AF293" i="82"/>
  <c r="AG293" i="82"/>
  <c r="AH293" i="82"/>
  <c r="AI293" i="82"/>
  <c r="AJ293" i="82"/>
  <c r="AK293" i="82"/>
  <c r="AL293" i="82"/>
  <c r="AM293" i="82"/>
  <c r="AN293" i="82"/>
  <c r="AO293" i="82"/>
  <c r="AP293" i="82"/>
  <c r="AQ293" i="82"/>
  <c r="AR293" i="82"/>
  <c r="AS293" i="82"/>
  <c r="AT293" i="82"/>
  <c r="AU293" i="82"/>
  <c r="AV293" i="82"/>
  <c r="AW293" i="82"/>
  <c r="AX293" i="82"/>
  <c r="AY293" i="82"/>
  <c r="AZ293" i="82"/>
  <c r="BA293" i="82"/>
  <c r="BB293" i="82"/>
  <c r="BC293" i="82"/>
  <c r="BD293" i="82"/>
  <c r="BE293" i="82"/>
  <c r="BF293" i="82"/>
  <c r="BG293" i="82"/>
  <c r="BH293" i="82"/>
  <c r="BI293" i="82"/>
  <c r="BJ293" i="82"/>
  <c r="BK293" i="82"/>
  <c r="BL293" i="82"/>
  <c r="BM293" i="82"/>
  <c r="BN293" i="82"/>
  <c r="BO293" i="82"/>
  <c r="BP293" i="82"/>
  <c r="BQ293" i="82"/>
  <c r="BR293" i="82"/>
  <c r="BS293" i="82"/>
  <c r="BT293" i="82"/>
  <c r="BU293" i="82"/>
  <c r="BV293" i="82"/>
  <c r="BW293" i="82"/>
  <c r="BX293" i="82"/>
  <c r="BY293" i="82"/>
  <c r="BZ293" i="82"/>
  <c r="D294" i="82"/>
  <c r="E294" i="82"/>
  <c r="F294" i="82"/>
  <c r="G294" i="82"/>
  <c r="H294" i="82"/>
  <c r="I294" i="82"/>
  <c r="J294" i="82"/>
  <c r="K294" i="82"/>
  <c r="L294" i="82"/>
  <c r="M294" i="82"/>
  <c r="N294" i="82"/>
  <c r="O294" i="82"/>
  <c r="P294" i="82"/>
  <c r="Q294" i="82"/>
  <c r="R294" i="82"/>
  <c r="S294" i="82"/>
  <c r="T294" i="82"/>
  <c r="U294" i="82"/>
  <c r="V294" i="82"/>
  <c r="W294" i="82"/>
  <c r="X294" i="82"/>
  <c r="Y294" i="82"/>
  <c r="Z294" i="82"/>
  <c r="AA294" i="82"/>
  <c r="AB294" i="82"/>
  <c r="AC294" i="82"/>
  <c r="AD294" i="82"/>
  <c r="AE294" i="82"/>
  <c r="AF294" i="82"/>
  <c r="AG294" i="82"/>
  <c r="AH294" i="82"/>
  <c r="AI294" i="82"/>
  <c r="AJ294" i="82"/>
  <c r="AK294" i="82"/>
  <c r="AL294" i="82"/>
  <c r="AM294" i="82"/>
  <c r="AN294" i="82"/>
  <c r="AO294" i="82"/>
  <c r="AP294" i="82"/>
  <c r="AQ294" i="82"/>
  <c r="AR294" i="82"/>
  <c r="AS294" i="82"/>
  <c r="AT294" i="82"/>
  <c r="AU294" i="82"/>
  <c r="AV294" i="82"/>
  <c r="AW294" i="82"/>
  <c r="AX294" i="82"/>
  <c r="AY294" i="82"/>
  <c r="AZ294" i="82"/>
  <c r="BA294" i="82"/>
  <c r="BB294" i="82"/>
  <c r="BC294" i="82"/>
  <c r="BD294" i="82"/>
  <c r="BE294" i="82"/>
  <c r="BF294" i="82"/>
  <c r="BG294" i="82"/>
  <c r="BH294" i="82"/>
  <c r="BI294" i="82"/>
  <c r="BJ294" i="82"/>
  <c r="BK294" i="82"/>
  <c r="BL294" i="82"/>
  <c r="BM294" i="82"/>
  <c r="BN294" i="82"/>
  <c r="BO294" i="82"/>
  <c r="BP294" i="82"/>
  <c r="BQ294" i="82"/>
  <c r="BR294" i="82"/>
  <c r="BS294" i="82"/>
  <c r="BT294" i="82"/>
  <c r="BU294" i="82"/>
  <c r="BV294" i="82"/>
  <c r="BW294" i="82"/>
  <c r="BX294" i="82"/>
  <c r="BY294" i="82"/>
  <c r="BZ294" i="82"/>
  <c r="D295" i="82"/>
  <c r="E295" i="82"/>
  <c r="F295" i="82"/>
  <c r="G295" i="82"/>
  <c r="H295" i="82"/>
  <c r="I295" i="82"/>
  <c r="J295" i="82"/>
  <c r="K295" i="82"/>
  <c r="L295" i="82"/>
  <c r="M295" i="82"/>
  <c r="N295" i="82"/>
  <c r="O295" i="82"/>
  <c r="P295" i="82"/>
  <c r="Q295" i="82"/>
  <c r="R295" i="82"/>
  <c r="S295" i="82"/>
  <c r="T295" i="82"/>
  <c r="U295" i="82"/>
  <c r="V295" i="82"/>
  <c r="W295" i="82"/>
  <c r="X295" i="82"/>
  <c r="Y295" i="82"/>
  <c r="Z295" i="82"/>
  <c r="AA295" i="82"/>
  <c r="AB295" i="82"/>
  <c r="AC295" i="82"/>
  <c r="AD295" i="82"/>
  <c r="AE295" i="82"/>
  <c r="AF295" i="82"/>
  <c r="AG295" i="82"/>
  <c r="AH295" i="82"/>
  <c r="AI295" i="82"/>
  <c r="AJ295" i="82"/>
  <c r="AK295" i="82"/>
  <c r="AL295" i="82"/>
  <c r="AM295" i="82"/>
  <c r="AN295" i="82"/>
  <c r="AO295" i="82"/>
  <c r="AP295" i="82"/>
  <c r="AQ295" i="82"/>
  <c r="AR295" i="82"/>
  <c r="AS295" i="82"/>
  <c r="AT295" i="82"/>
  <c r="AU295" i="82"/>
  <c r="AV295" i="82"/>
  <c r="AW295" i="82"/>
  <c r="AX295" i="82"/>
  <c r="AY295" i="82"/>
  <c r="AZ295" i="82"/>
  <c r="BA295" i="82"/>
  <c r="BB295" i="82"/>
  <c r="BC295" i="82"/>
  <c r="BD295" i="82"/>
  <c r="BE295" i="82"/>
  <c r="BF295" i="82"/>
  <c r="BG295" i="82"/>
  <c r="BH295" i="82"/>
  <c r="BI295" i="82"/>
  <c r="BJ295" i="82"/>
  <c r="BK295" i="82"/>
  <c r="BL295" i="82"/>
  <c r="BM295" i="82"/>
  <c r="BN295" i="82"/>
  <c r="BO295" i="82"/>
  <c r="BP295" i="82"/>
  <c r="BQ295" i="82"/>
  <c r="BR295" i="82"/>
  <c r="BS295" i="82"/>
  <c r="BT295" i="82"/>
  <c r="BU295" i="82"/>
  <c r="BV295" i="82"/>
  <c r="BW295" i="82"/>
  <c r="BX295" i="82"/>
  <c r="BY295" i="82"/>
  <c r="BZ295" i="82"/>
  <c r="D296" i="82"/>
  <c r="E296" i="82"/>
  <c r="F296" i="82"/>
  <c r="G296" i="82"/>
  <c r="H296" i="82"/>
  <c r="I296" i="82"/>
  <c r="J296" i="82"/>
  <c r="K296" i="82"/>
  <c r="L296" i="82"/>
  <c r="M296" i="82"/>
  <c r="N296" i="82"/>
  <c r="O296" i="82"/>
  <c r="P296" i="82"/>
  <c r="Q296" i="82"/>
  <c r="R296" i="82"/>
  <c r="S296" i="82"/>
  <c r="T296" i="82"/>
  <c r="U296" i="82"/>
  <c r="V296" i="82"/>
  <c r="W296" i="82"/>
  <c r="X296" i="82"/>
  <c r="Y296" i="82"/>
  <c r="Z296" i="82"/>
  <c r="AA296" i="82"/>
  <c r="AB296" i="82"/>
  <c r="AC296" i="82"/>
  <c r="AD296" i="82"/>
  <c r="AE296" i="82"/>
  <c r="AF296" i="82"/>
  <c r="AG296" i="82"/>
  <c r="AH296" i="82"/>
  <c r="AI296" i="82"/>
  <c r="AJ296" i="82"/>
  <c r="AK296" i="82"/>
  <c r="AL296" i="82"/>
  <c r="AM296" i="82"/>
  <c r="AN296" i="82"/>
  <c r="AO296" i="82"/>
  <c r="AP296" i="82"/>
  <c r="AQ296" i="82"/>
  <c r="AR296" i="82"/>
  <c r="AS296" i="82"/>
  <c r="AT296" i="82"/>
  <c r="AU296" i="82"/>
  <c r="AV296" i="82"/>
  <c r="AW296" i="82"/>
  <c r="AX296" i="82"/>
  <c r="AY296" i="82"/>
  <c r="AZ296" i="82"/>
  <c r="BA296" i="82"/>
  <c r="BB296" i="82"/>
  <c r="BC296" i="82"/>
  <c r="BD296" i="82"/>
  <c r="BE296" i="82"/>
  <c r="BF296" i="82"/>
  <c r="BG296" i="82"/>
  <c r="BH296" i="82"/>
  <c r="BI296" i="82"/>
  <c r="BJ296" i="82"/>
  <c r="BK296" i="82"/>
  <c r="BL296" i="82"/>
  <c r="BM296" i="82"/>
  <c r="BN296" i="82"/>
  <c r="BO296" i="82"/>
  <c r="BP296" i="82"/>
  <c r="BQ296" i="82"/>
  <c r="BR296" i="82"/>
  <c r="BS296" i="82"/>
  <c r="BT296" i="82"/>
  <c r="BU296" i="82"/>
  <c r="BV296" i="82"/>
  <c r="BW296" i="82"/>
  <c r="BX296" i="82"/>
  <c r="BY296" i="82"/>
  <c r="BZ296" i="82"/>
  <c r="D297" i="82"/>
  <c r="E297" i="82"/>
  <c r="F297" i="82"/>
  <c r="G297" i="82"/>
  <c r="H297" i="82"/>
  <c r="I297" i="82"/>
  <c r="J297" i="82"/>
  <c r="K297" i="82"/>
  <c r="L297" i="82"/>
  <c r="M297" i="82"/>
  <c r="N297" i="82"/>
  <c r="O297" i="82"/>
  <c r="P297" i="82"/>
  <c r="Q297" i="82"/>
  <c r="R297" i="82"/>
  <c r="S297" i="82"/>
  <c r="T297" i="82"/>
  <c r="U297" i="82"/>
  <c r="V297" i="82"/>
  <c r="W297" i="82"/>
  <c r="X297" i="82"/>
  <c r="Y297" i="82"/>
  <c r="Z297" i="82"/>
  <c r="AA297" i="82"/>
  <c r="AB297" i="82"/>
  <c r="AC297" i="82"/>
  <c r="AD297" i="82"/>
  <c r="AE297" i="82"/>
  <c r="AF297" i="82"/>
  <c r="AG297" i="82"/>
  <c r="AH297" i="82"/>
  <c r="AI297" i="82"/>
  <c r="AJ297" i="82"/>
  <c r="AK297" i="82"/>
  <c r="AL297" i="82"/>
  <c r="AM297" i="82"/>
  <c r="AN297" i="82"/>
  <c r="AO297" i="82"/>
  <c r="AP297" i="82"/>
  <c r="AQ297" i="82"/>
  <c r="AR297" i="82"/>
  <c r="AS297" i="82"/>
  <c r="AT297" i="82"/>
  <c r="AU297" i="82"/>
  <c r="AV297" i="82"/>
  <c r="AW297" i="82"/>
  <c r="AX297" i="82"/>
  <c r="AY297" i="82"/>
  <c r="AZ297" i="82"/>
  <c r="BA297" i="82"/>
  <c r="BB297" i="82"/>
  <c r="BC297" i="82"/>
  <c r="BD297" i="82"/>
  <c r="BE297" i="82"/>
  <c r="BF297" i="82"/>
  <c r="BG297" i="82"/>
  <c r="BH297" i="82"/>
  <c r="BI297" i="82"/>
  <c r="BJ297" i="82"/>
  <c r="BK297" i="82"/>
  <c r="BL297" i="82"/>
  <c r="BM297" i="82"/>
  <c r="BN297" i="82"/>
  <c r="BO297" i="82"/>
  <c r="BP297" i="82"/>
  <c r="BQ297" i="82"/>
  <c r="BR297" i="82"/>
  <c r="BS297" i="82"/>
  <c r="BT297" i="82"/>
  <c r="BU297" i="82"/>
  <c r="BV297" i="82"/>
  <c r="BW297" i="82"/>
  <c r="BX297" i="82"/>
  <c r="BY297" i="82"/>
  <c r="BZ297" i="82"/>
  <c r="D298" i="82"/>
  <c r="E298" i="82"/>
  <c r="F298" i="82"/>
  <c r="G298" i="82"/>
  <c r="H298" i="82"/>
  <c r="I298" i="82"/>
  <c r="J298" i="82"/>
  <c r="K298" i="82"/>
  <c r="L298" i="82"/>
  <c r="M298" i="82"/>
  <c r="N298" i="82"/>
  <c r="O298" i="82"/>
  <c r="P298" i="82"/>
  <c r="Q298" i="82"/>
  <c r="R298" i="82"/>
  <c r="S298" i="82"/>
  <c r="T298" i="82"/>
  <c r="U298" i="82"/>
  <c r="V298" i="82"/>
  <c r="W298" i="82"/>
  <c r="X298" i="82"/>
  <c r="Y298" i="82"/>
  <c r="Z298" i="82"/>
  <c r="AA298" i="82"/>
  <c r="AB298" i="82"/>
  <c r="AC298" i="82"/>
  <c r="AD298" i="82"/>
  <c r="AE298" i="82"/>
  <c r="AF298" i="82"/>
  <c r="AG298" i="82"/>
  <c r="AH298" i="82"/>
  <c r="AI298" i="82"/>
  <c r="AJ298" i="82"/>
  <c r="AK298" i="82"/>
  <c r="AL298" i="82"/>
  <c r="AM298" i="82"/>
  <c r="AN298" i="82"/>
  <c r="AO298" i="82"/>
  <c r="AP298" i="82"/>
  <c r="AQ298" i="82"/>
  <c r="AR298" i="82"/>
  <c r="AS298" i="82"/>
  <c r="AT298" i="82"/>
  <c r="AU298" i="82"/>
  <c r="AV298" i="82"/>
  <c r="AW298" i="82"/>
  <c r="AX298" i="82"/>
  <c r="AY298" i="82"/>
  <c r="AZ298" i="82"/>
  <c r="BA298" i="82"/>
  <c r="BB298" i="82"/>
  <c r="BC298" i="82"/>
  <c r="BD298" i="82"/>
  <c r="BE298" i="82"/>
  <c r="BF298" i="82"/>
  <c r="BG298" i="82"/>
  <c r="BH298" i="82"/>
  <c r="BI298" i="82"/>
  <c r="BJ298" i="82"/>
  <c r="BK298" i="82"/>
  <c r="BL298" i="82"/>
  <c r="BM298" i="82"/>
  <c r="BN298" i="82"/>
  <c r="BO298" i="82"/>
  <c r="BP298" i="82"/>
  <c r="BQ298" i="82"/>
  <c r="BR298" i="82"/>
  <c r="BS298" i="82"/>
  <c r="BT298" i="82"/>
  <c r="BU298" i="82"/>
  <c r="BV298" i="82"/>
  <c r="BW298" i="82"/>
  <c r="BX298" i="82"/>
  <c r="BY298" i="82"/>
  <c r="BZ298" i="82"/>
  <c r="D299" i="82"/>
  <c r="E299" i="82"/>
  <c r="F299" i="82"/>
  <c r="G299" i="82"/>
  <c r="H299" i="82"/>
  <c r="I299" i="82"/>
  <c r="J299" i="82"/>
  <c r="K299" i="82"/>
  <c r="L299" i="82"/>
  <c r="M299" i="82"/>
  <c r="N299" i="82"/>
  <c r="O299" i="82"/>
  <c r="P299" i="82"/>
  <c r="Q299" i="82"/>
  <c r="R299" i="82"/>
  <c r="S299" i="82"/>
  <c r="T299" i="82"/>
  <c r="U299" i="82"/>
  <c r="V299" i="82"/>
  <c r="W299" i="82"/>
  <c r="X299" i="82"/>
  <c r="Y299" i="82"/>
  <c r="Z299" i="82"/>
  <c r="AA299" i="82"/>
  <c r="AB299" i="82"/>
  <c r="AC299" i="82"/>
  <c r="AD299" i="82"/>
  <c r="AE299" i="82"/>
  <c r="AF299" i="82"/>
  <c r="AG299" i="82"/>
  <c r="AH299" i="82"/>
  <c r="AI299" i="82"/>
  <c r="AJ299" i="82"/>
  <c r="AK299" i="82"/>
  <c r="AL299" i="82"/>
  <c r="AM299" i="82"/>
  <c r="AN299" i="82"/>
  <c r="AO299" i="82"/>
  <c r="AP299" i="82"/>
  <c r="AQ299" i="82"/>
  <c r="AR299" i="82"/>
  <c r="AS299" i="82"/>
  <c r="AT299" i="82"/>
  <c r="AU299" i="82"/>
  <c r="AV299" i="82"/>
  <c r="AW299" i="82"/>
  <c r="AX299" i="82"/>
  <c r="AY299" i="82"/>
  <c r="AZ299" i="82"/>
  <c r="BA299" i="82"/>
  <c r="BB299" i="82"/>
  <c r="BC299" i="82"/>
  <c r="BD299" i="82"/>
  <c r="BE299" i="82"/>
  <c r="BF299" i="82"/>
  <c r="BG299" i="82"/>
  <c r="BH299" i="82"/>
  <c r="BI299" i="82"/>
  <c r="BJ299" i="82"/>
  <c r="BK299" i="82"/>
  <c r="BL299" i="82"/>
  <c r="BM299" i="82"/>
  <c r="BN299" i="82"/>
  <c r="BO299" i="82"/>
  <c r="BP299" i="82"/>
  <c r="BQ299" i="82"/>
  <c r="BR299" i="82"/>
  <c r="BS299" i="82"/>
  <c r="BT299" i="82"/>
  <c r="BU299" i="82"/>
  <c r="BV299" i="82"/>
  <c r="BW299" i="82"/>
  <c r="BX299" i="82"/>
  <c r="BY299" i="82"/>
  <c r="BZ299" i="82"/>
  <c r="D300" i="82"/>
  <c r="E300" i="82"/>
  <c r="F300" i="82"/>
  <c r="G300" i="82"/>
  <c r="H300" i="82"/>
  <c r="I300" i="82"/>
  <c r="J300" i="82"/>
  <c r="K300" i="82"/>
  <c r="L300" i="82"/>
  <c r="M300" i="82"/>
  <c r="N300" i="82"/>
  <c r="O300" i="82"/>
  <c r="P300" i="82"/>
  <c r="Q300" i="82"/>
  <c r="R300" i="82"/>
  <c r="S300" i="82"/>
  <c r="T300" i="82"/>
  <c r="U300" i="82"/>
  <c r="V300" i="82"/>
  <c r="W300" i="82"/>
  <c r="X300" i="82"/>
  <c r="Y300" i="82"/>
  <c r="Z300" i="82"/>
  <c r="AA300" i="82"/>
  <c r="AB300" i="82"/>
  <c r="AC300" i="82"/>
  <c r="AD300" i="82"/>
  <c r="AE300" i="82"/>
  <c r="AF300" i="82"/>
  <c r="AG300" i="82"/>
  <c r="AH300" i="82"/>
  <c r="AI300" i="82"/>
  <c r="AJ300" i="82"/>
  <c r="AK300" i="82"/>
  <c r="AL300" i="82"/>
  <c r="AM300" i="82"/>
  <c r="AN300" i="82"/>
  <c r="AO300" i="82"/>
  <c r="AP300" i="82"/>
  <c r="AQ300" i="82"/>
  <c r="AR300" i="82"/>
  <c r="AS300" i="82"/>
  <c r="AT300" i="82"/>
  <c r="AU300" i="82"/>
  <c r="AV300" i="82"/>
  <c r="AW300" i="82"/>
  <c r="AX300" i="82"/>
  <c r="AY300" i="82"/>
  <c r="AZ300" i="82"/>
  <c r="BA300" i="82"/>
  <c r="BB300" i="82"/>
  <c r="BC300" i="82"/>
  <c r="BD300" i="82"/>
  <c r="BE300" i="82"/>
  <c r="BF300" i="82"/>
  <c r="BG300" i="82"/>
  <c r="BH300" i="82"/>
  <c r="BI300" i="82"/>
  <c r="BJ300" i="82"/>
  <c r="BK300" i="82"/>
  <c r="BL300" i="82"/>
  <c r="BM300" i="82"/>
  <c r="BN300" i="82"/>
  <c r="BO300" i="82"/>
  <c r="BP300" i="82"/>
  <c r="BQ300" i="82"/>
  <c r="BR300" i="82"/>
  <c r="BS300" i="82"/>
  <c r="BT300" i="82"/>
  <c r="BU300" i="82"/>
  <c r="BV300" i="82"/>
  <c r="BW300" i="82"/>
  <c r="BX300" i="82"/>
  <c r="BY300" i="82"/>
  <c r="BZ300" i="82"/>
  <c r="D301" i="82"/>
  <c r="E301" i="82"/>
  <c r="F301" i="82"/>
  <c r="G301" i="82"/>
  <c r="H301" i="82"/>
  <c r="I301" i="82"/>
  <c r="J301" i="82"/>
  <c r="K301" i="82"/>
  <c r="L301" i="82"/>
  <c r="M301" i="82"/>
  <c r="N301" i="82"/>
  <c r="O301" i="82"/>
  <c r="P301" i="82"/>
  <c r="Q301" i="82"/>
  <c r="R301" i="82"/>
  <c r="S301" i="82"/>
  <c r="T301" i="82"/>
  <c r="U301" i="82"/>
  <c r="V301" i="82"/>
  <c r="W301" i="82"/>
  <c r="X301" i="82"/>
  <c r="Y301" i="82"/>
  <c r="Z301" i="82"/>
  <c r="AA301" i="82"/>
  <c r="AB301" i="82"/>
  <c r="AC301" i="82"/>
  <c r="AD301" i="82"/>
  <c r="AE301" i="82"/>
  <c r="AF301" i="82"/>
  <c r="AG301" i="82"/>
  <c r="AH301" i="82"/>
  <c r="AI301" i="82"/>
  <c r="AJ301" i="82"/>
  <c r="AK301" i="82"/>
  <c r="AL301" i="82"/>
  <c r="AM301" i="82"/>
  <c r="AN301" i="82"/>
  <c r="AO301" i="82"/>
  <c r="AP301" i="82"/>
  <c r="AQ301" i="82"/>
  <c r="AR301" i="82"/>
  <c r="AS301" i="82"/>
  <c r="AT301" i="82"/>
  <c r="AU301" i="82"/>
  <c r="AV301" i="82"/>
  <c r="AW301" i="82"/>
  <c r="AX301" i="82"/>
  <c r="AY301" i="82"/>
  <c r="AZ301" i="82"/>
  <c r="BA301" i="82"/>
  <c r="BB301" i="82"/>
  <c r="BC301" i="82"/>
  <c r="BD301" i="82"/>
  <c r="BE301" i="82"/>
  <c r="BF301" i="82"/>
  <c r="BG301" i="82"/>
  <c r="BH301" i="82"/>
  <c r="BI301" i="82"/>
  <c r="BJ301" i="82"/>
  <c r="BK301" i="82"/>
  <c r="BL301" i="82"/>
  <c r="BM301" i="82"/>
  <c r="BN301" i="82"/>
  <c r="BO301" i="82"/>
  <c r="BP301" i="82"/>
  <c r="BQ301" i="82"/>
  <c r="BR301" i="82"/>
  <c r="BS301" i="82"/>
  <c r="BT301" i="82"/>
  <c r="BU301" i="82"/>
  <c r="BV301" i="82"/>
  <c r="BW301" i="82"/>
  <c r="BX301" i="82"/>
  <c r="BY301" i="82"/>
  <c r="BZ301" i="82"/>
  <c r="D302" i="82"/>
  <c r="E302" i="82"/>
  <c r="F302" i="82"/>
  <c r="G302" i="82"/>
  <c r="H302" i="82"/>
  <c r="I302" i="82"/>
  <c r="J302" i="82"/>
  <c r="K302" i="82"/>
  <c r="L302" i="82"/>
  <c r="M302" i="82"/>
  <c r="N302" i="82"/>
  <c r="O302" i="82"/>
  <c r="P302" i="82"/>
  <c r="Q302" i="82"/>
  <c r="R302" i="82"/>
  <c r="S302" i="82"/>
  <c r="T302" i="82"/>
  <c r="U302" i="82"/>
  <c r="V302" i="82"/>
  <c r="W302" i="82"/>
  <c r="X302" i="82"/>
  <c r="Y302" i="82"/>
  <c r="Z302" i="82"/>
  <c r="AA302" i="82"/>
  <c r="AB302" i="82"/>
  <c r="AC302" i="82"/>
  <c r="AD302" i="82"/>
  <c r="AE302" i="82"/>
  <c r="AF302" i="82"/>
  <c r="AG302" i="82"/>
  <c r="AH302" i="82"/>
  <c r="AI302" i="82"/>
  <c r="AJ302" i="82"/>
  <c r="AK302" i="82"/>
  <c r="AL302" i="82"/>
  <c r="AM302" i="82"/>
  <c r="AN302" i="82"/>
  <c r="AO302" i="82"/>
  <c r="AP302" i="82"/>
  <c r="AQ302" i="82"/>
  <c r="AR302" i="82"/>
  <c r="AS302" i="82"/>
  <c r="AT302" i="82"/>
  <c r="AU302" i="82"/>
  <c r="AV302" i="82"/>
  <c r="AW302" i="82"/>
  <c r="AX302" i="82"/>
  <c r="AY302" i="82"/>
  <c r="AZ302" i="82"/>
  <c r="BA302" i="82"/>
  <c r="BB302" i="82"/>
  <c r="BC302" i="82"/>
  <c r="BD302" i="82"/>
  <c r="BE302" i="82"/>
  <c r="BF302" i="82"/>
  <c r="BG302" i="82"/>
  <c r="BH302" i="82"/>
  <c r="BI302" i="82"/>
  <c r="BJ302" i="82"/>
  <c r="BK302" i="82"/>
  <c r="BL302" i="82"/>
  <c r="BM302" i="82"/>
  <c r="BN302" i="82"/>
  <c r="BO302" i="82"/>
  <c r="BP302" i="82"/>
  <c r="BQ302" i="82"/>
  <c r="BR302" i="82"/>
  <c r="BS302" i="82"/>
  <c r="BT302" i="82"/>
  <c r="BU302" i="82"/>
  <c r="BV302" i="82"/>
  <c r="BW302" i="82"/>
  <c r="BX302" i="82"/>
  <c r="BY302" i="82"/>
  <c r="BZ302" i="82"/>
  <c r="D303" i="82"/>
  <c r="E303" i="82"/>
  <c r="F303" i="82"/>
  <c r="G303" i="82"/>
  <c r="H303" i="82"/>
  <c r="I303" i="82"/>
  <c r="J303" i="82"/>
  <c r="K303" i="82"/>
  <c r="L303" i="82"/>
  <c r="M303" i="82"/>
  <c r="N303" i="82"/>
  <c r="O303" i="82"/>
  <c r="P303" i="82"/>
  <c r="Q303" i="82"/>
  <c r="R303" i="82"/>
  <c r="S303" i="82"/>
  <c r="T303" i="82"/>
  <c r="U303" i="82"/>
  <c r="V303" i="82"/>
  <c r="W303" i="82"/>
  <c r="X303" i="82"/>
  <c r="Y303" i="82"/>
  <c r="Z303" i="82"/>
  <c r="AA303" i="82"/>
  <c r="AB303" i="82"/>
  <c r="AC303" i="82"/>
  <c r="AD303" i="82"/>
  <c r="AE303" i="82"/>
  <c r="AF303" i="82"/>
  <c r="AG303" i="82"/>
  <c r="AH303" i="82"/>
  <c r="AI303" i="82"/>
  <c r="AJ303" i="82"/>
  <c r="AK303" i="82"/>
  <c r="AL303" i="82"/>
  <c r="AM303" i="82"/>
  <c r="AN303" i="82"/>
  <c r="AO303" i="82"/>
  <c r="AP303" i="82"/>
  <c r="AQ303" i="82"/>
  <c r="AR303" i="82"/>
  <c r="AS303" i="82"/>
  <c r="AT303" i="82"/>
  <c r="AU303" i="82"/>
  <c r="AV303" i="82"/>
  <c r="AW303" i="82"/>
  <c r="AX303" i="82"/>
  <c r="AY303" i="82"/>
  <c r="AZ303" i="82"/>
  <c r="BA303" i="82"/>
  <c r="BB303" i="82"/>
  <c r="BC303" i="82"/>
  <c r="BD303" i="82"/>
  <c r="BE303" i="82"/>
  <c r="BF303" i="82"/>
  <c r="BG303" i="82"/>
  <c r="BH303" i="82"/>
  <c r="BI303" i="82"/>
  <c r="BJ303" i="82"/>
  <c r="BK303" i="82"/>
  <c r="BL303" i="82"/>
  <c r="BM303" i="82"/>
  <c r="BN303" i="82"/>
  <c r="BO303" i="82"/>
  <c r="BP303" i="82"/>
  <c r="BQ303" i="82"/>
  <c r="BR303" i="82"/>
  <c r="BS303" i="82"/>
  <c r="BT303" i="82"/>
  <c r="BU303" i="82"/>
  <c r="BV303" i="82"/>
  <c r="BW303" i="82"/>
  <c r="BX303" i="82"/>
  <c r="BY303" i="82"/>
  <c r="BZ303" i="82"/>
  <c r="D304" i="82"/>
  <c r="E304" i="82"/>
  <c r="F304" i="82"/>
  <c r="G304" i="82"/>
  <c r="H304" i="82"/>
  <c r="I304" i="82"/>
  <c r="J304" i="82"/>
  <c r="K304" i="82"/>
  <c r="L304" i="82"/>
  <c r="M304" i="82"/>
  <c r="N304" i="82"/>
  <c r="O304" i="82"/>
  <c r="P304" i="82"/>
  <c r="Q304" i="82"/>
  <c r="R304" i="82"/>
  <c r="S304" i="82"/>
  <c r="T304" i="82"/>
  <c r="U304" i="82"/>
  <c r="V304" i="82"/>
  <c r="W304" i="82"/>
  <c r="X304" i="82"/>
  <c r="Y304" i="82"/>
  <c r="Z304" i="82"/>
  <c r="AA304" i="82"/>
  <c r="AB304" i="82"/>
  <c r="AC304" i="82"/>
  <c r="AD304" i="82"/>
  <c r="AE304" i="82"/>
  <c r="AF304" i="82"/>
  <c r="AG304" i="82"/>
  <c r="AH304" i="82"/>
  <c r="AI304" i="82"/>
  <c r="AJ304" i="82"/>
  <c r="AK304" i="82"/>
  <c r="AL304" i="82"/>
  <c r="AM304" i="82"/>
  <c r="AN304" i="82"/>
  <c r="AO304" i="82"/>
  <c r="AP304" i="82"/>
  <c r="AQ304" i="82"/>
  <c r="AR304" i="82"/>
  <c r="AS304" i="82"/>
  <c r="AT304" i="82"/>
  <c r="AU304" i="82"/>
  <c r="AV304" i="82"/>
  <c r="AW304" i="82"/>
  <c r="AX304" i="82"/>
  <c r="AY304" i="82"/>
  <c r="AZ304" i="82"/>
  <c r="BA304" i="82"/>
  <c r="BB304" i="82"/>
  <c r="BC304" i="82"/>
  <c r="BD304" i="82"/>
  <c r="BE304" i="82"/>
  <c r="BF304" i="82"/>
  <c r="BG304" i="82"/>
  <c r="BH304" i="82"/>
  <c r="BI304" i="82"/>
  <c r="BJ304" i="82"/>
  <c r="BK304" i="82"/>
  <c r="BL304" i="82"/>
  <c r="BM304" i="82"/>
  <c r="BN304" i="82"/>
  <c r="BO304" i="82"/>
  <c r="BP304" i="82"/>
  <c r="BQ304" i="82"/>
  <c r="BR304" i="82"/>
  <c r="BS304" i="82"/>
  <c r="BT304" i="82"/>
  <c r="BU304" i="82"/>
  <c r="BV304" i="82"/>
  <c r="BW304" i="82"/>
  <c r="BX304" i="82"/>
  <c r="BY304" i="82"/>
  <c r="BZ304" i="82"/>
  <c r="D305" i="82"/>
  <c r="E305" i="82"/>
  <c r="F305" i="82"/>
  <c r="G305" i="82"/>
  <c r="H305" i="82"/>
  <c r="I305" i="82"/>
  <c r="J305" i="82"/>
  <c r="K305" i="82"/>
  <c r="L305" i="82"/>
  <c r="M305" i="82"/>
  <c r="N305" i="82"/>
  <c r="O305" i="82"/>
  <c r="P305" i="82"/>
  <c r="Q305" i="82"/>
  <c r="R305" i="82"/>
  <c r="S305" i="82"/>
  <c r="T305" i="82"/>
  <c r="U305" i="82"/>
  <c r="V305" i="82"/>
  <c r="W305" i="82"/>
  <c r="X305" i="82"/>
  <c r="Y305" i="82"/>
  <c r="Z305" i="82"/>
  <c r="AA305" i="82"/>
  <c r="AB305" i="82"/>
  <c r="AC305" i="82"/>
  <c r="AD305" i="82"/>
  <c r="AE305" i="82"/>
  <c r="AF305" i="82"/>
  <c r="AG305" i="82"/>
  <c r="AH305" i="82"/>
  <c r="AI305" i="82"/>
  <c r="AJ305" i="82"/>
  <c r="AK305" i="82"/>
  <c r="AL305" i="82"/>
  <c r="AM305" i="82"/>
  <c r="AN305" i="82"/>
  <c r="AO305" i="82"/>
  <c r="AP305" i="82"/>
  <c r="AQ305" i="82"/>
  <c r="AR305" i="82"/>
  <c r="AS305" i="82"/>
  <c r="AT305" i="82"/>
  <c r="AU305" i="82"/>
  <c r="AV305" i="82"/>
  <c r="AW305" i="82"/>
  <c r="AX305" i="82"/>
  <c r="AY305" i="82"/>
  <c r="AZ305" i="82"/>
  <c r="BA305" i="82"/>
  <c r="BB305" i="82"/>
  <c r="BC305" i="82"/>
  <c r="BD305" i="82"/>
  <c r="BE305" i="82"/>
  <c r="BF305" i="82"/>
  <c r="BG305" i="82"/>
  <c r="BH305" i="82"/>
  <c r="BI305" i="82"/>
  <c r="BJ305" i="82"/>
  <c r="BK305" i="82"/>
  <c r="BL305" i="82"/>
  <c r="BM305" i="82"/>
  <c r="BN305" i="82"/>
  <c r="BO305" i="82"/>
  <c r="BP305" i="82"/>
  <c r="BQ305" i="82"/>
  <c r="BR305" i="82"/>
  <c r="BS305" i="82"/>
  <c r="BT305" i="82"/>
  <c r="BU305" i="82"/>
  <c r="BV305" i="82"/>
  <c r="BW305" i="82"/>
  <c r="BX305" i="82"/>
  <c r="BY305" i="82"/>
  <c r="BZ305" i="82"/>
  <c r="D306" i="82"/>
  <c r="E306" i="82"/>
  <c r="F306" i="82"/>
  <c r="G306" i="82"/>
  <c r="H306" i="82"/>
  <c r="I306" i="82"/>
  <c r="J306" i="82"/>
  <c r="K306" i="82"/>
  <c r="L306" i="82"/>
  <c r="M306" i="82"/>
  <c r="N306" i="82"/>
  <c r="O306" i="82"/>
  <c r="P306" i="82"/>
  <c r="Q306" i="82"/>
  <c r="R306" i="82"/>
  <c r="S306" i="82"/>
  <c r="T306" i="82"/>
  <c r="U306" i="82"/>
  <c r="V306" i="82"/>
  <c r="W306" i="82"/>
  <c r="X306" i="82"/>
  <c r="Y306" i="82"/>
  <c r="Z306" i="82"/>
  <c r="AA306" i="82"/>
  <c r="AB306" i="82"/>
  <c r="AC306" i="82"/>
  <c r="AD306" i="82"/>
  <c r="AE306" i="82"/>
  <c r="AF306" i="82"/>
  <c r="AG306" i="82"/>
  <c r="AH306" i="82"/>
  <c r="AI306" i="82"/>
  <c r="AJ306" i="82"/>
  <c r="AK306" i="82"/>
  <c r="AL306" i="82"/>
  <c r="AM306" i="82"/>
  <c r="AN306" i="82"/>
  <c r="AO306" i="82"/>
  <c r="AP306" i="82"/>
  <c r="AQ306" i="82"/>
  <c r="AR306" i="82"/>
  <c r="AS306" i="82"/>
  <c r="AT306" i="82"/>
  <c r="AU306" i="82"/>
  <c r="AV306" i="82"/>
  <c r="AW306" i="82"/>
  <c r="AX306" i="82"/>
  <c r="AY306" i="82"/>
  <c r="AZ306" i="82"/>
  <c r="BA306" i="82"/>
  <c r="BB306" i="82"/>
  <c r="BC306" i="82"/>
  <c r="BD306" i="82"/>
  <c r="BE306" i="82"/>
  <c r="BF306" i="82"/>
  <c r="BG306" i="82"/>
  <c r="BH306" i="82"/>
  <c r="BI306" i="82"/>
  <c r="BJ306" i="82"/>
  <c r="BK306" i="82"/>
  <c r="BL306" i="82"/>
  <c r="BM306" i="82"/>
  <c r="BN306" i="82"/>
  <c r="BO306" i="82"/>
  <c r="BP306" i="82"/>
  <c r="BQ306" i="82"/>
  <c r="BR306" i="82"/>
  <c r="BS306" i="82"/>
  <c r="BT306" i="82"/>
  <c r="BU306" i="82"/>
  <c r="BV306" i="82"/>
  <c r="BW306" i="82"/>
  <c r="BX306" i="82"/>
  <c r="BY306" i="82"/>
  <c r="BZ306" i="82"/>
  <c r="D307" i="82"/>
  <c r="E307" i="82"/>
  <c r="F307" i="82"/>
  <c r="G307" i="82"/>
  <c r="H307" i="82"/>
  <c r="I307" i="82"/>
  <c r="J307" i="82"/>
  <c r="K307" i="82"/>
  <c r="L307" i="82"/>
  <c r="M307" i="82"/>
  <c r="N307" i="82"/>
  <c r="O307" i="82"/>
  <c r="P307" i="82"/>
  <c r="Q307" i="82"/>
  <c r="R307" i="82"/>
  <c r="S307" i="82"/>
  <c r="T307" i="82"/>
  <c r="U307" i="82"/>
  <c r="V307" i="82"/>
  <c r="W307" i="82"/>
  <c r="X307" i="82"/>
  <c r="Y307" i="82"/>
  <c r="Z307" i="82"/>
  <c r="AA307" i="82"/>
  <c r="AB307" i="82"/>
  <c r="AC307" i="82"/>
  <c r="AD307" i="82"/>
  <c r="AE307" i="82"/>
  <c r="AF307" i="82"/>
  <c r="AG307" i="82"/>
  <c r="AH307" i="82"/>
  <c r="AI307" i="82"/>
  <c r="AJ307" i="82"/>
  <c r="AK307" i="82"/>
  <c r="AL307" i="82"/>
  <c r="AM307" i="82"/>
  <c r="AN307" i="82"/>
  <c r="AO307" i="82"/>
  <c r="AP307" i="82"/>
  <c r="AQ307" i="82"/>
  <c r="AR307" i="82"/>
  <c r="AS307" i="82"/>
  <c r="AT307" i="82"/>
  <c r="AU307" i="82"/>
  <c r="AV307" i="82"/>
  <c r="AW307" i="82"/>
  <c r="AX307" i="82"/>
  <c r="AY307" i="82"/>
  <c r="AZ307" i="82"/>
  <c r="BA307" i="82"/>
  <c r="BB307" i="82"/>
  <c r="BC307" i="82"/>
  <c r="BD307" i="82"/>
  <c r="BE307" i="82"/>
  <c r="BF307" i="82"/>
  <c r="BG307" i="82"/>
  <c r="BH307" i="82"/>
  <c r="BI307" i="82"/>
  <c r="BJ307" i="82"/>
  <c r="BK307" i="82"/>
  <c r="BL307" i="82"/>
  <c r="BM307" i="82"/>
  <c r="BN307" i="82"/>
  <c r="BO307" i="82"/>
  <c r="BP307" i="82"/>
  <c r="BQ307" i="82"/>
  <c r="BR307" i="82"/>
  <c r="BS307" i="82"/>
  <c r="BT307" i="82"/>
  <c r="BU307" i="82"/>
  <c r="BV307" i="82"/>
  <c r="BW307" i="82"/>
  <c r="BX307" i="82"/>
  <c r="BY307" i="82"/>
  <c r="BZ307" i="82"/>
  <c r="D308" i="82"/>
  <c r="E308" i="82"/>
  <c r="F308" i="82"/>
  <c r="G308" i="82"/>
  <c r="H308" i="82"/>
  <c r="I308" i="82"/>
  <c r="J308" i="82"/>
  <c r="K308" i="82"/>
  <c r="L308" i="82"/>
  <c r="M308" i="82"/>
  <c r="N308" i="82"/>
  <c r="O308" i="82"/>
  <c r="P308" i="82"/>
  <c r="Q308" i="82"/>
  <c r="R308" i="82"/>
  <c r="S308" i="82"/>
  <c r="T308" i="82"/>
  <c r="U308" i="82"/>
  <c r="V308" i="82"/>
  <c r="W308" i="82"/>
  <c r="X308" i="82"/>
  <c r="Y308" i="82"/>
  <c r="Z308" i="82"/>
  <c r="AA308" i="82"/>
  <c r="AB308" i="82"/>
  <c r="AC308" i="82"/>
  <c r="AD308" i="82"/>
  <c r="AE308" i="82"/>
  <c r="AF308" i="82"/>
  <c r="AG308" i="82"/>
  <c r="AH308" i="82"/>
  <c r="AI308" i="82"/>
  <c r="AJ308" i="82"/>
  <c r="AK308" i="82"/>
  <c r="AL308" i="82"/>
  <c r="AM308" i="82"/>
  <c r="AN308" i="82"/>
  <c r="AO308" i="82"/>
  <c r="AP308" i="82"/>
  <c r="AQ308" i="82"/>
  <c r="AR308" i="82"/>
  <c r="AS308" i="82"/>
  <c r="AT308" i="82"/>
  <c r="AU308" i="82"/>
  <c r="AV308" i="82"/>
  <c r="AW308" i="82"/>
  <c r="AX308" i="82"/>
  <c r="AY308" i="82"/>
  <c r="AZ308" i="82"/>
  <c r="BA308" i="82"/>
  <c r="BB308" i="82"/>
  <c r="BC308" i="82"/>
  <c r="BD308" i="82"/>
  <c r="BE308" i="82"/>
  <c r="BF308" i="82"/>
  <c r="BG308" i="82"/>
  <c r="BH308" i="82"/>
  <c r="BI308" i="82"/>
  <c r="BJ308" i="82"/>
  <c r="BK308" i="82"/>
  <c r="BL308" i="82"/>
  <c r="BM308" i="82"/>
  <c r="BN308" i="82"/>
  <c r="BO308" i="82"/>
  <c r="BP308" i="82"/>
  <c r="BQ308" i="82"/>
  <c r="BR308" i="82"/>
  <c r="BS308" i="82"/>
  <c r="BT308" i="82"/>
  <c r="BU308" i="82"/>
  <c r="BV308" i="82"/>
  <c r="BW308" i="82"/>
  <c r="BX308" i="82"/>
  <c r="BY308" i="82"/>
  <c r="BZ308" i="82"/>
  <c r="CA280" i="82" l="1"/>
  <c r="CA276" i="82" l="1"/>
  <c r="CA277" i="82"/>
  <c r="CA285" i="82"/>
  <c r="CB285" i="82"/>
  <c r="CC285" i="82"/>
  <c r="CD285" i="82"/>
  <c r="CE285" i="82"/>
  <c r="CF285" i="82"/>
  <c r="CG285" i="82"/>
  <c r="CH285" i="82"/>
  <c r="CI285" i="82"/>
  <c r="CJ285" i="82"/>
  <c r="CK285" i="82"/>
  <c r="CA286" i="82"/>
  <c r="CB286" i="82"/>
  <c r="CC286" i="82"/>
  <c r="CD286" i="82"/>
  <c r="CE286" i="82"/>
  <c r="CF286" i="82"/>
  <c r="CG286" i="82"/>
  <c r="CH286" i="82"/>
  <c r="CI286" i="82"/>
  <c r="CJ286" i="82"/>
  <c r="CK286" i="82"/>
  <c r="CA287" i="82"/>
  <c r="CB287" i="82"/>
  <c r="CC287" i="82"/>
  <c r="CD287" i="82"/>
  <c r="CE287" i="82"/>
  <c r="CF287" i="82"/>
  <c r="CG287" i="82"/>
  <c r="CH287" i="82"/>
  <c r="CI287" i="82"/>
  <c r="CJ287" i="82"/>
  <c r="CK287" i="82"/>
  <c r="CA288" i="82"/>
  <c r="CB288" i="82"/>
  <c r="CC288" i="82"/>
  <c r="CD288" i="82"/>
  <c r="CE288" i="82"/>
  <c r="CF288" i="82"/>
  <c r="CG288" i="82"/>
  <c r="CH288" i="82"/>
  <c r="CI288" i="82"/>
  <c r="CJ288" i="82"/>
  <c r="CK288" i="82"/>
  <c r="CA289" i="82"/>
  <c r="CB289" i="82"/>
  <c r="CC289" i="82"/>
  <c r="CD289" i="82"/>
  <c r="CE289" i="82"/>
  <c r="CF289" i="82"/>
  <c r="CG289" i="82"/>
  <c r="CH289" i="82"/>
  <c r="CI289" i="82"/>
  <c r="CJ289" i="82"/>
  <c r="CK289" i="82"/>
  <c r="CA290" i="82"/>
  <c r="CB290" i="82"/>
  <c r="CC290" i="82"/>
  <c r="CD290" i="82"/>
  <c r="CE290" i="82"/>
  <c r="CF290" i="82"/>
  <c r="CG290" i="82"/>
  <c r="CH290" i="82"/>
  <c r="CI290" i="82"/>
  <c r="CJ290" i="82"/>
  <c r="CK290" i="82"/>
  <c r="CA291" i="82"/>
  <c r="CB291" i="82"/>
  <c r="CC291" i="82"/>
  <c r="CD291" i="82"/>
  <c r="CE291" i="82"/>
  <c r="CF291" i="82"/>
  <c r="CG291" i="82"/>
  <c r="CH291" i="82"/>
  <c r="CI291" i="82"/>
  <c r="CJ291" i="82"/>
  <c r="CK291" i="82"/>
  <c r="CA292" i="82"/>
  <c r="CB292" i="82"/>
  <c r="CC292" i="82"/>
  <c r="CD292" i="82"/>
  <c r="CE292" i="82"/>
  <c r="CF292" i="82"/>
  <c r="CG292" i="82"/>
  <c r="CH292" i="82"/>
  <c r="CI292" i="82"/>
  <c r="CJ292" i="82"/>
  <c r="CK292" i="82"/>
  <c r="CA293" i="82"/>
  <c r="CB293" i="82"/>
  <c r="CC293" i="82"/>
  <c r="CD293" i="82"/>
  <c r="CE293" i="82"/>
  <c r="CF293" i="82"/>
  <c r="CG293" i="82"/>
  <c r="CH293" i="82"/>
  <c r="CI293" i="82"/>
  <c r="CJ293" i="82"/>
  <c r="CK293" i="82"/>
  <c r="CA294" i="82"/>
  <c r="CB294" i="82"/>
  <c r="CC294" i="82"/>
  <c r="CD294" i="82"/>
  <c r="CE294" i="82"/>
  <c r="CF294" i="82"/>
  <c r="CG294" i="82"/>
  <c r="CH294" i="82"/>
  <c r="CI294" i="82"/>
  <c r="CJ294" i="82"/>
  <c r="CK294" i="82"/>
  <c r="CA295" i="82"/>
  <c r="CB295" i="82"/>
  <c r="CC295" i="82"/>
  <c r="CD295" i="82"/>
  <c r="CE295" i="82"/>
  <c r="CF295" i="82"/>
  <c r="CG295" i="82"/>
  <c r="CH295" i="82"/>
  <c r="CI295" i="82"/>
  <c r="CJ295" i="82"/>
  <c r="CK295" i="82"/>
  <c r="CA296" i="82"/>
  <c r="CB296" i="82"/>
  <c r="CC296" i="82"/>
  <c r="CD296" i="82"/>
  <c r="CE296" i="82"/>
  <c r="CF296" i="82"/>
  <c r="CG296" i="82"/>
  <c r="CH296" i="82"/>
  <c r="CI296" i="82"/>
  <c r="CJ296" i="82"/>
  <c r="CK296" i="82"/>
  <c r="CA297" i="82"/>
  <c r="CB297" i="82"/>
  <c r="CC297" i="82"/>
  <c r="CD297" i="82"/>
  <c r="CE297" i="82"/>
  <c r="CF297" i="82"/>
  <c r="CG297" i="82"/>
  <c r="CH297" i="82"/>
  <c r="CI297" i="82"/>
  <c r="CJ297" i="82"/>
  <c r="CK297" i="82"/>
  <c r="CA298" i="82"/>
  <c r="CB298" i="82"/>
  <c r="CC298" i="82"/>
  <c r="CD298" i="82"/>
  <c r="CE298" i="82"/>
  <c r="CF298" i="82"/>
  <c r="CG298" i="82"/>
  <c r="CH298" i="82"/>
  <c r="CI298" i="82"/>
  <c r="CJ298" i="82"/>
  <c r="CK298" i="82"/>
  <c r="CA299" i="82"/>
  <c r="CB299" i="82"/>
  <c r="CC299" i="82"/>
  <c r="CD299" i="82"/>
  <c r="CE299" i="82"/>
  <c r="CF299" i="82"/>
  <c r="CG299" i="82"/>
  <c r="CH299" i="82"/>
  <c r="CI299" i="82"/>
  <c r="CJ299" i="82"/>
  <c r="CK299" i="82"/>
  <c r="CA300" i="82"/>
  <c r="CB300" i="82"/>
  <c r="CC300" i="82"/>
  <c r="CD300" i="82"/>
  <c r="CE300" i="82"/>
  <c r="CF300" i="82"/>
  <c r="CG300" i="82"/>
  <c r="CH300" i="82"/>
  <c r="CI300" i="82"/>
  <c r="CJ300" i="82"/>
  <c r="CK300" i="82"/>
  <c r="CA301" i="82"/>
  <c r="CB301" i="82"/>
  <c r="CC301" i="82"/>
  <c r="CD301" i="82"/>
  <c r="CE301" i="82"/>
  <c r="CF301" i="82"/>
  <c r="CG301" i="82"/>
  <c r="CH301" i="82"/>
  <c r="CI301" i="82"/>
  <c r="CJ301" i="82"/>
  <c r="CK301" i="82"/>
  <c r="CA302" i="82"/>
  <c r="CB302" i="82"/>
  <c r="CC302" i="82"/>
  <c r="CD302" i="82"/>
  <c r="CE302" i="82"/>
  <c r="CF302" i="82"/>
  <c r="CG302" i="82"/>
  <c r="CH302" i="82"/>
  <c r="CI302" i="82"/>
  <c r="CJ302" i="82"/>
  <c r="CK302" i="82"/>
  <c r="CA303" i="82"/>
  <c r="CB303" i="82"/>
  <c r="CC303" i="82"/>
  <c r="CD303" i="82"/>
  <c r="CE303" i="82"/>
  <c r="CF303" i="82"/>
  <c r="CG303" i="82"/>
  <c r="CH303" i="82"/>
  <c r="CI303" i="82"/>
  <c r="CJ303" i="82"/>
  <c r="CK303" i="82"/>
  <c r="CA304" i="82"/>
  <c r="CB304" i="82"/>
  <c r="CC304" i="82"/>
  <c r="CD304" i="82"/>
  <c r="CE304" i="82"/>
  <c r="CF304" i="82"/>
  <c r="CG304" i="82"/>
  <c r="CH304" i="82"/>
  <c r="CI304" i="82"/>
  <c r="CJ304" i="82"/>
  <c r="CK304" i="82"/>
  <c r="CA305" i="82"/>
  <c r="CB305" i="82"/>
  <c r="CC305" i="82"/>
  <c r="CD305" i="82"/>
  <c r="CE305" i="82"/>
  <c r="CF305" i="82"/>
  <c r="CG305" i="82"/>
  <c r="CH305" i="82"/>
  <c r="CI305" i="82"/>
  <c r="CJ305" i="82"/>
  <c r="CK305" i="82"/>
  <c r="CA306" i="82"/>
  <c r="CB306" i="82"/>
  <c r="CC306" i="82"/>
  <c r="CD306" i="82"/>
  <c r="CE306" i="82"/>
  <c r="CF306" i="82"/>
  <c r="CG306" i="82"/>
  <c r="CH306" i="82"/>
  <c r="CI306" i="82"/>
  <c r="CJ306" i="82"/>
  <c r="CK306" i="82"/>
  <c r="CA307" i="82"/>
  <c r="CB307" i="82"/>
  <c r="CC307" i="82"/>
  <c r="CD307" i="82"/>
  <c r="CE307" i="82"/>
  <c r="CF307" i="82"/>
  <c r="CG307" i="82"/>
  <c r="CH307" i="82"/>
  <c r="CI307" i="82"/>
  <c r="CJ307" i="82"/>
  <c r="CK307" i="82"/>
  <c r="CA308" i="82"/>
  <c r="CB308" i="82"/>
  <c r="CC308" i="82"/>
  <c r="CD308" i="82"/>
  <c r="CE308" i="82"/>
  <c r="CF308" i="82"/>
  <c r="CG308" i="82"/>
  <c r="CH308" i="82"/>
  <c r="CI308" i="82"/>
  <c r="CJ308" i="82"/>
  <c r="CK308" i="82"/>
  <c r="BS309" i="84"/>
  <c r="BS313" i="84" s="1"/>
  <c r="BT309" i="84"/>
  <c r="BT313" i="84" s="1"/>
  <c r="BU309" i="84"/>
  <c r="BU313" i="84" s="1"/>
  <c r="BV309" i="84"/>
  <c r="BV313" i="84" s="1"/>
  <c r="BS310" i="84"/>
  <c r="BT310" i="84"/>
  <c r="BU310" i="84"/>
  <c r="BV310" i="84"/>
  <c r="L219" i="28" l="1"/>
  <c r="C219" i="28"/>
  <c r="D17" i="91"/>
  <c r="E310" i="84" l="1"/>
  <c r="F310" i="84"/>
  <c r="G310" i="84"/>
  <c r="H310" i="84"/>
  <c r="I310" i="84"/>
  <c r="J310" i="84"/>
  <c r="K310" i="84"/>
  <c r="L310" i="84"/>
  <c r="M310" i="84"/>
  <c r="N310" i="84"/>
  <c r="O310" i="84"/>
  <c r="P310" i="84"/>
  <c r="Q310" i="84"/>
  <c r="R310" i="84"/>
  <c r="S310" i="84"/>
  <c r="T310" i="84"/>
  <c r="U310" i="84"/>
  <c r="V310" i="84"/>
  <c r="W310" i="84"/>
  <c r="X310" i="84"/>
  <c r="Y310" i="84"/>
  <c r="Z310" i="84"/>
  <c r="AA310" i="84"/>
  <c r="AB310" i="84"/>
  <c r="AC310" i="84"/>
  <c r="AD310" i="84"/>
  <c r="AE310" i="84"/>
  <c r="AF310" i="84"/>
  <c r="AG310" i="84"/>
  <c r="AH310" i="84"/>
  <c r="AI310" i="84"/>
  <c r="AJ310" i="84"/>
  <c r="AK310" i="84"/>
  <c r="AL310" i="84"/>
  <c r="AM310" i="84"/>
  <c r="AN310" i="84"/>
  <c r="AO310" i="84"/>
  <c r="AP310" i="84"/>
  <c r="AQ310" i="84"/>
  <c r="AR310" i="84"/>
  <c r="AS310" i="84"/>
  <c r="AT310" i="84"/>
  <c r="AU310" i="84"/>
  <c r="AV310" i="84"/>
  <c r="AW310" i="84"/>
  <c r="AX310" i="84"/>
  <c r="AY310" i="84"/>
  <c r="AZ310" i="84"/>
  <c r="BA310" i="84"/>
  <c r="BB310" i="84"/>
  <c r="BC310" i="84"/>
  <c r="BD310" i="84"/>
  <c r="BE310" i="84"/>
  <c r="BF310" i="84"/>
  <c r="BG310" i="84"/>
  <c r="BH310" i="84"/>
  <c r="BI310" i="84"/>
  <c r="BJ310" i="84"/>
  <c r="BK310" i="84"/>
  <c r="BL310" i="84"/>
  <c r="BM310" i="84"/>
  <c r="BN310" i="84"/>
  <c r="BO310" i="84"/>
  <c r="BP310" i="84"/>
  <c r="BQ310" i="84"/>
  <c r="BR310" i="84"/>
  <c r="D310" i="84"/>
  <c r="E309" i="84" l="1"/>
  <c r="E313" i="84" s="1"/>
  <c r="F309" i="84"/>
  <c r="F313" i="84" s="1"/>
  <c r="G309" i="84"/>
  <c r="G313" i="84" s="1"/>
  <c r="H309" i="84"/>
  <c r="H313" i="84" s="1"/>
  <c r="I309" i="84"/>
  <c r="I313" i="84" s="1"/>
  <c r="J309" i="84"/>
  <c r="J313" i="84" s="1"/>
  <c r="K309" i="84"/>
  <c r="K313" i="84" s="1"/>
  <c r="L309" i="84"/>
  <c r="L313" i="84" s="1"/>
  <c r="M309" i="84"/>
  <c r="M313" i="84" s="1"/>
  <c r="N309" i="84"/>
  <c r="N313" i="84" s="1"/>
  <c r="O309" i="84"/>
  <c r="O313" i="84" s="1"/>
  <c r="P309" i="84"/>
  <c r="P313" i="84" s="1"/>
  <c r="Q309" i="84"/>
  <c r="Q313" i="84" s="1"/>
  <c r="R309" i="84"/>
  <c r="R313" i="84" s="1"/>
  <c r="S309" i="84"/>
  <c r="S313" i="84" s="1"/>
  <c r="T309" i="84"/>
  <c r="T313" i="84" s="1"/>
  <c r="U309" i="84"/>
  <c r="U313" i="84" s="1"/>
  <c r="V309" i="84"/>
  <c r="V314" i="84" s="1"/>
  <c r="W309" i="84"/>
  <c r="W313" i="84" s="1"/>
  <c r="X309" i="84"/>
  <c r="X313" i="84" s="1"/>
  <c r="Y309" i="84"/>
  <c r="Y313" i="84" s="1"/>
  <c r="Z309" i="84"/>
  <c r="Z314" i="84" s="1"/>
  <c r="AA309" i="84"/>
  <c r="AA313" i="84" s="1"/>
  <c r="AB309" i="84"/>
  <c r="AB313" i="84" s="1"/>
  <c r="AC309" i="84"/>
  <c r="AC313" i="84" s="1"/>
  <c r="AD309" i="84"/>
  <c r="AD313" i="84" s="1"/>
  <c r="AE309" i="84"/>
  <c r="AE313" i="84" s="1"/>
  <c r="AF309" i="84"/>
  <c r="AF313" i="84" s="1"/>
  <c r="AG309" i="84"/>
  <c r="AG313" i="84" s="1"/>
  <c r="AH309" i="84"/>
  <c r="AH313" i="84" s="1"/>
  <c r="AI309" i="84"/>
  <c r="AI313" i="84" s="1"/>
  <c r="AJ309" i="84"/>
  <c r="AJ313" i="84" s="1"/>
  <c r="AK309" i="84"/>
  <c r="AK313" i="84" s="1"/>
  <c r="AL309" i="84"/>
  <c r="AL313" i="84" s="1"/>
  <c r="AM309" i="84"/>
  <c r="AM313" i="84" s="1"/>
  <c r="AN309" i="84"/>
  <c r="AN313" i="84" s="1"/>
  <c r="AO309" i="84"/>
  <c r="AO313" i="84" s="1"/>
  <c r="AP309" i="84"/>
  <c r="AP313" i="84" s="1"/>
  <c r="AQ309" i="84"/>
  <c r="AQ313" i="84" s="1"/>
  <c r="AR309" i="84"/>
  <c r="AR313" i="84" s="1"/>
  <c r="AS309" i="84"/>
  <c r="AS313" i="84" s="1"/>
  <c r="AT309" i="84"/>
  <c r="AT313" i="84" s="1"/>
  <c r="AU309" i="84"/>
  <c r="AU314" i="84" s="1"/>
  <c r="AV309" i="84"/>
  <c r="AV313" i="84" s="1"/>
  <c r="AW309" i="84"/>
  <c r="AW313" i="84" s="1"/>
  <c r="AX309" i="84"/>
  <c r="AX313" i="84" s="1"/>
  <c r="AY309" i="84"/>
  <c r="AY313" i="84" s="1"/>
  <c r="AZ309" i="84"/>
  <c r="AZ313" i="84" s="1"/>
  <c r="BA309" i="84"/>
  <c r="BA313" i="84" s="1"/>
  <c r="BB309" i="84"/>
  <c r="BB313" i="84" s="1"/>
  <c r="BC309" i="84"/>
  <c r="BC313" i="84" s="1"/>
  <c r="BD309" i="84"/>
  <c r="BD313" i="84" s="1"/>
  <c r="BE309" i="84"/>
  <c r="BE313" i="84" s="1"/>
  <c r="BF309" i="84"/>
  <c r="BF313" i="84" s="1"/>
  <c r="BG309" i="84"/>
  <c r="BG313" i="84" s="1"/>
  <c r="BH309" i="84"/>
  <c r="BH313" i="84" s="1"/>
  <c r="BI309" i="84"/>
  <c r="BI313" i="84" s="1"/>
  <c r="BJ309" i="84"/>
  <c r="BJ313" i="84" s="1"/>
  <c r="BK309" i="84"/>
  <c r="BK313" i="84" s="1"/>
  <c r="BL309" i="84"/>
  <c r="BL313" i="84" s="1"/>
  <c r="BM309" i="84"/>
  <c r="BM313" i="84" s="1"/>
  <c r="BN309" i="84"/>
  <c r="BN313" i="84" s="1"/>
  <c r="BO309" i="84"/>
  <c r="BO313" i="84" s="1"/>
  <c r="BP309" i="84"/>
  <c r="BP313" i="84" s="1"/>
  <c r="BQ309" i="84"/>
  <c r="BQ313" i="84" s="1"/>
  <c r="BR309" i="84"/>
  <c r="BR313" i="84" s="1"/>
  <c r="D309" i="84"/>
  <c r="D313" i="84" s="1"/>
  <c r="D26" i="91"/>
  <c r="D25" i="91"/>
  <c r="D22" i="91"/>
  <c r="D19" i="91"/>
  <c r="D15" i="91" l="1"/>
  <c r="D16" i="91"/>
  <c r="D14" i="91"/>
  <c r="E146" i="28" l="1"/>
  <c r="E147" i="28"/>
  <c r="M13" i="88"/>
  <c r="D33" i="91" l="1"/>
  <c r="D24" i="91"/>
  <c r="D23" i="91"/>
  <c r="D35" i="91" l="1"/>
  <c r="L239" i="28" l="1"/>
  <c r="L240" i="28"/>
  <c r="C220" i="28" l="1"/>
  <c r="E230" i="28"/>
  <c r="E229" i="28"/>
  <c r="G86" i="1" l="1"/>
  <c r="C109" i="72" l="1"/>
  <c r="E331" i="82" l="1"/>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CT331" i="82"/>
  <c r="CU331" i="82"/>
  <c r="CV331" i="82"/>
  <c r="CW331" i="82"/>
  <c r="CX331" i="82"/>
  <c r="CY331" i="82"/>
  <c r="CZ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CT332" i="82"/>
  <c r="CU332" i="82"/>
  <c r="CV332" i="82"/>
  <c r="CW332" i="82"/>
  <c r="CX332" i="82"/>
  <c r="CY332" i="82"/>
  <c r="CZ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CT333" i="82"/>
  <c r="CU333" i="82"/>
  <c r="CV333" i="82"/>
  <c r="CW333" i="82"/>
  <c r="CX333" i="82"/>
  <c r="CY333" i="82"/>
  <c r="CZ333" i="82"/>
  <c r="D333" i="82"/>
  <c r="D332" i="82"/>
  <c r="D331"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CT318" i="82"/>
  <c r="CU318" i="82"/>
  <c r="CV318" i="82"/>
  <c r="CW318" i="82"/>
  <c r="CX318" i="82"/>
  <c r="CY318" i="82"/>
  <c r="CZ318" i="82"/>
  <c r="D318"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CE314" i="82"/>
  <c r="CF314" i="82"/>
  <c r="CG314" i="82"/>
  <c r="CH314" i="82"/>
  <c r="CI314" i="82"/>
  <c r="CJ314" i="82"/>
  <c r="CK314" i="82"/>
  <c r="CL314" i="82"/>
  <c r="CM314" i="82"/>
  <c r="CN314" i="82"/>
  <c r="CO314" i="82"/>
  <c r="CP314" i="82"/>
  <c r="CQ314" i="82"/>
  <c r="CR314" i="82"/>
  <c r="CS314" i="82"/>
  <c r="CT314" i="82"/>
  <c r="CU314" i="82"/>
  <c r="CV314" i="82"/>
  <c r="CW314" i="82"/>
  <c r="CX314" i="82"/>
  <c r="CY314" i="82"/>
  <c r="CZ314" i="82"/>
  <c r="D314" i="82"/>
  <c r="CL305" i="82"/>
  <c r="CM305" i="82"/>
  <c r="CN305" i="82"/>
  <c r="CO305" i="82"/>
  <c r="CP305" i="82"/>
  <c r="CQ305" i="82"/>
  <c r="CR305" i="82"/>
  <c r="CS305" i="82"/>
  <c r="CT305" i="82"/>
  <c r="CU305" i="82"/>
  <c r="CV305" i="82"/>
  <c r="CW305" i="82"/>
  <c r="CX305" i="82"/>
  <c r="CY305" i="82"/>
  <c r="CZ305" i="82"/>
  <c r="CL306" i="82"/>
  <c r="CM306" i="82"/>
  <c r="CN306" i="82"/>
  <c r="CO306" i="82"/>
  <c r="CP306" i="82"/>
  <c r="CQ306" i="82"/>
  <c r="CR306" i="82"/>
  <c r="CS306" i="82"/>
  <c r="CT306" i="82"/>
  <c r="CU306" i="82"/>
  <c r="CV306" i="82"/>
  <c r="CW306" i="82"/>
  <c r="CX306" i="82"/>
  <c r="CY306" i="82"/>
  <c r="CZ306" i="82"/>
  <c r="E21" i="1"/>
  <c r="E14" i="1"/>
  <c r="E11" i="1"/>
  <c r="D322" i="82" l="1"/>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CT321" i="82"/>
  <c r="CU321" i="82"/>
  <c r="CV321" i="82"/>
  <c r="CW321" i="82"/>
  <c r="CX321" i="82"/>
  <c r="CY321" i="82"/>
  <c r="CZ321" i="82"/>
  <c r="D321" i="82"/>
  <c r="CI322" i="82"/>
  <c r="CJ322" i="82"/>
  <c r="CK322" i="82"/>
  <c r="CL322" i="82"/>
  <c r="CM322" i="82"/>
  <c r="CN322" i="82"/>
  <c r="CO322" i="82"/>
  <c r="CP322" i="82"/>
  <c r="CQ322" i="82"/>
  <c r="CR322" i="82"/>
  <c r="CS322" i="82"/>
  <c r="CT322" i="82"/>
  <c r="CU322" i="82"/>
  <c r="CV322" i="82"/>
  <c r="CW322" i="82"/>
  <c r="CX322" i="82"/>
  <c r="CY322" i="82"/>
  <c r="CZ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CT323" i="82"/>
  <c r="CU323" i="82"/>
  <c r="CV323" i="82"/>
  <c r="CW323" i="82"/>
  <c r="CX323" i="82"/>
  <c r="CY323" i="82"/>
  <c r="CZ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CT324" i="82"/>
  <c r="CU324" i="82"/>
  <c r="CV324" i="82"/>
  <c r="CW324" i="82"/>
  <c r="CX324" i="82"/>
  <c r="CY324" i="82"/>
  <c r="CZ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CT325" i="82"/>
  <c r="CU325" i="82"/>
  <c r="CV325" i="82"/>
  <c r="CW325" i="82"/>
  <c r="CX325" i="82"/>
  <c r="CY325" i="82"/>
  <c r="CZ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CT326" i="82"/>
  <c r="CU326" i="82"/>
  <c r="CV326" i="82"/>
  <c r="CW326" i="82"/>
  <c r="CX326" i="82"/>
  <c r="CY326" i="82"/>
  <c r="CZ326" i="82"/>
  <c r="D323" i="82"/>
  <c r="D324" i="82"/>
  <c r="D325" i="82"/>
  <c r="D326"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L320" i="82"/>
  <c r="CM320" i="82"/>
  <c r="CN320" i="82"/>
  <c r="CO320" i="82"/>
  <c r="CP320" i="82"/>
  <c r="CQ320" i="82"/>
  <c r="CR320" i="82"/>
  <c r="CS320" i="82"/>
  <c r="CT320" i="82"/>
  <c r="CU320" i="82"/>
  <c r="CV320" i="82"/>
  <c r="CW320" i="82"/>
  <c r="CX320" i="82"/>
  <c r="CY320" i="82"/>
  <c r="CZ320" i="82"/>
  <c r="D320" i="82"/>
  <c r="E310" i="82"/>
  <c r="F310" i="82"/>
  <c r="G310" i="82"/>
  <c r="H310" i="82"/>
  <c r="I310" i="82"/>
  <c r="J310" i="82"/>
  <c r="K310" i="82"/>
  <c r="L310" i="82"/>
  <c r="M310" i="82"/>
  <c r="N310" i="82"/>
  <c r="O310" i="82"/>
  <c r="P310" i="82"/>
  <c r="Q310" i="82"/>
  <c r="R310" i="82"/>
  <c r="S310" i="82"/>
  <c r="T310" i="82"/>
  <c r="U310" i="82"/>
  <c r="V310" i="82"/>
  <c r="W310" i="82"/>
  <c r="X310" i="82"/>
  <c r="Y310" i="82"/>
  <c r="Z310" i="82"/>
  <c r="AA310" i="82"/>
  <c r="AB310" i="82"/>
  <c r="AC310" i="82"/>
  <c r="AD310" i="82"/>
  <c r="AE310" i="82"/>
  <c r="AF310" i="82"/>
  <c r="AG310" i="82"/>
  <c r="AH310" i="82"/>
  <c r="AI310" i="82"/>
  <c r="AJ310" i="82"/>
  <c r="AK310" i="82"/>
  <c r="AL310" i="82"/>
  <c r="AM310" i="82"/>
  <c r="AN310" i="82"/>
  <c r="AO310" i="82"/>
  <c r="AP310" i="82"/>
  <c r="AQ310" i="82"/>
  <c r="AR310" i="82"/>
  <c r="AS310" i="82"/>
  <c r="AT310" i="82"/>
  <c r="AU310" i="82"/>
  <c r="AV310" i="82"/>
  <c r="AW310" i="82"/>
  <c r="AX310" i="82"/>
  <c r="AY310" i="82"/>
  <c r="AZ310" i="82"/>
  <c r="BA310" i="82"/>
  <c r="BB310" i="82"/>
  <c r="BC310" i="82"/>
  <c r="BD310" i="82"/>
  <c r="BE310" i="82"/>
  <c r="BF310" i="82"/>
  <c r="BG310" i="82"/>
  <c r="BH310" i="82"/>
  <c r="BI310" i="82"/>
  <c r="BJ310" i="82"/>
  <c r="BK310" i="82"/>
  <c r="BL310" i="82"/>
  <c r="BM310" i="82"/>
  <c r="BN310" i="82"/>
  <c r="BO310" i="82"/>
  <c r="BP310" i="82"/>
  <c r="BQ310" i="82"/>
  <c r="BR310" i="82"/>
  <c r="BS310" i="82"/>
  <c r="BT310" i="82"/>
  <c r="BU310" i="82"/>
  <c r="BV310" i="82"/>
  <c r="BW310" i="82"/>
  <c r="BX310" i="82"/>
  <c r="BY310" i="82"/>
  <c r="BZ310" i="82"/>
  <c r="CA310" i="82"/>
  <c r="CB310" i="82"/>
  <c r="CC310" i="82"/>
  <c r="CD310" i="82"/>
  <c r="CE310" i="82"/>
  <c r="CF310" i="82"/>
  <c r="CG310" i="82"/>
  <c r="CH310" i="82"/>
  <c r="CI310" i="82"/>
  <c r="CJ310" i="82"/>
  <c r="CK310" i="82"/>
  <c r="CL310" i="82"/>
  <c r="CM310" i="82"/>
  <c r="CN310" i="82"/>
  <c r="CO310" i="82"/>
  <c r="CP310" i="82"/>
  <c r="CQ310" i="82"/>
  <c r="CR310" i="82"/>
  <c r="CS310" i="82"/>
  <c r="CT310" i="82"/>
  <c r="CU310" i="82"/>
  <c r="CV310" i="82"/>
  <c r="CW310" i="82"/>
  <c r="CX310" i="82"/>
  <c r="CY310" i="82"/>
  <c r="CZ310"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CT311" i="82"/>
  <c r="CU311" i="82"/>
  <c r="CV311" i="82"/>
  <c r="CW311" i="82"/>
  <c r="CX311" i="82"/>
  <c r="CY311" i="82"/>
  <c r="CZ311" i="82"/>
  <c r="E312" i="82"/>
  <c r="F312" i="82"/>
  <c r="G312" i="82"/>
  <c r="H312" i="82"/>
  <c r="I312" i="82"/>
  <c r="J312" i="82"/>
  <c r="K312" i="82"/>
  <c r="L312" i="82"/>
  <c r="M312" i="82"/>
  <c r="N312" i="82"/>
  <c r="O312" i="82"/>
  <c r="P312" i="82"/>
  <c r="Q312" i="82"/>
  <c r="R312" i="82"/>
  <c r="S312" i="82"/>
  <c r="T312" i="82"/>
  <c r="U312" i="82"/>
  <c r="V312" i="82"/>
  <c r="W312" i="82"/>
  <c r="X312" i="82"/>
  <c r="Y312" i="82"/>
  <c r="Z312" i="82"/>
  <c r="AA312" i="82"/>
  <c r="AB312" i="82"/>
  <c r="AC312" i="82"/>
  <c r="AD312" i="82"/>
  <c r="AE312" i="82"/>
  <c r="AF312" i="82"/>
  <c r="AG312" i="82"/>
  <c r="AH312" i="82"/>
  <c r="AI312" i="82"/>
  <c r="AJ312" i="82"/>
  <c r="AK312" i="82"/>
  <c r="AL312" i="82"/>
  <c r="AM312" i="82"/>
  <c r="AN312" i="82"/>
  <c r="AO312" i="82"/>
  <c r="AP312" i="82"/>
  <c r="AQ312" i="82"/>
  <c r="AR312" i="82"/>
  <c r="AS312" i="82"/>
  <c r="AT312" i="82"/>
  <c r="AU312" i="82"/>
  <c r="AV312" i="82"/>
  <c r="AW312" i="82"/>
  <c r="AX312" i="82"/>
  <c r="AY312" i="82"/>
  <c r="AZ312" i="82"/>
  <c r="BA312" i="82"/>
  <c r="BB312" i="82"/>
  <c r="BC312" i="82"/>
  <c r="BD312" i="82"/>
  <c r="BE312" i="82"/>
  <c r="BF312" i="82"/>
  <c r="BG312" i="82"/>
  <c r="BH312" i="82"/>
  <c r="BI312" i="82"/>
  <c r="BJ312" i="82"/>
  <c r="BK312" i="82"/>
  <c r="BL312" i="82"/>
  <c r="BM312" i="82"/>
  <c r="BN312" i="82"/>
  <c r="BO312" i="82"/>
  <c r="BP312" i="82"/>
  <c r="BQ312" i="82"/>
  <c r="BR312" i="82"/>
  <c r="BS312" i="82"/>
  <c r="BT312" i="82"/>
  <c r="BU312" i="82"/>
  <c r="BV312" i="82"/>
  <c r="BW312" i="82"/>
  <c r="BX312" i="82"/>
  <c r="BY312" i="82"/>
  <c r="BZ312" i="82"/>
  <c r="CA312" i="82"/>
  <c r="CB312" i="82"/>
  <c r="CC312" i="82"/>
  <c r="CD312" i="82"/>
  <c r="CE312" i="82"/>
  <c r="CF312" i="82"/>
  <c r="CG312" i="82"/>
  <c r="CH312" i="82"/>
  <c r="CI312" i="82"/>
  <c r="CJ312" i="82"/>
  <c r="CK312" i="82"/>
  <c r="CL312" i="82"/>
  <c r="CM312" i="82"/>
  <c r="CN312" i="82"/>
  <c r="CO312" i="82"/>
  <c r="CP312" i="82"/>
  <c r="CQ312" i="82"/>
  <c r="CR312" i="82"/>
  <c r="CS312" i="82"/>
  <c r="CT312" i="82"/>
  <c r="CU312" i="82"/>
  <c r="CV312" i="82"/>
  <c r="CW312" i="82"/>
  <c r="CX312" i="82"/>
  <c r="CY312" i="82"/>
  <c r="CZ312"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AT313" i="82"/>
  <c r="AU313" i="82"/>
  <c r="AV313" i="82"/>
  <c r="AW313" i="82"/>
  <c r="AX313" i="82"/>
  <c r="AY313" i="82"/>
  <c r="AZ313" i="82"/>
  <c r="BA313" i="82"/>
  <c r="BB313" i="82"/>
  <c r="BC313" i="82"/>
  <c r="BD313" i="82"/>
  <c r="BE313" i="82"/>
  <c r="BF313" i="82"/>
  <c r="BG313" i="82"/>
  <c r="BH313" i="82"/>
  <c r="BI313" i="82"/>
  <c r="BJ313" i="82"/>
  <c r="BK313" i="82"/>
  <c r="BL313" i="82"/>
  <c r="BM313" i="82"/>
  <c r="BN313" i="82"/>
  <c r="BO313" i="82"/>
  <c r="BP313" i="82"/>
  <c r="BQ313" i="82"/>
  <c r="BR313" i="82"/>
  <c r="BS313" i="82"/>
  <c r="BT313" i="82"/>
  <c r="BU313" i="82"/>
  <c r="BV313" i="82"/>
  <c r="BW313" i="82"/>
  <c r="BX313" i="82"/>
  <c r="BY313" i="82"/>
  <c r="BZ313" i="82"/>
  <c r="CA313" i="82"/>
  <c r="CB313" i="82"/>
  <c r="CC313" i="82"/>
  <c r="CD313" i="82"/>
  <c r="CE313" i="82"/>
  <c r="CF313" i="82"/>
  <c r="CG313" i="82"/>
  <c r="CH313" i="82"/>
  <c r="CI313" i="82"/>
  <c r="CJ313" i="82"/>
  <c r="CK313" i="82"/>
  <c r="CL313" i="82"/>
  <c r="CM313" i="82"/>
  <c r="CN313" i="82"/>
  <c r="CO313" i="82"/>
  <c r="CP313" i="82"/>
  <c r="CQ313" i="82"/>
  <c r="CR313" i="82"/>
  <c r="CS313" i="82"/>
  <c r="CT313" i="82"/>
  <c r="CU313" i="82"/>
  <c r="CV313" i="82"/>
  <c r="CW313" i="82"/>
  <c r="CX313" i="82"/>
  <c r="CY313" i="82"/>
  <c r="CZ313" i="82"/>
  <c r="D311" i="82"/>
  <c r="D312" i="82"/>
  <c r="D313" i="82"/>
  <c r="D310" i="82"/>
  <c r="E264" i="1"/>
  <c r="E261" i="1"/>
  <c r="E260" i="1"/>
  <c r="E255" i="1"/>
  <c r="E256" i="1"/>
  <c r="E257" i="1"/>
  <c r="E258" i="1"/>
  <c r="E259" i="1"/>
  <c r="E254" i="1"/>
  <c r="E251" i="1"/>
  <c r="E249" i="1"/>
  <c r="E247" i="1"/>
  <c r="E245" i="1"/>
  <c r="E243" i="1"/>
  <c r="E244" i="1"/>
  <c r="E242" i="1"/>
  <c r="E238" i="1"/>
  <c r="E235" i="1"/>
  <c r="E233" i="1"/>
  <c r="E234" i="1"/>
  <c r="E232" i="1"/>
  <c r="E231" i="1"/>
  <c r="E229" i="1"/>
  <c r="E227" i="1"/>
  <c r="E228" i="1"/>
  <c r="E226" i="1"/>
  <c r="E223" i="1"/>
  <c r="E221" i="1"/>
  <c r="E219" i="1"/>
  <c r="E220" i="1"/>
  <c r="E218" i="1"/>
  <c r="E215" i="1"/>
  <c r="E216" i="1"/>
  <c r="E214" i="1"/>
  <c r="E209" i="1"/>
  <c r="E207" i="1"/>
  <c r="E208" i="1"/>
  <c r="E206" i="1"/>
  <c r="E203" i="1"/>
  <c r="E201" i="1"/>
  <c r="E202" i="1"/>
  <c r="E200" i="1"/>
  <c r="E197" i="1"/>
  <c r="E195" i="1"/>
  <c r="E196" i="1"/>
  <c r="E194" i="1"/>
  <c r="E190" i="1"/>
  <c r="E189" i="1"/>
  <c r="E181" i="1"/>
  <c r="E182" i="1"/>
  <c r="E183" i="1"/>
  <c r="E184" i="1"/>
  <c r="E185" i="1"/>
  <c r="E173" i="1"/>
  <c r="E175" i="1"/>
  <c r="E177" i="1"/>
  <c r="E168" i="1"/>
  <c r="E169" i="1"/>
  <c r="E170" i="1"/>
  <c r="E171" i="1"/>
  <c r="E165" i="1"/>
  <c r="E166" i="1"/>
  <c r="E162" i="1"/>
  <c r="E164" i="1"/>
  <c r="E160" i="1"/>
  <c r="E161" i="1"/>
  <c r="E155" i="1"/>
  <c r="E151" i="1"/>
  <c r="E152" i="1"/>
  <c r="E153" i="1"/>
  <c r="E154" i="1"/>
  <c r="E147" i="1"/>
  <c r="E148" i="1"/>
  <c r="E149" i="1"/>
  <c r="E150" i="1"/>
  <c r="E143" i="1"/>
  <c r="E144" i="1"/>
  <c r="E145" i="1"/>
  <c r="E146" i="1"/>
  <c r="E139" i="1"/>
  <c r="E140" i="1"/>
  <c r="E142" i="1"/>
  <c r="E136" i="1"/>
  <c r="E137" i="1"/>
  <c r="E138" i="1"/>
  <c r="E132" i="1"/>
  <c r="E133" i="1"/>
  <c r="E134" i="1"/>
  <c r="E135" i="1"/>
  <c r="E128" i="1"/>
  <c r="E129" i="1"/>
  <c r="E130" i="1"/>
  <c r="E131" i="1"/>
  <c r="E125" i="1"/>
  <c r="E126" i="1"/>
  <c r="E127" i="1"/>
  <c r="E120" i="1"/>
  <c r="E121" i="1"/>
  <c r="E122" i="1"/>
  <c r="H155" i="1" s="1"/>
  <c r="I155" i="1" s="1"/>
  <c r="E117" i="1"/>
  <c r="E118" i="1"/>
  <c r="E119" i="1"/>
  <c r="E114" i="1"/>
  <c r="E115" i="1"/>
  <c r="E116" i="1"/>
  <c r="E109" i="1"/>
  <c r="E110" i="1"/>
  <c r="E111" i="1"/>
  <c r="E112" i="1"/>
  <c r="E113" i="1"/>
  <c r="E105" i="1"/>
  <c r="E106" i="1"/>
  <c r="E107" i="1"/>
  <c r="E108" i="1"/>
  <c r="E100" i="1"/>
  <c r="E101" i="1"/>
  <c r="E102" i="1"/>
  <c r="E103" i="1"/>
  <c r="E97" i="1"/>
  <c r="E98" i="1"/>
  <c r="E99" i="1"/>
  <c r="E94" i="1"/>
  <c r="E95" i="1"/>
  <c r="E96" i="1"/>
  <c r="E91" i="1"/>
  <c r="E92" i="1"/>
  <c r="E93" i="1"/>
  <c r="E86" i="1"/>
  <c r="E87" i="1"/>
  <c r="E88" i="1"/>
  <c r="E89" i="1"/>
  <c r="E90" i="1"/>
  <c r="E81" i="1"/>
  <c r="E85" i="1"/>
  <c r="E79" i="1"/>
  <c r="E78" i="1"/>
  <c r="E75" i="1"/>
  <c r="E76" i="1"/>
  <c r="E69" i="1"/>
  <c r="E70" i="1"/>
  <c r="E71" i="1"/>
  <c r="E72" i="1"/>
  <c r="E73" i="1"/>
  <c r="E74" i="1"/>
  <c r="E64" i="1"/>
  <c r="E65" i="1"/>
  <c r="E66" i="1"/>
  <c r="E67" i="1"/>
  <c r="E68" i="1"/>
  <c r="E59" i="1"/>
  <c r="E60" i="1"/>
  <c r="E61" i="1"/>
  <c r="E63" i="1"/>
  <c r="E54" i="1"/>
  <c r="E55" i="1"/>
  <c r="E56" i="1"/>
  <c r="E57" i="1"/>
  <c r="E58" i="1"/>
  <c r="E51" i="1"/>
  <c r="E52" i="1"/>
  <c r="E53" i="1"/>
  <c r="E46" i="1"/>
  <c r="E47" i="1"/>
  <c r="E48" i="1"/>
  <c r="E49" i="1"/>
  <c r="E50" i="1"/>
  <c r="E43" i="1"/>
  <c r="E44" i="1"/>
  <c r="E39" i="1"/>
  <c r="E40" i="1"/>
  <c r="E41" i="1"/>
  <c r="E32" i="1"/>
  <c r="E33" i="1"/>
  <c r="E34" i="1"/>
  <c r="E35" i="1"/>
  <c r="E36" i="1"/>
  <c r="E37" i="1"/>
  <c r="E38" i="1"/>
  <c r="E31" i="1"/>
  <c r="E30" i="1"/>
  <c r="E27" i="1"/>
  <c r="E28" i="1"/>
  <c r="E10" i="1"/>
  <c r="E12" i="1"/>
  <c r="E13" i="1"/>
  <c r="E15" i="1"/>
  <c r="E16" i="1"/>
  <c r="E17" i="1"/>
  <c r="E18" i="1"/>
  <c r="E19" i="1"/>
  <c r="E20" i="1"/>
  <c r="E22" i="1"/>
  <c r="E23" i="1"/>
  <c r="E24" i="1"/>
  <c r="E25" i="1"/>
  <c r="E9" i="1"/>
  <c r="CL285" i="82"/>
  <c r="CM285" i="82"/>
  <c r="CN285" i="82"/>
  <c r="CO285" i="82"/>
  <c r="CP285" i="82"/>
  <c r="CQ285" i="82"/>
  <c r="CR285" i="82"/>
  <c r="CS285" i="82"/>
  <c r="CT285" i="82"/>
  <c r="CU285" i="82"/>
  <c r="CV285" i="82"/>
  <c r="CW285" i="82"/>
  <c r="CX285" i="82"/>
  <c r="CY285" i="82"/>
  <c r="CZ285" i="82"/>
  <c r="CL286" i="82"/>
  <c r="CM286" i="82"/>
  <c r="CN286" i="82"/>
  <c r="CO286" i="82"/>
  <c r="CP286" i="82"/>
  <c r="CQ286" i="82"/>
  <c r="CR286" i="82"/>
  <c r="CS286" i="82"/>
  <c r="CT286" i="82"/>
  <c r="CU286" i="82"/>
  <c r="CV286" i="82"/>
  <c r="CW286" i="82"/>
  <c r="CX286" i="82"/>
  <c r="CY286" i="82"/>
  <c r="CZ286" i="82"/>
  <c r="CL287" i="82"/>
  <c r="CM287" i="82"/>
  <c r="CN287" i="82"/>
  <c r="CO287" i="82"/>
  <c r="CP287" i="82"/>
  <c r="CQ287" i="82"/>
  <c r="CR287" i="82"/>
  <c r="CS287" i="82"/>
  <c r="CT287" i="82"/>
  <c r="CU287" i="82"/>
  <c r="CV287" i="82"/>
  <c r="CW287" i="82"/>
  <c r="CX287" i="82"/>
  <c r="CY287" i="82"/>
  <c r="CZ287" i="82"/>
  <c r="CL288" i="82"/>
  <c r="CM288" i="82"/>
  <c r="CN288" i="82"/>
  <c r="CO288" i="82"/>
  <c r="CP288" i="82"/>
  <c r="CQ288" i="82"/>
  <c r="CR288" i="82"/>
  <c r="CS288" i="82"/>
  <c r="CT288" i="82"/>
  <c r="CU288" i="82"/>
  <c r="CV288" i="82"/>
  <c r="CW288" i="82"/>
  <c r="CX288" i="82"/>
  <c r="CY288" i="82"/>
  <c r="CZ288" i="82"/>
  <c r="CL289" i="82"/>
  <c r="CM289" i="82"/>
  <c r="CN289" i="82"/>
  <c r="CO289" i="82"/>
  <c r="CP289" i="82"/>
  <c r="CQ289" i="82"/>
  <c r="CR289" i="82"/>
  <c r="CS289" i="82"/>
  <c r="CT289" i="82"/>
  <c r="CU289" i="82"/>
  <c r="CV289" i="82"/>
  <c r="CW289" i="82"/>
  <c r="CX289" i="82"/>
  <c r="CY289" i="82"/>
  <c r="CZ289" i="82"/>
  <c r="CL290" i="82"/>
  <c r="CM290" i="82"/>
  <c r="CN290" i="82"/>
  <c r="CO290" i="82"/>
  <c r="CP290" i="82"/>
  <c r="CQ290" i="82"/>
  <c r="CR290" i="82"/>
  <c r="CS290" i="82"/>
  <c r="CT290" i="82"/>
  <c r="CU290" i="82"/>
  <c r="CV290" i="82"/>
  <c r="CW290" i="82"/>
  <c r="CX290" i="82"/>
  <c r="CY290" i="82"/>
  <c r="CZ290" i="82"/>
  <c r="CL291" i="82"/>
  <c r="CM291" i="82"/>
  <c r="CN291" i="82"/>
  <c r="CO291" i="82"/>
  <c r="CP291" i="82"/>
  <c r="CQ291" i="82"/>
  <c r="CR291" i="82"/>
  <c r="CS291" i="82"/>
  <c r="CT291" i="82"/>
  <c r="CU291" i="82"/>
  <c r="CV291" i="82"/>
  <c r="CW291" i="82"/>
  <c r="CX291" i="82"/>
  <c r="CY291" i="82"/>
  <c r="CZ291" i="82"/>
  <c r="CL292" i="82"/>
  <c r="CM292" i="82"/>
  <c r="CN292" i="82"/>
  <c r="CO292" i="82"/>
  <c r="CP292" i="82"/>
  <c r="CQ292" i="82"/>
  <c r="CR292" i="82"/>
  <c r="CS292" i="82"/>
  <c r="CT292" i="82"/>
  <c r="CU292" i="82"/>
  <c r="CV292" i="82"/>
  <c r="CW292" i="82"/>
  <c r="CX292" i="82"/>
  <c r="CY292" i="82"/>
  <c r="CZ292" i="82"/>
  <c r="CL293" i="82"/>
  <c r="CM293" i="82"/>
  <c r="CN293" i="82"/>
  <c r="CO293" i="82"/>
  <c r="CP293" i="82"/>
  <c r="CQ293" i="82"/>
  <c r="CR293" i="82"/>
  <c r="CS293" i="82"/>
  <c r="CT293" i="82"/>
  <c r="CU293" i="82"/>
  <c r="CV293" i="82"/>
  <c r="CW293" i="82"/>
  <c r="CX293" i="82"/>
  <c r="CY293" i="82"/>
  <c r="CZ293" i="82"/>
  <c r="CL294" i="82"/>
  <c r="CM294" i="82"/>
  <c r="CN294" i="82"/>
  <c r="CO294" i="82"/>
  <c r="CP294" i="82"/>
  <c r="CQ294" i="82"/>
  <c r="CR294" i="82"/>
  <c r="CS294" i="82"/>
  <c r="CT294" i="82"/>
  <c r="CU294" i="82"/>
  <c r="CV294" i="82"/>
  <c r="CW294" i="82"/>
  <c r="CX294" i="82"/>
  <c r="CY294" i="82"/>
  <c r="CZ294" i="82"/>
  <c r="CL295" i="82"/>
  <c r="CM295" i="82"/>
  <c r="CN295" i="82"/>
  <c r="CO295" i="82"/>
  <c r="CP295" i="82"/>
  <c r="CQ295" i="82"/>
  <c r="CR295" i="82"/>
  <c r="CS295" i="82"/>
  <c r="CT295" i="82"/>
  <c r="CU295" i="82"/>
  <c r="CV295" i="82"/>
  <c r="CW295" i="82"/>
  <c r="CX295" i="82"/>
  <c r="CY295" i="82"/>
  <c r="CZ295" i="82"/>
  <c r="CL296" i="82"/>
  <c r="CM296" i="82"/>
  <c r="CN296" i="82"/>
  <c r="CO296" i="82"/>
  <c r="CP296" i="82"/>
  <c r="CQ296" i="82"/>
  <c r="CR296" i="82"/>
  <c r="CS296" i="82"/>
  <c r="CT296" i="82"/>
  <c r="CU296" i="82"/>
  <c r="CV296" i="82"/>
  <c r="CW296" i="82"/>
  <c r="CX296" i="82"/>
  <c r="CY296" i="82"/>
  <c r="CZ296" i="82"/>
  <c r="CL297" i="82"/>
  <c r="CM297" i="82"/>
  <c r="CN297" i="82"/>
  <c r="CO297" i="82"/>
  <c r="CP297" i="82"/>
  <c r="CQ297" i="82"/>
  <c r="CR297" i="82"/>
  <c r="CS297" i="82"/>
  <c r="CT297" i="82"/>
  <c r="CU297" i="82"/>
  <c r="CV297" i="82"/>
  <c r="CW297" i="82"/>
  <c r="CX297" i="82"/>
  <c r="CY297" i="82"/>
  <c r="CZ297" i="82"/>
  <c r="CL298" i="82"/>
  <c r="CM298" i="82"/>
  <c r="CN298" i="82"/>
  <c r="CO298" i="82"/>
  <c r="CP298" i="82"/>
  <c r="CQ298" i="82"/>
  <c r="CR298" i="82"/>
  <c r="CS298" i="82"/>
  <c r="CT298" i="82"/>
  <c r="CU298" i="82"/>
  <c r="CV298" i="82"/>
  <c r="CW298" i="82"/>
  <c r="CX298" i="82"/>
  <c r="CY298" i="82"/>
  <c r="CZ298" i="82"/>
  <c r="CL299" i="82"/>
  <c r="CM299" i="82"/>
  <c r="CN299" i="82"/>
  <c r="CO299" i="82"/>
  <c r="CP299" i="82"/>
  <c r="CQ299" i="82"/>
  <c r="CR299" i="82"/>
  <c r="CS299" i="82"/>
  <c r="CT299" i="82"/>
  <c r="CU299" i="82"/>
  <c r="CV299" i="82"/>
  <c r="CW299" i="82"/>
  <c r="CX299" i="82"/>
  <c r="CY299" i="82"/>
  <c r="CZ299" i="82"/>
  <c r="CL300" i="82"/>
  <c r="CM300" i="82"/>
  <c r="CN300" i="82"/>
  <c r="CO300" i="82"/>
  <c r="CP300" i="82"/>
  <c r="CQ300" i="82"/>
  <c r="CR300" i="82"/>
  <c r="CS300" i="82"/>
  <c r="CT300" i="82"/>
  <c r="CU300" i="82"/>
  <c r="CV300" i="82"/>
  <c r="CW300" i="82"/>
  <c r="CX300" i="82"/>
  <c r="CY300" i="82"/>
  <c r="CZ300" i="82"/>
  <c r="CL301" i="82"/>
  <c r="CM301" i="82"/>
  <c r="CN301" i="82"/>
  <c r="CO301" i="82"/>
  <c r="CP301" i="82"/>
  <c r="CQ301" i="82"/>
  <c r="CR301" i="82"/>
  <c r="CS301" i="82"/>
  <c r="CT301" i="82"/>
  <c r="CU301" i="82"/>
  <c r="CV301" i="82"/>
  <c r="CW301" i="82"/>
  <c r="CX301" i="82"/>
  <c r="CY301" i="82"/>
  <c r="CZ301" i="82"/>
  <c r="CL302" i="82"/>
  <c r="CM302" i="82"/>
  <c r="CN302" i="82"/>
  <c r="CO302" i="82"/>
  <c r="CP302" i="82"/>
  <c r="CQ302" i="82"/>
  <c r="CR302" i="82"/>
  <c r="CS302" i="82"/>
  <c r="CT302" i="82"/>
  <c r="CU302" i="82"/>
  <c r="CV302" i="82"/>
  <c r="CW302" i="82"/>
  <c r="CX302" i="82"/>
  <c r="CY302" i="82"/>
  <c r="CZ302" i="82"/>
  <c r="CL303" i="82"/>
  <c r="CM303" i="82"/>
  <c r="CN303" i="82"/>
  <c r="CO303" i="82"/>
  <c r="CP303" i="82"/>
  <c r="CQ303" i="82"/>
  <c r="CR303" i="82"/>
  <c r="CS303" i="82"/>
  <c r="CT303" i="82"/>
  <c r="CU303" i="82"/>
  <c r="CV303" i="82"/>
  <c r="CW303" i="82"/>
  <c r="CX303" i="82"/>
  <c r="CY303" i="82"/>
  <c r="CZ303" i="82"/>
  <c r="CL304" i="82"/>
  <c r="CM304" i="82"/>
  <c r="CN304" i="82"/>
  <c r="CO304" i="82"/>
  <c r="CP304" i="82"/>
  <c r="CQ304" i="82"/>
  <c r="CR304" i="82"/>
  <c r="CS304" i="82"/>
  <c r="CT304" i="82"/>
  <c r="CU304" i="82"/>
  <c r="CV304" i="82"/>
  <c r="CW304" i="82"/>
  <c r="CX304" i="82"/>
  <c r="CY304" i="82"/>
  <c r="CZ304" i="82"/>
  <c r="CL307" i="82"/>
  <c r="CM307" i="82"/>
  <c r="CN307" i="82"/>
  <c r="CO307" i="82"/>
  <c r="CP307" i="82"/>
  <c r="CQ307" i="82"/>
  <c r="CR307" i="82"/>
  <c r="CS307" i="82"/>
  <c r="CT307" i="82"/>
  <c r="CU307" i="82"/>
  <c r="CV307" i="82"/>
  <c r="CW307" i="82"/>
  <c r="CX307" i="82"/>
  <c r="CY307" i="82"/>
  <c r="CZ307" i="82"/>
  <c r="CL308" i="82"/>
  <c r="CM308" i="82"/>
  <c r="CN308" i="82"/>
  <c r="CO308" i="82"/>
  <c r="CP308" i="82"/>
  <c r="CQ308" i="82"/>
  <c r="CR308" i="82"/>
  <c r="CS308" i="82"/>
  <c r="CT308" i="82"/>
  <c r="CU308" i="82"/>
  <c r="CV308" i="82"/>
  <c r="CW308" i="82"/>
  <c r="CX308" i="82"/>
  <c r="CY308" i="82"/>
  <c r="CZ308" i="82"/>
  <c r="E309" i="82"/>
  <c r="F309" i="82"/>
  <c r="G309" i="82"/>
  <c r="H309" i="82"/>
  <c r="I309" i="82"/>
  <c r="J309" i="82"/>
  <c r="K309" i="82"/>
  <c r="L309" i="82"/>
  <c r="M309" i="82"/>
  <c r="N309" i="82"/>
  <c r="O309" i="82"/>
  <c r="P309" i="82"/>
  <c r="Q309" i="82"/>
  <c r="R309" i="82"/>
  <c r="S309" i="82"/>
  <c r="T309" i="82"/>
  <c r="U309" i="82"/>
  <c r="V309" i="82"/>
  <c r="W309" i="82"/>
  <c r="X309" i="82"/>
  <c r="Y309" i="82"/>
  <c r="Z309" i="82"/>
  <c r="AA309" i="82"/>
  <c r="AB309" i="82"/>
  <c r="AC309" i="82"/>
  <c r="AD309" i="82"/>
  <c r="AE309" i="82"/>
  <c r="AF309" i="82"/>
  <c r="AG309" i="82"/>
  <c r="AH309" i="82"/>
  <c r="AI309" i="82"/>
  <c r="AJ309" i="82"/>
  <c r="AK309" i="82"/>
  <c r="AL309" i="82"/>
  <c r="AM309" i="82"/>
  <c r="AN309" i="82"/>
  <c r="AO309" i="82"/>
  <c r="AP309" i="82"/>
  <c r="AQ309" i="82"/>
  <c r="AR309" i="82"/>
  <c r="AS309" i="82"/>
  <c r="AT309" i="82"/>
  <c r="AU309" i="82"/>
  <c r="AV309" i="82"/>
  <c r="AW309" i="82"/>
  <c r="AX309" i="82"/>
  <c r="AY309" i="82"/>
  <c r="AZ309" i="82"/>
  <c r="BA309" i="82"/>
  <c r="BB309" i="82"/>
  <c r="BC309" i="82"/>
  <c r="BD309" i="82"/>
  <c r="BE309" i="82"/>
  <c r="BF309" i="82"/>
  <c r="BG309" i="82"/>
  <c r="BH309" i="82"/>
  <c r="BI309" i="82"/>
  <c r="BJ309" i="82"/>
  <c r="BK309" i="82"/>
  <c r="BL309" i="82"/>
  <c r="BM309" i="82"/>
  <c r="BN309" i="82"/>
  <c r="BO309" i="82"/>
  <c r="BP309" i="82"/>
  <c r="BQ309" i="82"/>
  <c r="BR309" i="82"/>
  <c r="BS309" i="82"/>
  <c r="BT309" i="82"/>
  <c r="BU309" i="82"/>
  <c r="BV309" i="82"/>
  <c r="BW309" i="82"/>
  <c r="BX309" i="82"/>
  <c r="BY309" i="82"/>
  <c r="BZ309" i="82"/>
  <c r="CA309" i="82"/>
  <c r="CB309" i="82"/>
  <c r="CC309" i="82"/>
  <c r="CD309" i="82"/>
  <c r="CE309" i="82"/>
  <c r="CF309" i="82"/>
  <c r="CG309" i="82"/>
  <c r="CH309" i="82"/>
  <c r="CI309" i="82"/>
  <c r="CJ309" i="82"/>
  <c r="CK309" i="82"/>
  <c r="CL309" i="82"/>
  <c r="CM309" i="82"/>
  <c r="CN309" i="82"/>
  <c r="CO309" i="82"/>
  <c r="CP309" i="82"/>
  <c r="CQ309" i="82"/>
  <c r="CR309" i="82"/>
  <c r="CS309" i="82"/>
  <c r="CT309" i="82"/>
  <c r="CU309" i="82"/>
  <c r="CV309" i="82"/>
  <c r="CW309" i="82"/>
  <c r="CX309" i="82"/>
  <c r="CY309" i="82"/>
  <c r="CZ309"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CT315" i="82"/>
  <c r="CU315" i="82"/>
  <c r="CV315" i="82"/>
  <c r="CW315" i="82"/>
  <c r="CX315" i="82"/>
  <c r="CY315" i="82"/>
  <c r="CZ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CE316" i="82"/>
  <c r="CF316" i="82"/>
  <c r="CG316" i="82"/>
  <c r="CH316" i="82"/>
  <c r="CI316" i="82"/>
  <c r="CJ316" i="82"/>
  <c r="CK316" i="82"/>
  <c r="CL316" i="82"/>
  <c r="CM316" i="82"/>
  <c r="CN316" i="82"/>
  <c r="CO316" i="82"/>
  <c r="CP316" i="82"/>
  <c r="CQ316" i="82"/>
  <c r="CR316" i="82"/>
  <c r="CS316" i="82"/>
  <c r="CT316" i="82"/>
  <c r="CU316" i="82"/>
  <c r="CV316" i="82"/>
  <c r="CW316" i="82"/>
  <c r="CX316" i="82"/>
  <c r="CY316" i="82"/>
  <c r="CZ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CE317" i="82"/>
  <c r="CF317" i="82"/>
  <c r="CG317" i="82"/>
  <c r="CH317" i="82"/>
  <c r="CI317" i="82"/>
  <c r="CJ317" i="82"/>
  <c r="CK317" i="82"/>
  <c r="CL317" i="82"/>
  <c r="CM317" i="82"/>
  <c r="CN317" i="82"/>
  <c r="CO317" i="82"/>
  <c r="CP317" i="82"/>
  <c r="CQ317" i="82"/>
  <c r="CR317" i="82"/>
  <c r="CS317" i="82"/>
  <c r="CT317" i="82"/>
  <c r="CU317" i="82"/>
  <c r="CV317" i="82"/>
  <c r="CW317" i="82"/>
  <c r="CX317" i="82"/>
  <c r="CY317" i="82"/>
  <c r="CZ317"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CE319" i="82"/>
  <c r="CF319" i="82"/>
  <c r="CG319" i="82"/>
  <c r="CH319" i="82"/>
  <c r="CI319" i="82"/>
  <c r="CJ319" i="82"/>
  <c r="CK319" i="82"/>
  <c r="CL319" i="82"/>
  <c r="CM319" i="82"/>
  <c r="CN319" i="82"/>
  <c r="CO319" i="82"/>
  <c r="CP319" i="82"/>
  <c r="CQ319" i="82"/>
  <c r="CR319" i="82"/>
  <c r="CS319" i="82"/>
  <c r="CT319" i="82"/>
  <c r="CU319" i="82"/>
  <c r="CV319" i="82"/>
  <c r="CW319" i="82"/>
  <c r="CX319" i="82"/>
  <c r="CY319" i="82"/>
  <c r="CZ319" i="82"/>
  <c r="D309" i="82"/>
  <c r="D319" i="82"/>
  <c r="D317" i="82"/>
  <c r="D316" i="82"/>
  <c r="D315" i="82"/>
  <c r="L327" i="82" l="1"/>
  <c r="CZ327" i="82"/>
  <c r="CR327" i="82"/>
  <c r="CR329" i="82" s="1"/>
  <c r="CR335" i="82" s="1"/>
  <c r="CJ327" i="82"/>
  <c r="CB327" i="82"/>
  <c r="BT327" i="82"/>
  <c r="BT329" i="82" s="1"/>
  <c r="BT335" i="82" s="1"/>
  <c r="BL327" i="82"/>
  <c r="BL329" i="82" s="1"/>
  <c r="BL335" i="82" s="1"/>
  <c r="BD327" i="82"/>
  <c r="BD329" i="82" s="1"/>
  <c r="BD335" i="82" s="1"/>
  <c r="AV327" i="82"/>
  <c r="AV329" i="82" s="1"/>
  <c r="AV335" i="82" s="1"/>
  <c r="AN327" i="82"/>
  <c r="AF327" i="82"/>
  <c r="AF329" i="82" s="1"/>
  <c r="AF335" i="82" s="1"/>
  <c r="X327" i="82"/>
  <c r="P327" i="82"/>
  <c r="H327" i="82"/>
  <c r="H329" i="82" s="1"/>
  <c r="H335" i="82" s="1"/>
  <c r="AM327" i="82"/>
  <c r="AM329" i="82" s="1"/>
  <c r="AM335" i="82" s="1"/>
  <c r="G327" i="82"/>
  <c r="G329" i="82" s="1"/>
  <c r="G335" i="82" s="1"/>
  <c r="CX327" i="82"/>
  <c r="CX329" i="82" s="1"/>
  <c r="CX335" i="82" s="1"/>
  <c r="BZ327" i="82"/>
  <c r="BZ329" i="82" s="1"/>
  <c r="BZ335" i="82" s="1"/>
  <c r="N327" i="82"/>
  <c r="N329" i="82" s="1"/>
  <c r="N335" i="82" s="1"/>
  <c r="CW327" i="82"/>
  <c r="CO327" i="82"/>
  <c r="CO329" i="82" s="1"/>
  <c r="CO335" i="82" s="1"/>
  <c r="CG327" i="82"/>
  <c r="CG329" i="82" s="1"/>
  <c r="CG335" i="82" s="1"/>
  <c r="BY327" i="82"/>
  <c r="BY329" i="82" s="1"/>
  <c r="BY335" i="82" s="1"/>
  <c r="BQ327" i="82"/>
  <c r="BQ329" i="82" s="1"/>
  <c r="BQ335" i="82" s="1"/>
  <c r="BI327" i="82"/>
  <c r="BA327" i="82"/>
  <c r="AS327" i="82"/>
  <c r="AK327" i="82"/>
  <c r="AC327" i="82"/>
  <c r="AC329" i="82" s="1"/>
  <c r="AC335" i="82" s="1"/>
  <c r="U327" i="82"/>
  <c r="U329" i="82" s="1"/>
  <c r="U335" i="82" s="1"/>
  <c r="M327" i="82"/>
  <c r="M329" i="82" s="1"/>
  <c r="M335" i="82" s="1"/>
  <c r="CQ327" i="82"/>
  <c r="AU327" i="82"/>
  <c r="CH327" i="82"/>
  <c r="CH329" i="82" s="1"/>
  <c r="CH335" i="82" s="1"/>
  <c r="BJ327" i="82"/>
  <c r="BJ329" i="82" s="1"/>
  <c r="BJ335" i="82" s="1"/>
  <c r="AT327" i="82"/>
  <c r="AL327" i="82"/>
  <c r="AL329" i="82" s="1"/>
  <c r="AL335" i="82" s="1"/>
  <c r="AD327" i="82"/>
  <c r="AD329" i="82" s="1"/>
  <c r="AD335" i="82" s="1"/>
  <c r="F327" i="82"/>
  <c r="F329" i="82" s="1"/>
  <c r="F335" i="82" s="1"/>
  <c r="D327" i="82"/>
  <c r="BR327" i="82"/>
  <c r="BR329" i="82" s="1"/>
  <c r="BR335" i="82" s="1"/>
  <c r="CT327" i="82"/>
  <c r="CT329" i="82" s="1"/>
  <c r="CT335" i="82" s="1"/>
  <c r="CL327" i="82"/>
  <c r="CL329" i="82" s="1"/>
  <c r="CL335" i="82" s="1"/>
  <c r="BK327" i="82"/>
  <c r="CP327" i="82"/>
  <c r="CP329" i="82" s="1"/>
  <c r="BB327" i="82"/>
  <c r="BB329" i="82" s="1"/>
  <c r="BB335" i="82" s="1"/>
  <c r="V327" i="82"/>
  <c r="V329" i="82" s="1"/>
  <c r="V335" i="82" s="1"/>
  <c r="CS327" i="82"/>
  <c r="CK327" i="82"/>
  <c r="CK329" i="82" s="1"/>
  <c r="CK335" i="82" s="1"/>
  <c r="CC327" i="82"/>
  <c r="CC329" i="82" s="1"/>
  <c r="CC335" i="82" s="1"/>
  <c r="BU327" i="82"/>
  <c r="BU329" i="82" s="1"/>
  <c r="BU335" i="82" s="1"/>
  <c r="BM327" i="82"/>
  <c r="BE327" i="82"/>
  <c r="BE329" i="82" s="1"/>
  <c r="BE335" i="82" s="1"/>
  <c r="AW327" i="82"/>
  <c r="AW329" i="82" s="1"/>
  <c r="AW335" i="82" s="1"/>
  <c r="AO327" i="82"/>
  <c r="AO329" i="82" s="1"/>
  <c r="AO335" i="82" s="1"/>
  <c r="AG327" i="82"/>
  <c r="AG329" i="82" s="1"/>
  <c r="AG335" i="82" s="1"/>
  <c r="Y327" i="82"/>
  <c r="Y329" i="82" s="1"/>
  <c r="Y335" i="82" s="1"/>
  <c r="Q327" i="82"/>
  <c r="Q329" i="82" s="1"/>
  <c r="Q335" i="82" s="1"/>
  <c r="I327" i="82"/>
  <c r="I329" i="82" s="1"/>
  <c r="I335" i="82" s="1"/>
  <c r="CD327" i="82"/>
  <c r="CD329" i="82" s="1"/>
  <c r="CD335" i="82" s="1"/>
  <c r="BV327" i="82"/>
  <c r="BV329" i="82" s="1"/>
  <c r="BV335" i="82" s="1"/>
  <c r="BN327" i="82"/>
  <c r="BN329" i="82" s="1"/>
  <c r="BN335" i="82" s="1"/>
  <c r="BF327" i="82"/>
  <c r="BF329" i="82" s="1"/>
  <c r="BF335" i="82" s="1"/>
  <c r="AX327" i="82"/>
  <c r="AX329" i="82" s="1"/>
  <c r="AX335" i="82" s="1"/>
  <c r="AP327" i="82"/>
  <c r="AP329" i="82" s="1"/>
  <c r="AP335" i="82" s="1"/>
  <c r="AH327" i="82"/>
  <c r="AH329" i="82" s="1"/>
  <c r="AH335" i="82" s="1"/>
  <c r="Z327" i="82"/>
  <c r="Z329" i="82" s="1"/>
  <c r="Z335" i="82" s="1"/>
  <c r="R327" i="82"/>
  <c r="R329" i="82" s="1"/>
  <c r="R335" i="82" s="1"/>
  <c r="J327" i="82"/>
  <c r="J329" i="82" s="1"/>
  <c r="J335" i="82" s="1"/>
  <c r="K327" i="82"/>
  <c r="K329" i="82" s="1"/>
  <c r="K335" i="82" s="1"/>
  <c r="CV327" i="82"/>
  <c r="CV329" i="82" s="1"/>
  <c r="CV335" i="82" s="1"/>
  <c r="CN327" i="82"/>
  <c r="CN329" i="82" s="1"/>
  <c r="CN335" i="82" s="1"/>
  <c r="CF327" i="82"/>
  <c r="CF329" i="82" s="1"/>
  <c r="CF335" i="82" s="1"/>
  <c r="BX327" i="82"/>
  <c r="BX329" i="82" s="1"/>
  <c r="BX335" i="82" s="1"/>
  <c r="BP327" i="82"/>
  <c r="BP329" i="82" s="1"/>
  <c r="BP335" i="82" s="1"/>
  <c r="BH327" i="82"/>
  <c r="BH329" i="82" s="1"/>
  <c r="BH335" i="82" s="1"/>
  <c r="AZ327" i="82"/>
  <c r="AZ329" i="82" s="1"/>
  <c r="AZ335" i="82" s="1"/>
  <c r="AR327" i="82"/>
  <c r="AR329" i="82" s="1"/>
  <c r="AR335" i="82" s="1"/>
  <c r="AJ327" i="82"/>
  <c r="AJ329" i="82" s="1"/>
  <c r="AJ335" i="82" s="1"/>
  <c r="AB327" i="82"/>
  <c r="AB329" i="82" s="1"/>
  <c r="AB335" i="82" s="1"/>
  <c r="T327" i="82"/>
  <c r="T329" i="82" s="1"/>
  <c r="T335" i="82" s="1"/>
  <c r="CU327" i="82"/>
  <c r="CU329" i="82" s="1"/>
  <c r="CU335" i="82" s="1"/>
  <c r="CE327" i="82"/>
  <c r="CE329" i="82" s="1"/>
  <c r="CE335" i="82" s="1"/>
  <c r="BO327" i="82"/>
  <c r="BO329" i="82" s="1"/>
  <c r="BO335" i="82" s="1"/>
  <c r="AY327" i="82"/>
  <c r="AY329" i="82" s="1"/>
  <c r="AY335" i="82" s="1"/>
  <c r="AI327" i="82"/>
  <c r="AI329" i="82" s="1"/>
  <c r="AI335" i="82" s="1"/>
  <c r="AA327" i="82"/>
  <c r="AA329" i="82" s="1"/>
  <c r="AA335" i="82" s="1"/>
  <c r="S327" i="82"/>
  <c r="S329" i="82" s="1"/>
  <c r="S335" i="82" s="1"/>
  <c r="CP335" i="82"/>
  <c r="BK329" i="82"/>
  <c r="BK335" i="82" s="1"/>
  <c r="AT329" i="82"/>
  <c r="AT335" i="82" s="1"/>
  <c r="BW327" i="82"/>
  <c r="BW329" i="82" s="1"/>
  <c r="BW335" i="82" s="1"/>
  <c r="BI329" i="82"/>
  <c r="BI335" i="82" s="1"/>
  <c r="CY327" i="82"/>
  <c r="CY329" i="82" s="1"/>
  <c r="CY335" i="82" s="1"/>
  <c r="CI327" i="82"/>
  <c r="CI329" i="82" s="1"/>
  <c r="CI335" i="82" s="1"/>
  <c r="CA327" i="82"/>
  <c r="CA329" i="82" s="1"/>
  <c r="CA335" i="82" s="1"/>
  <c r="BS327" i="82"/>
  <c r="BS329" i="82" s="1"/>
  <c r="BS335" i="82" s="1"/>
  <c r="BC327" i="82"/>
  <c r="BC329" i="82" s="1"/>
  <c r="BC335" i="82" s="1"/>
  <c r="AE327" i="82"/>
  <c r="AE329" i="82" s="1"/>
  <c r="AE335" i="82" s="1"/>
  <c r="W327" i="82"/>
  <c r="W329" i="82" s="1"/>
  <c r="W335" i="82" s="1"/>
  <c r="O327" i="82"/>
  <c r="O329" i="82" s="1"/>
  <c r="O335" i="82" s="1"/>
  <c r="BM329" i="82"/>
  <c r="BM335" i="82" s="1"/>
  <c r="AU329" i="82"/>
  <c r="AU335" i="82" s="1"/>
  <c r="BG327" i="82"/>
  <c r="BG329" i="82" s="1"/>
  <c r="BG335" i="82" s="1"/>
  <c r="CQ329" i="82"/>
  <c r="CQ335" i="82" s="1"/>
  <c r="CM327" i="82"/>
  <c r="CM329" i="82" s="1"/>
  <c r="CM335" i="82" s="1"/>
  <c r="AQ327" i="82"/>
  <c r="AQ329" i="82" s="1"/>
  <c r="AQ335" i="82" s="1"/>
  <c r="BA329" i="82"/>
  <c r="BA335" i="82" s="1"/>
  <c r="CW329" i="82"/>
  <c r="CW335" i="82" s="1"/>
  <c r="AS329" i="82"/>
  <c r="AS335" i="82" s="1"/>
  <c r="AK329" i="82"/>
  <c r="AK335" i="82" s="1"/>
  <c r="CS329" i="82"/>
  <c r="CS335" i="82" s="1"/>
  <c r="E327" i="82"/>
  <c r="E329" i="82" s="1"/>
  <c r="E335" i="82" s="1"/>
  <c r="L329" i="82"/>
  <c r="L335" i="82" s="1"/>
  <c r="CB329" i="82"/>
  <c r="CB335" i="82" s="1"/>
  <c r="P329" i="82"/>
  <c r="P335" i="82" s="1"/>
  <c r="CZ329" i="82"/>
  <c r="CZ335" i="82" s="1"/>
  <c r="CJ329" i="82"/>
  <c r="CJ335" i="82" s="1"/>
  <c r="AN329" i="82"/>
  <c r="AN335" i="82" s="1"/>
  <c r="X329" i="82"/>
  <c r="X335" i="82" s="1"/>
  <c r="C191" i="28" l="1"/>
  <c r="E189" i="28"/>
  <c r="L189" i="28" s="1"/>
  <c r="E190" i="28"/>
  <c r="L190" i="28" s="1"/>
  <c r="E191" i="28"/>
  <c r="L191" i="28" s="1"/>
  <c r="C190" i="28"/>
  <c r="C189" i="28"/>
  <c r="A190" i="28"/>
  <c r="A191" i="28"/>
  <c r="A189" i="28"/>
  <c r="B190" i="28"/>
  <c r="B191" i="28"/>
  <c r="B189" i="28"/>
  <c r="E232" i="28"/>
  <c r="C232" i="28"/>
  <c r="C231" i="28"/>
  <c r="C230" i="28"/>
  <c r="C229" i="28"/>
  <c r="H40" i="1" l="1"/>
  <c r="I40" i="1" s="1"/>
  <c r="L231" i="28"/>
  <c r="D36" i="91"/>
  <c r="D37" i="91"/>
  <c r="D38" i="91"/>
  <c r="L230" i="28"/>
  <c r="L232" i="28"/>
  <c r="L229" i="28"/>
  <c r="E228" i="28"/>
  <c r="G40" i="1" l="1"/>
  <c r="E220" i="28" l="1"/>
  <c r="L220" i="28" s="1"/>
  <c r="E40" i="88" l="1"/>
  <c r="G40" i="88" s="1"/>
  <c r="E225" i="28"/>
  <c r="E258" i="28"/>
  <c r="E4" i="99" l="1"/>
  <c r="C4" i="99"/>
  <c r="B4" i="99"/>
  <c r="B44" i="91" l="1"/>
  <c r="B42" i="91"/>
  <c r="B40" i="91"/>
  <c r="B3" i="93" l="1"/>
  <c r="G71" i="28" l="1"/>
  <c r="G245" i="1"/>
  <c r="G244" i="1"/>
  <c r="G126" i="1"/>
  <c r="G100" i="1"/>
  <c r="G69" i="1" l="1"/>
  <c r="E257" i="28" l="1"/>
  <c r="C257" i="28"/>
  <c r="C228" i="28"/>
  <c r="A228" i="28"/>
  <c r="E227" i="28"/>
  <c r="C227" i="28"/>
  <c r="A227" i="28"/>
  <c r="E226" i="28"/>
  <c r="C226" i="28"/>
  <c r="A226" i="28"/>
  <c r="C225" i="28"/>
  <c r="A225" i="28"/>
  <c r="E224" i="28"/>
  <c r="C224" i="28"/>
  <c r="A224" i="28"/>
  <c r="E223" i="28"/>
  <c r="C223" i="28"/>
  <c r="A223" i="28"/>
  <c r="E222" i="28"/>
  <c r="C222" i="28"/>
  <c r="A222" i="28"/>
  <c r="C218" i="28"/>
  <c r="A218" i="28"/>
  <c r="E217" i="28"/>
  <c r="C217" i="28"/>
  <c r="A217" i="28"/>
  <c r="E216" i="28"/>
  <c r="C216" i="28"/>
  <c r="A216" i="28"/>
  <c r="E215" i="28"/>
  <c r="C215" i="28"/>
  <c r="A215" i="28"/>
  <c r="E214" i="28"/>
  <c r="C214" i="28"/>
  <c r="A214" i="28"/>
  <c r="E221" i="28"/>
  <c r="C221" i="28"/>
  <c r="A221" i="28"/>
  <c r="E213" i="28"/>
  <c r="C213" i="28"/>
  <c r="A213" i="28"/>
  <c r="E212" i="28"/>
  <c r="C212" i="28"/>
  <c r="A212" i="28"/>
  <c r="L238" i="28" l="1"/>
  <c r="L13" i="88" l="1"/>
  <c r="L258" i="28" l="1"/>
  <c r="D32" i="91" l="1"/>
  <c r="D21" i="91"/>
  <c r="D20" i="91"/>
  <c r="D12" i="91"/>
  <c r="D11" i="91"/>
  <c r="E178" i="28" l="1"/>
  <c r="E145" i="28"/>
  <c r="L145" i="28" s="1"/>
  <c r="L146" i="28"/>
  <c r="L147" i="28"/>
  <c r="E144" i="28"/>
  <c r="L218" i="28"/>
  <c r="E39" i="88" s="1"/>
  <c r="L217" i="28"/>
  <c r="L216" i="28"/>
  <c r="E36" i="88" s="1"/>
  <c r="AA216" i="28"/>
  <c r="AA217" i="28"/>
  <c r="AA218" i="28"/>
  <c r="L227" i="28"/>
  <c r="E42" i="88" s="1"/>
  <c r="L215" i="28"/>
  <c r="L214" i="28"/>
  <c r="AA214" i="28"/>
  <c r="AA215"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5" i="28"/>
  <c r="L195" i="28" s="1"/>
  <c r="F8" i="89" s="1"/>
  <c r="C195" i="28"/>
  <c r="B195" i="28"/>
  <c r="A195" i="28"/>
  <c r="G39" i="88" l="1"/>
  <c r="B1" i="89"/>
  <c r="B11" i="89" l="1"/>
  <c r="B7" i="89"/>
  <c r="A3" i="89"/>
  <c r="B10" i="89"/>
  <c r="B6" i="89"/>
  <c r="B12" i="89" l="1"/>
  <c r="B8" i="89"/>
  <c r="B16" i="89"/>
  <c r="C4" i="88"/>
  <c r="G36" i="88"/>
  <c r="G42" i="88"/>
  <c r="F22" i="89" l="1"/>
  <c r="E254" i="28"/>
  <c r="E255" i="28"/>
  <c r="AA80" i="28"/>
  <c r="AA81" i="28"/>
  <c r="AA82" i="28"/>
  <c r="AA83" i="28"/>
  <c r="AA84" i="28"/>
  <c r="AA85" i="28"/>
  <c r="AA183" i="28"/>
  <c r="AA233" i="28"/>
  <c r="AA234" i="28"/>
  <c r="AA235" i="28"/>
  <c r="AA236" i="28"/>
  <c r="AA237" i="28"/>
  <c r="AA238" i="28"/>
  <c r="AA239" i="28"/>
  <c r="AA240" i="28"/>
  <c r="AA241" i="28"/>
  <c r="AB241" i="28"/>
  <c r="AA242" i="28"/>
  <c r="AB242" i="28"/>
  <c r="AA243" i="28"/>
  <c r="AB243" i="28"/>
  <c r="AA244" i="28"/>
  <c r="AB244" i="28"/>
  <c r="AA245" i="28"/>
  <c r="AB245" i="28"/>
  <c r="AA246" i="28"/>
  <c r="AB246" i="28"/>
  <c r="AA260" i="28"/>
  <c r="AB238" i="28"/>
  <c r="AB240" i="28" l="1"/>
  <c r="N15" i="88"/>
  <c r="AB239" i="28"/>
  <c r="N24" i="88"/>
  <c r="CT341" i="82"/>
  <c r="CU341" i="82"/>
  <c r="CV341" i="82"/>
  <c r="CW341" i="82"/>
  <c r="CX341" i="82"/>
  <c r="CY341" i="82"/>
  <c r="CZ341"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D341" i="82"/>
  <c r="D329" i="82" l="1"/>
  <c r="D335" i="82" s="1"/>
  <c r="E204" i="1"/>
  <c r="E295" i="1" s="1"/>
  <c r="E191" i="1"/>
  <c r="E198" i="1"/>
  <c r="E294" i="1" s="1"/>
  <c r="E210" i="1"/>
  <c r="Y269" i="28"/>
  <c r="X267" i="28"/>
  <c r="X266" i="28"/>
  <c r="X269" i="28" s="1"/>
  <c r="Z269" i="28" s="1"/>
  <c r="E296" i="1" l="1"/>
  <c r="E293" i="1"/>
  <c r="E292" i="1"/>
  <c r="E211" i="1"/>
  <c r="E297" i="1" s="1"/>
  <c r="E299" i="1" l="1"/>
  <c r="I337" i="82" s="1"/>
  <c r="I339" i="82" s="1"/>
  <c r="A290" i="1"/>
  <c r="T337" i="82" l="1"/>
  <c r="T339" i="82" s="1"/>
  <c r="BL337" i="82"/>
  <c r="BL339" i="82" s="1"/>
  <c r="BM337" i="82"/>
  <c r="BM339" i="82" s="1"/>
  <c r="BH337" i="82"/>
  <c r="BH339" i="82" s="1"/>
  <c r="CN337" i="82"/>
  <c r="CN339" i="82" s="1"/>
  <c r="CR337" i="82"/>
  <c r="CR339" i="82" s="1"/>
  <c r="BY337" i="82"/>
  <c r="BY339" i="82" s="1"/>
  <c r="CV337" i="82"/>
  <c r="CV339" i="82" s="1"/>
  <c r="BD337" i="82"/>
  <c r="BD339" i="82" s="1"/>
  <c r="CT337" i="82"/>
  <c r="CT339" i="82" s="1"/>
  <c r="AM337" i="82"/>
  <c r="AM339" i="82" s="1"/>
  <c r="AH337" i="82"/>
  <c r="AH339" i="82" s="1"/>
  <c r="V337" i="82"/>
  <c r="V339" i="82" s="1"/>
  <c r="M337" i="82"/>
  <c r="M339" i="82" s="1"/>
  <c r="BS337" i="82"/>
  <c r="BS339" i="82" s="1"/>
  <c r="BZ337" i="82"/>
  <c r="BZ339" i="82" s="1"/>
  <c r="AA337" i="82"/>
  <c r="AA339" i="82" s="1"/>
  <c r="CI337" i="82"/>
  <c r="CI339" i="82" s="1"/>
  <c r="CZ337" i="82"/>
  <c r="CZ339" i="82" s="1"/>
  <c r="BF337" i="82"/>
  <c r="BF339" i="82" s="1"/>
  <c r="CA337" i="82"/>
  <c r="CA339" i="82" s="1"/>
  <c r="CM337" i="82"/>
  <c r="CM339" i="82" s="1"/>
  <c r="CH337" i="82"/>
  <c r="CH339" i="82" s="1"/>
  <c r="AE337" i="82"/>
  <c r="AE339" i="82" s="1"/>
  <c r="BO337" i="82"/>
  <c r="BO339" i="82" s="1"/>
  <c r="BJ337" i="82"/>
  <c r="BJ339" i="82" s="1"/>
  <c r="BA337" i="82"/>
  <c r="BA339" i="82" s="1"/>
  <c r="D337" i="82"/>
  <c r="D339" i="82" s="1"/>
  <c r="N337" i="82"/>
  <c r="N339" i="82" s="1"/>
  <c r="CJ337" i="82"/>
  <c r="CJ339" i="82" s="1"/>
  <c r="BK337" i="82"/>
  <c r="BK339" i="82" s="1"/>
  <c r="BQ337" i="82"/>
  <c r="BQ339" i="82" s="1"/>
  <c r="E337" i="82"/>
  <c r="E339" i="82" s="1"/>
  <c r="AX337" i="82"/>
  <c r="AX339" i="82" s="1"/>
  <c r="CE337" i="82"/>
  <c r="CE339" i="82" s="1"/>
  <c r="S337" i="82"/>
  <c r="S339" i="82" s="1"/>
  <c r="BE337" i="82"/>
  <c r="BE339" i="82" s="1"/>
  <c r="BT337" i="82"/>
  <c r="BT339" i="82" s="1"/>
  <c r="BC337" i="82"/>
  <c r="BC339" i="82" s="1"/>
  <c r="BR337" i="82"/>
  <c r="BR339" i="82" s="1"/>
  <c r="F337" i="82"/>
  <c r="F339" i="82" s="1"/>
  <c r="CB337" i="82"/>
  <c r="CB339" i="82" s="1"/>
  <c r="AU337" i="82"/>
  <c r="AU339" i="82" s="1"/>
  <c r="BI337" i="82"/>
  <c r="BI339" i="82" s="1"/>
  <c r="AB337" i="82"/>
  <c r="AB339" i="82" s="1"/>
  <c r="AP337" i="82"/>
  <c r="AP339" i="82" s="1"/>
  <c r="BW337" i="82"/>
  <c r="BW339" i="82" s="1"/>
  <c r="K337" i="82"/>
  <c r="K339" i="82" s="1"/>
  <c r="AW337" i="82"/>
  <c r="AW339" i="82" s="1"/>
  <c r="AO337" i="82"/>
  <c r="AO339" i="82" s="1"/>
  <c r="AG337" i="82"/>
  <c r="AG339" i="82" s="1"/>
  <c r="CF337" i="82"/>
  <c r="CF339" i="82" s="1"/>
  <c r="AN337" i="82"/>
  <c r="AN339" i="82" s="1"/>
  <c r="W337" i="82"/>
  <c r="W339" i="82" s="1"/>
  <c r="BB337" i="82"/>
  <c r="BB339" i="82" s="1"/>
  <c r="BX337" i="82"/>
  <c r="BX339" i="82" s="1"/>
  <c r="AV337" i="82"/>
  <c r="AV339" i="82" s="1"/>
  <c r="O337" i="82"/>
  <c r="O339" i="82" s="1"/>
  <c r="AS337" i="82"/>
  <c r="AS339" i="82" s="1"/>
  <c r="CL337" i="82"/>
  <c r="CL339" i="82" s="1"/>
  <c r="Z337" i="82"/>
  <c r="Z339" i="82" s="1"/>
  <c r="BG337" i="82"/>
  <c r="BG339" i="82" s="1"/>
  <c r="CS337" i="82"/>
  <c r="CS339" i="82" s="1"/>
  <c r="BP337" i="82"/>
  <c r="BP339" i="82" s="1"/>
  <c r="X337" i="82"/>
  <c r="X339" i="82" s="1"/>
  <c r="G337" i="82"/>
  <c r="G339" i="82" s="1"/>
  <c r="AT337" i="82"/>
  <c r="AT339" i="82" s="1"/>
  <c r="AZ337" i="82"/>
  <c r="AZ339" i="82" s="1"/>
  <c r="AF337" i="82"/>
  <c r="AF339" i="82" s="1"/>
  <c r="CW337" i="82"/>
  <c r="CW339" i="82" s="1"/>
  <c r="AK337" i="82"/>
  <c r="AK339" i="82" s="1"/>
  <c r="CD337" i="82"/>
  <c r="CD339" i="82" s="1"/>
  <c r="R337" i="82"/>
  <c r="R339" i="82" s="1"/>
  <c r="AY337" i="82"/>
  <c r="AY339" i="82" s="1"/>
  <c r="CK337" i="82"/>
  <c r="CK339" i="82" s="1"/>
  <c r="Y337" i="82"/>
  <c r="Y339" i="82" s="1"/>
  <c r="AQ337" i="82"/>
  <c r="AQ339" i="82" s="1"/>
  <c r="H337" i="82"/>
  <c r="H339" i="82" s="1"/>
  <c r="CX337" i="82"/>
  <c r="CX339" i="82" s="1"/>
  <c r="AL337" i="82"/>
  <c r="AL339" i="82" s="1"/>
  <c r="AJ337" i="82"/>
  <c r="AJ339" i="82" s="1"/>
  <c r="P337" i="82"/>
  <c r="P339" i="82" s="1"/>
  <c r="CO337" i="82"/>
  <c r="CO339" i="82" s="1"/>
  <c r="AC337" i="82"/>
  <c r="AC339" i="82" s="1"/>
  <c r="BV337" i="82"/>
  <c r="BV339" i="82" s="1"/>
  <c r="J337" i="82"/>
  <c r="J339" i="82" s="1"/>
  <c r="CC337" i="82"/>
  <c r="CC339" i="82" s="1"/>
  <c r="Q337" i="82"/>
  <c r="Q339" i="82" s="1"/>
  <c r="AR337" i="82"/>
  <c r="AR339" i="82" s="1"/>
  <c r="CY337" i="82"/>
  <c r="CY339" i="82" s="1"/>
  <c r="CP337" i="82"/>
  <c r="CP339" i="82" s="1"/>
  <c r="AD337" i="82"/>
  <c r="AD339" i="82" s="1"/>
  <c r="L337" i="82"/>
  <c r="L339" i="82" s="1"/>
  <c r="CQ337" i="82"/>
  <c r="CQ339" i="82" s="1"/>
  <c r="CG337" i="82"/>
  <c r="CG339" i="82" s="1"/>
  <c r="U337" i="82"/>
  <c r="U339" i="82" s="1"/>
  <c r="BN337" i="82"/>
  <c r="BN339" i="82" s="1"/>
  <c r="CU337" i="82"/>
  <c r="CU339" i="82" s="1"/>
  <c r="AI337" i="82"/>
  <c r="AI339" i="82" s="1"/>
  <c r="BU337" i="82"/>
  <c r="BU339" i="82" s="1"/>
  <c r="G114" i="1"/>
  <c r="G94" i="1"/>
  <c r="F286" i="1"/>
  <c r="E286" i="1"/>
  <c r="F284" i="1"/>
  <c r="E284" i="1"/>
  <c r="F283" i="1"/>
  <c r="E283" i="1"/>
  <c r="F282" i="1"/>
  <c r="E282" i="1"/>
  <c r="F281" i="1"/>
  <c r="E281" i="1"/>
  <c r="G11" i="1"/>
  <c r="G78" i="1" l="1"/>
  <c r="C251" i="28" l="1"/>
  <c r="E210" i="28" l="1"/>
  <c r="L226" i="28"/>
  <c r="AA226" i="28"/>
  <c r="AB226" i="28" l="1"/>
  <c r="G234" i="1"/>
  <c r="E248" i="28" l="1"/>
  <c r="E251" i="28" l="1"/>
  <c r="L257" i="28" l="1"/>
  <c r="AA257" i="28"/>
  <c r="AB257" i="28" l="1"/>
  <c r="G155" i="1"/>
  <c r="G138" i="1"/>
  <c r="G135" i="1" l="1"/>
  <c r="E209" i="28" l="1"/>
  <c r="C209" i="28"/>
  <c r="A209" i="28"/>
  <c r="AA209" i="28" s="1"/>
  <c r="L209" i="28" l="1"/>
  <c r="B17" i="89" l="1"/>
  <c r="B18" i="89" s="1"/>
  <c r="G16" i="89" s="1"/>
  <c r="AB209" i="28"/>
  <c r="G183" i="1"/>
  <c r="L210" i="28" l="1"/>
  <c r="E34" i="88" s="1"/>
  <c r="H210" i="28"/>
  <c r="A210" i="28"/>
  <c r="AA210" i="28" s="1"/>
  <c r="C210" i="28"/>
  <c r="A194" i="28"/>
  <c r="AA194" i="28" s="1"/>
  <c r="B194" i="28"/>
  <c r="C194" i="28"/>
  <c r="E194"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3" i="28"/>
  <c r="L212" i="28"/>
  <c r="AA228" i="28"/>
  <c r="AA225" i="28"/>
  <c r="AA224" i="28"/>
  <c r="AA223" i="28"/>
  <c r="AA222" i="28"/>
  <c r="AA213" i="28"/>
  <c r="AA212" i="28"/>
  <c r="G34" i="88" l="1"/>
  <c r="AB212" i="28"/>
  <c r="AB210" i="28"/>
  <c r="AB213" i="28"/>
  <c r="L194" i="28"/>
  <c r="F16" i="89" s="1"/>
  <c r="L155" i="28"/>
  <c r="L154" i="28"/>
  <c r="AB154" i="28" s="1"/>
  <c r="L153" i="28"/>
  <c r="L118" i="28"/>
  <c r="AB118" i="28" s="1"/>
  <c r="L54" i="28"/>
  <c r="L55" i="28"/>
  <c r="AB55" i="28" s="1"/>
  <c r="L225" i="28"/>
  <c r="E46" i="88" s="1"/>
  <c r="G46" i="88" s="1"/>
  <c r="L228" i="28"/>
  <c r="L221" i="28"/>
  <c r="L222" i="28"/>
  <c r="L223" i="28"/>
  <c r="L224" i="28"/>
  <c r="E32" i="88" l="1"/>
  <c r="E38" i="88"/>
  <c r="G38" i="88" s="1"/>
  <c r="AB153" i="28"/>
  <c r="AB228" i="28"/>
  <c r="AB224" i="28"/>
  <c r="AB223" i="28"/>
  <c r="F27" i="89"/>
  <c r="F28" i="89" s="1"/>
  <c r="AB222" i="28"/>
  <c r="AB225" i="28"/>
  <c r="AB54" i="28"/>
  <c r="AB194" i="28"/>
  <c r="AB155" i="28"/>
  <c r="E253" i="28" l="1"/>
  <c r="L254" i="28"/>
  <c r="AB254" i="28" s="1"/>
  <c r="L255" i="28"/>
  <c r="AB255" i="28" s="1"/>
  <c r="E256" i="28"/>
  <c r="E252" i="28"/>
  <c r="A253" i="28"/>
  <c r="AA253" i="28" s="1"/>
  <c r="A254" i="28"/>
  <c r="AA254" i="28" s="1"/>
  <c r="A255" i="28"/>
  <c r="AA255" i="28" s="1"/>
  <c r="A256" i="28"/>
  <c r="AA256" i="28" s="1"/>
  <c r="A252" i="28"/>
  <c r="AA252" i="28" s="1"/>
  <c r="F251" i="28"/>
  <c r="G270" i="1"/>
  <c r="F248" i="28" s="1"/>
  <c r="G271" i="1"/>
  <c r="F249" i="28" s="1"/>
  <c r="G272" i="1"/>
  <c r="F250" i="28" s="1"/>
  <c r="G269" i="1"/>
  <c r="F247" i="28" s="1"/>
  <c r="L256" i="28" l="1"/>
  <c r="AB256" i="28" s="1"/>
  <c r="L253" i="28"/>
  <c r="AB253" i="28" s="1"/>
  <c r="L252" i="28"/>
  <c r="AB252" i="28" s="1"/>
  <c r="C253" i="28"/>
  <c r="C254" i="28"/>
  <c r="C256" i="28"/>
  <c r="C252" i="28"/>
  <c r="G224" i="1" l="1"/>
  <c r="G111" i="1"/>
  <c r="G21" i="1"/>
  <c r="F256" i="28"/>
  <c r="F255" i="28"/>
  <c r="F254" i="28"/>
  <c r="F253" i="28"/>
  <c r="F252" i="28"/>
  <c r="G101" i="1" l="1"/>
  <c r="G120" i="1" l="1"/>
  <c r="G119" i="1"/>
  <c r="G118" i="1"/>
  <c r="G117" i="1"/>
  <c r="G116" i="1"/>
  <c r="G115" i="1"/>
  <c r="G109" i="1"/>
  <c r="G99" i="1"/>
  <c r="G98" i="1"/>
  <c r="G97" i="1"/>
  <c r="G96" i="1"/>
  <c r="G95" i="1"/>
  <c r="D3" i="1" l="1"/>
  <c r="B2" i="89" l="1"/>
  <c r="C5" i="88"/>
  <c r="L4" i="28"/>
  <c r="P25" i="88" l="1"/>
  <c r="L18" i="88"/>
  <c r="L11" i="88"/>
  <c r="M21" i="88"/>
  <c r="D21" i="88" s="1"/>
  <c r="L15" i="88"/>
  <c r="M28" i="88"/>
  <c r="M24" i="88"/>
  <c r="M16" i="88"/>
  <c r="L24" i="88"/>
  <c r="L16" i="88"/>
  <c r="Q16" i="88"/>
  <c r="M18" i="88"/>
  <c r="L28" i="88"/>
  <c r="M27" i="88"/>
  <c r="L27" i="88"/>
  <c r="L21" i="88"/>
  <c r="C21" i="88" s="1"/>
  <c r="P16" i="88"/>
  <c r="M19" i="88"/>
  <c r="M15" i="88"/>
  <c r="L19" i="88"/>
  <c r="M11" i="88"/>
  <c r="M25" i="88"/>
  <c r="L25" i="88"/>
  <c r="Q25" i="88"/>
  <c r="D18" i="88" l="1"/>
  <c r="D28" i="88"/>
  <c r="D27" i="88"/>
  <c r="C28" i="88"/>
  <c r="C18" i="88"/>
  <c r="C19" i="88"/>
  <c r="C27" i="88"/>
  <c r="D19" i="88"/>
  <c r="N202" i="28"/>
  <c r="E198" i="28"/>
  <c r="L198" i="28" l="1"/>
  <c r="AB198" i="28" s="1"/>
  <c r="C258" i="28"/>
  <c r="B258" i="28"/>
  <c r="A258" i="28"/>
  <c r="A251" i="28"/>
  <c r="AA251" i="28" s="1"/>
  <c r="E250" i="28"/>
  <c r="C250" i="28"/>
  <c r="A250" i="28"/>
  <c r="AA250" i="28" s="1"/>
  <c r="E249" i="28"/>
  <c r="C249" i="28"/>
  <c r="A249" i="28"/>
  <c r="AA249" i="28" s="1"/>
  <c r="C248" i="28"/>
  <c r="A248" i="28"/>
  <c r="AA248" i="28" s="1"/>
  <c r="E247" i="28"/>
  <c r="C247" i="28"/>
  <c r="A247" i="28"/>
  <c r="AA247" i="28" s="1"/>
  <c r="H211" i="28"/>
  <c r="E211" i="28"/>
  <c r="C211" i="28"/>
  <c r="A211" i="28"/>
  <c r="AA211" i="28" s="1"/>
  <c r="E208" i="28"/>
  <c r="C208" i="28"/>
  <c r="A208" i="28"/>
  <c r="AA208" i="28" s="1"/>
  <c r="H207" i="28"/>
  <c r="E207" i="28"/>
  <c r="C207" i="28"/>
  <c r="B207" i="28"/>
  <c r="A207" i="28"/>
  <c r="AA207" i="28" s="1"/>
  <c r="H206" i="28"/>
  <c r="E206" i="28"/>
  <c r="C206" i="28"/>
  <c r="B206" i="28"/>
  <c r="A206" i="28"/>
  <c r="AA206" i="28" s="1"/>
  <c r="E205" i="28"/>
  <c r="C205" i="28"/>
  <c r="B205" i="28"/>
  <c r="A205" i="28"/>
  <c r="AA205" i="28" s="1"/>
  <c r="E204" i="28"/>
  <c r="C204" i="28"/>
  <c r="B204" i="28"/>
  <c r="A204" i="28"/>
  <c r="AA204" i="28" s="1"/>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C198" i="28"/>
  <c r="B198" i="28"/>
  <c r="A198" i="28"/>
  <c r="AA198" i="28" s="1"/>
  <c r="E197" i="28"/>
  <c r="C197" i="28"/>
  <c r="B197" i="28"/>
  <c r="A197" i="28"/>
  <c r="AA197" i="28" s="1"/>
  <c r="E196" i="28"/>
  <c r="C196" i="28"/>
  <c r="B196" i="28"/>
  <c r="A196" i="28"/>
  <c r="AA196" i="28" s="1"/>
  <c r="E193" i="28"/>
  <c r="C193" i="28"/>
  <c r="B193" i="28"/>
  <c r="A193" i="28"/>
  <c r="AA193" i="28" s="1"/>
  <c r="E192" i="28"/>
  <c r="C192" i="28"/>
  <c r="B192" i="28"/>
  <c r="A192" i="28"/>
  <c r="AA192"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E68" i="28"/>
  <c r="C68" i="28"/>
  <c r="B68" i="28"/>
  <c r="A68" i="28"/>
  <c r="AA68" i="28" s="1"/>
  <c r="E67" i="28"/>
  <c r="C67" i="28"/>
  <c r="B67" i="28"/>
  <c r="A67" i="28"/>
  <c r="AA67" i="28" s="1"/>
  <c r="E66" i="28"/>
  <c r="C66" i="28"/>
  <c r="B66" i="28"/>
  <c r="A66" i="28"/>
  <c r="AA66" i="28" s="1"/>
  <c r="E65" i="28"/>
  <c r="L65" i="28" s="1"/>
  <c r="C29" i="99" s="1"/>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7" i="1"/>
  <c r="G263" i="1"/>
  <c r="H260" i="1"/>
  <c r="G260" i="1" s="1"/>
  <c r="H259" i="1"/>
  <c r="G259" i="1" s="1"/>
  <c r="H258" i="1"/>
  <c r="G258" i="1" s="1"/>
  <c r="G257" i="1"/>
  <c r="G256" i="1"/>
  <c r="G255" i="1"/>
  <c r="G254" i="1"/>
  <c r="G247" i="1"/>
  <c r="G243" i="1"/>
  <c r="G242" i="1"/>
  <c r="G238" i="1"/>
  <c r="H235" i="1"/>
  <c r="G235" i="1" s="1"/>
  <c r="H234" i="1"/>
  <c r="H233" i="1"/>
  <c r="G232" i="1"/>
  <c r="H229" i="1"/>
  <c r="G229" i="1" s="1"/>
  <c r="H228" i="1"/>
  <c r="G228" i="1"/>
  <c r="H227" i="1"/>
  <c r="G227" i="1"/>
  <c r="G226" i="1"/>
  <c r="G221" i="1"/>
  <c r="G220" i="1"/>
  <c r="G219" i="1"/>
  <c r="G218" i="1"/>
  <c r="G216" i="1"/>
  <c r="F210" i="1"/>
  <c r="G209" i="1"/>
  <c r="G208" i="1"/>
  <c r="G207" i="1"/>
  <c r="G206" i="1"/>
  <c r="F204" i="1"/>
  <c r="G203" i="1"/>
  <c r="G202" i="1"/>
  <c r="G201" i="1"/>
  <c r="G200" i="1"/>
  <c r="F198" i="1"/>
  <c r="E157" i="28"/>
  <c r="E156" i="28"/>
  <c r="G182" i="1"/>
  <c r="G177" i="1"/>
  <c r="G173" i="1"/>
  <c r="G166" i="1"/>
  <c r="G165" i="1"/>
  <c r="G162" i="1"/>
  <c r="G161" i="1"/>
  <c r="H154" i="1"/>
  <c r="G154" i="1" s="1"/>
  <c r="G153" i="1"/>
  <c r="G152" i="1"/>
  <c r="G150" i="1"/>
  <c r="G149" i="1"/>
  <c r="G148" i="1"/>
  <c r="G147" i="1"/>
  <c r="G146" i="1"/>
  <c r="G145" i="1"/>
  <c r="G144" i="1"/>
  <c r="G143" i="1"/>
  <c r="H137" i="1"/>
  <c r="G137" i="1" s="1"/>
  <c r="G136" i="1"/>
  <c r="G134" i="1"/>
  <c r="G132" i="1"/>
  <c r="G131" i="1"/>
  <c r="G129" i="1"/>
  <c r="G128" i="1"/>
  <c r="G127" i="1"/>
  <c r="H122" i="1"/>
  <c r="G122" i="1" s="1"/>
  <c r="G108" i="1"/>
  <c r="G106" i="1"/>
  <c r="G105" i="1"/>
  <c r="H103" i="1"/>
  <c r="G103" i="1"/>
  <c r="H138" i="1"/>
  <c r="E80" i="28"/>
  <c r="G92" i="1"/>
  <c r="G90" i="1"/>
  <c r="G72" i="28"/>
  <c r="G81" i="1"/>
  <c r="G79" i="1"/>
  <c r="H76" i="1"/>
  <c r="G76" i="1" s="1"/>
  <c r="G74" i="1"/>
  <c r="G71" i="1"/>
  <c r="G68" i="1"/>
  <c r="G67" i="1"/>
  <c r="H59" i="1"/>
  <c r="G59" i="1"/>
  <c r="H78" i="1"/>
  <c r="I78" i="1" s="1"/>
  <c r="G58" i="1"/>
  <c r="G57" i="1"/>
  <c r="G56" i="1"/>
  <c r="G55" i="1"/>
  <c r="G54" i="1"/>
  <c r="G53" i="1"/>
  <c r="G52" i="1"/>
  <c r="G51" i="1"/>
  <c r="G50" i="1"/>
  <c r="G49" i="1"/>
  <c r="G48" i="1"/>
  <c r="G47" i="1"/>
  <c r="G46" i="1"/>
  <c r="G44" i="1"/>
  <c r="G41" i="1"/>
  <c r="O34" i="28"/>
  <c r="H39" i="1"/>
  <c r="G39" i="1" s="1"/>
  <c r="O33" i="28"/>
  <c r="G37" i="1"/>
  <c r="G36" i="1"/>
  <c r="G35" i="1"/>
  <c r="G34" i="1"/>
  <c r="G33" i="1"/>
  <c r="G32" i="1"/>
  <c r="G31" i="1"/>
  <c r="G30" i="1"/>
  <c r="G28" i="1"/>
  <c r="G27" i="1"/>
  <c r="H25" i="1"/>
  <c r="G25" i="1" s="1"/>
  <c r="O21" i="28"/>
  <c r="O20" i="28"/>
  <c r="G22" i="1"/>
  <c r="G20" i="1"/>
  <c r="G13" i="1"/>
  <c r="G12" i="1"/>
  <c r="G10" i="1"/>
  <c r="G9" i="1"/>
  <c r="L260" i="28"/>
  <c r="AB260" i="28" s="1"/>
  <c r="I138" i="1" l="1"/>
  <c r="H121" i="28" s="1"/>
  <c r="H68" i="28"/>
  <c r="L247" i="28"/>
  <c r="AB247" i="28" s="1"/>
  <c r="L211" i="28"/>
  <c r="AB211" i="28" s="1"/>
  <c r="L207" i="28"/>
  <c r="AB207" i="28" s="1"/>
  <c r="L208" i="28"/>
  <c r="AB208" i="28" s="1"/>
  <c r="L203" i="28"/>
  <c r="L205" i="28"/>
  <c r="L202" i="28"/>
  <c r="AB202" i="28" s="1"/>
  <c r="L204" i="28"/>
  <c r="AB204" i="28" s="1"/>
  <c r="L206" i="28"/>
  <c r="AB206" i="28" s="1"/>
  <c r="L199" i="28"/>
  <c r="AB199" i="28" s="1"/>
  <c r="L201" i="28"/>
  <c r="AB201" i="28" s="1"/>
  <c r="L200" i="28"/>
  <c r="AB200" i="28" s="1"/>
  <c r="L196" i="28"/>
  <c r="L192" i="28"/>
  <c r="AB192" i="28" s="1"/>
  <c r="L188" i="28"/>
  <c r="AB188" i="28" s="1"/>
  <c r="L193" i="28"/>
  <c r="AB193"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C31" i="99" s="1"/>
  <c r="E31" i="99" s="1"/>
  <c r="L61" i="28"/>
  <c r="AB61" i="28" s="1"/>
  <c r="L63" i="28"/>
  <c r="C30" i="99" s="1"/>
  <c r="E30" i="99" s="1"/>
  <c r="L58" i="28"/>
  <c r="L57" i="28"/>
  <c r="AB57" i="28" s="1"/>
  <c r="L59" i="28"/>
  <c r="C26" i="99" s="1"/>
  <c r="L56" i="28"/>
  <c r="AB56" i="28" s="1"/>
  <c r="L50" i="28"/>
  <c r="AB50" i="28" s="1"/>
  <c r="L52" i="28"/>
  <c r="AB52" i="28" s="1"/>
  <c r="L51" i="28"/>
  <c r="C14" i="99" s="1"/>
  <c r="L47" i="28"/>
  <c r="C17" i="99" s="1"/>
  <c r="L49" i="28"/>
  <c r="AB49" i="28" s="1"/>
  <c r="L48" i="28"/>
  <c r="D9" i="93" s="1"/>
  <c r="L46" i="28"/>
  <c r="C20" i="99" s="1"/>
  <c r="L44" i="28"/>
  <c r="C11" i="99" s="1"/>
  <c r="E11" i="99" s="1"/>
  <c r="L43" i="28"/>
  <c r="C9" i="99" s="1"/>
  <c r="E9" i="99" s="1"/>
  <c r="L45" i="28"/>
  <c r="AB45" i="28" s="1"/>
  <c r="L42" i="28"/>
  <c r="AB42" i="28" s="1"/>
  <c r="L39" i="28"/>
  <c r="C8" i="99" s="1"/>
  <c r="L41" i="28"/>
  <c r="AB41" i="28" s="1"/>
  <c r="L38" i="28"/>
  <c r="C7" i="99" s="1"/>
  <c r="E7" i="99" s="1"/>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7" i="28"/>
  <c r="AB197" i="28" s="1"/>
  <c r="L7" i="28"/>
  <c r="AB7" i="28" s="1"/>
  <c r="L17" i="28"/>
  <c r="O107" i="28"/>
  <c r="L249" i="28"/>
  <c r="AB249" i="28" s="1"/>
  <c r="L250" i="28"/>
  <c r="AB250" i="28" s="1"/>
  <c r="L248" i="28"/>
  <c r="AB248" i="28" s="1"/>
  <c r="L251" i="28"/>
  <c r="AB251" i="28" s="1"/>
  <c r="E99" i="28"/>
  <c r="E10" i="28"/>
  <c r="L10" i="28" s="1"/>
  <c r="G14" i="1"/>
  <c r="G15" i="1"/>
  <c r="G16" i="1"/>
  <c r="G17" i="1"/>
  <c r="G18" i="1"/>
  <c r="G19" i="1"/>
  <c r="E70" i="28"/>
  <c r="O89" i="28"/>
  <c r="O51" i="28"/>
  <c r="O19" i="28"/>
  <c r="F9" i="28"/>
  <c r="H137" i="28"/>
  <c r="F191" i="1"/>
  <c r="F211" i="1" s="1"/>
  <c r="N21" i="88" l="1"/>
  <c r="E21" i="88" s="1"/>
  <c r="G21" i="88" s="1"/>
  <c r="AB166" i="28"/>
  <c r="N19" i="88"/>
  <c r="E19" i="88" s="1"/>
  <c r="G19" i="88" s="1"/>
  <c r="N28" i="88"/>
  <c r="E28" i="88" s="1"/>
  <c r="G28" i="88" s="1"/>
  <c r="C10" i="99"/>
  <c r="E10" i="99" s="1"/>
  <c r="E12" i="99" s="1"/>
  <c r="D12" i="93"/>
  <c r="L9" i="88"/>
  <c r="E29" i="99"/>
  <c r="C28" i="99"/>
  <c r="E28" i="99" s="1"/>
  <c r="E26" i="99"/>
  <c r="AB157" i="28"/>
  <c r="N11" i="88"/>
  <c r="D11" i="93"/>
  <c r="AB64" i="28"/>
  <c r="D24" i="93"/>
  <c r="AB46" i="28"/>
  <c r="D18" i="93"/>
  <c r="D13" i="93"/>
  <c r="D21" i="93"/>
  <c r="D6" i="93"/>
  <c r="AB39" i="28"/>
  <c r="D7" i="93"/>
  <c r="AB47" i="28"/>
  <c r="AB65" i="28"/>
  <c r="D22" i="93"/>
  <c r="G14" i="88"/>
  <c r="D23" i="93"/>
  <c r="AB72" i="28"/>
  <c r="AB82" i="28"/>
  <c r="AB109" i="28"/>
  <c r="N18" i="88"/>
  <c r="E18" i="88" s="1"/>
  <c r="G18" i="88" s="1"/>
  <c r="AB125" i="28"/>
  <c r="N27" i="88"/>
  <c r="E27" i="88" s="1"/>
  <c r="G27" i="88" s="1"/>
  <c r="AB76" i="28"/>
  <c r="N16" i="88"/>
  <c r="G16" i="88" s="1"/>
  <c r="AB5" i="28"/>
  <c r="AB90" i="28"/>
  <c r="AB114" i="28"/>
  <c r="M20" i="88"/>
  <c r="N20" i="88" s="1"/>
  <c r="E20" i="88" s="1"/>
  <c r="G20" i="88" s="1"/>
  <c r="AB62" i="28"/>
  <c r="AB196" i="28"/>
  <c r="AB63" i="28"/>
  <c r="AB44" i="28"/>
  <c r="AB48" i="28"/>
  <c r="AB17" i="28"/>
  <c r="AB178" i="28"/>
  <c r="F24" i="89"/>
  <c r="L236" i="28"/>
  <c r="AB236" i="28" s="1"/>
  <c r="L70" i="28"/>
  <c r="AB70" i="28" s="1"/>
  <c r="AB111" i="28"/>
  <c r="AB185" i="28"/>
  <c r="AB205" i="28"/>
  <c r="AB74" i="28"/>
  <c r="AB186" i="28"/>
  <c r="AB203" i="28"/>
  <c r="AB142" i="28"/>
  <c r="AB58" i="28"/>
  <c r="AB67" i="28"/>
  <c r="AB69" i="28"/>
  <c r="AB96" i="28"/>
  <c r="AB123" i="28"/>
  <c r="AB138" i="28"/>
  <c r="F199" i="28"/>
  <c r="AB135" i="28"/>
  <c r="AB94" i="28"/>
  <c r="L99" i="28"/>
  <c r="L235" i="28"/>
  <c r="AB80" i="28"/>
  <c r="L234" i="28"/>
  <c r="AB234" i="28" s="1"/>
  <c r="AB59" i="28"/>
  <c r="AB51" i="28"/>
  <c r="AB43" i="28"/>
  <c r="AB38" i="28"/>
  <c r="L233" i="28"/>
  <c r="AB233" i="28" s="1"/>
  <c r="AB10" i="28"/>
  <c r="F34" i="28"/>
  <c r="G136" i="28"/>
  <c r="F68" i="28"/>
  <c r="G109" i="28"/>
  <c r="F121" i="28"/>
  <c r="F87" i="28"/>
  <c r="G125" i="28"/>
  <c r="F119" i="28"/>
  <c r="F104" i="28"/>
  <c r="F176" i="28"/>
  <c r="F18" i="28"/>
  <c r="F98" i="28"/>
  <c r="F175" i="28"/>
  <c r="F64" i="28"/>
  <c r="F25" i="28"/>
  <c r="F193" i="28"/>
  <c r="F96" i="28"/>
  <c r="F94" i="28"/>
  <c r="F49" i="28"/>
  <c r="F93" i="28"/>
  <c r="F201" i="28"/>
  <c r="F126" i="28"/>
  <c r="F192"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5" i="28"/>
  <c r="G121" i="28"/>
  <c r="F127" i="28"/>
  <c r="F200" i="28"/>
  <c r="F107" i="28"/>
  <c r="H187" i="28"/>
  <c r="F44" i="28"/>
  <c r="F17" i="28"/>
  <c r="F5" i="28"/>
  <c r="F137" i="28"/>
  <c r="F41" i="28"/>
  <c r="G34" i="28"/>
  <c r="G51" i="28"/>
  <c r="F52" i="28"/>
  <c r="F51" i="28"/>
  <c r="F21" i="28"/>
  <c r="H204"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3" i="28"/>
  <c r="F196" i="28"/>
  <c r="F184" i="28"/>
  <c r="E44" i="88" l="1"/>
  <c r="D26" i="93"/>
  <c r="E32" i="99"/>
  <c r="E34" i="99" s="1"/>
  <c r="C32" i="99"/>
  <c r="C12" i="99"/>
  <c r="C15" i="99" s="1"/>
  <c r="C18" i="99" s="1"/>
  <c r="D14" i="93"/>
  <c r="AB235" i="28"/>
  <c r="L8" i="88"/>
  <c r="O11" i="88" s="1"/>
  <c r="F11" i="88"/>
  <c r="G11" i="88"/>
  <c r="N25" i="88"/>
  <c r="G25" i="88" s="1"/>
  <c r="G32" i="88"/>
  <c r="L237" i="28"/>
  <c r="AB237" i="28" s="1"/>
  <c r="AB99" i="28"/>
  <c r="G205" i="28"/>
  <c r="G203" i="28"/>
  <c r="F70" i="28"/>
  <c r="G204" i="28"/>
  <c r="F205" i="28"/>
  <c r="F187" i="28"/>
  <c r="F204" i="28"/>
  <c r="F182" i="28"/>
  <c r="F203" i="28"/>
  <c r="C34" i="99" l="1"/>
  <c r="D28" i="93"/>
  <c r="B21" i="99"/>
  <c r="B22" i="99"/>
  <c r="C21" i="99"/>
  <c r="L263" i="28"/>
  <c r="L265" i="28" s="1"/>
  <c r="G44" i="88" l="1"/>
  <c r="F25" i="89" l="1"/>
</calcChain>
</file>

<file path=xl/sharedStrings.xml><?xml version="1.0" encoding="utf-8"?>
<sst xmlns="http://schemas.openxmlformats.org/spreadsheetml/2006/main" count="6468" uniqueCount="2629">
  <si>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</si>
  <si>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</si>
  <si>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</si>
  <si>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</si>
  <si>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</si>
  <si>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</si>
  <si>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</si>
  <si>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</si>
  <si>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</si>
  <si>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</si>
  <si>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</si>
  <si>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</si>
  <si>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</si>
  <si>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</si>
  <si>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</si>
  <si>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</si>
  <si>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</si>
  <si>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</si>
  <si>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</si>
  <si>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</si>
  <si>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</si>
  <si>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</si>
  <si>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</si>
  <si>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</si>
  <si>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</si>
  <si>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</si>
  <si>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</si>
  <si>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</si>
  <si>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</si>
  <si>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</si>
  <si>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</si>
  <si>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</si>
  <si>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</si>
  <si>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</si>
  <si>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</si>
  <si>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</si>
  <si>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</si>
  <si>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</si>
  <si>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</si>
  <si>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</si>
  <si>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</si>
  <si>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</si>
  <si>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</si>
  <si>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</si>
  <si>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</si>
  <si>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</si>
  <si>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</si>
  <si>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</si>
  <si>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</si>
  <si>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</si>
  <si>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</si>
  <si>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</si>
  <si>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</si>
  <si>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</si>
  <si>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</si>
  <si>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</si>
  <si>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</si>
  <si>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</si>
  <si>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</si>
  <si>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</si>
  <si>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</si>
  <si>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</si>
  <si>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</si>
  <si>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</si>
  <si>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</si>
  <si>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</si>
  <si>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</si>
  <si>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</si>
  <si>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</si>
  <si>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</si>
  <si>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</si>
  <si>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</si>
  <si>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</si>
  <si>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</si>
  <si>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</si>
  <si>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</si>
  <si>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</si>
  <si>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</si>
  <si>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</si>
  <si>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</si>
  <si>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</si>
  <si>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</si>
  <si>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</si>
  <si>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</si>
  <si>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</si>
  <si>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</si>
  <si>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</si>
  <si>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</si>
  <si>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</si>
  <si>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</si>
  <si>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</si>
  <si>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</si>
  <si>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</si>
  <si>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</si>
  <si>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</si>
  <si>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</si>
  <si>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</si>
  <si>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</si>
  <si>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</si>
  <si>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</si>
  <si>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</si>
  <si>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</si>
  <si>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</si>
  <si>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</si>
  <si>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</si>
  <si>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</si>
  <si>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</si>
  <si>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</si>
  <si>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</si>
  <si>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</si>
  <si>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</si>
  <si>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</si>
  <si>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</si>
  <si>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</si>
  <si>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</si>
  <si>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</si>
  <si>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</si>
  <si>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</si>
  <si>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</si>
  <si>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</si>
  <si>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</si>
  <si>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</si>
  <si>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</si>
  <si>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</si>
  <si>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</si>
  <si>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</si>
  <si>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</si>
  <si>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</si>
  <si>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</si>
  <si>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</si>
  <si>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</si>
  <si>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</si>
  <si>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</si>
  <si>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</si>
  <si>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</si>
  <si>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</si>
  <si>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</si>
  <si>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</si>
  <si>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</si>
  <si>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</si>
  <si>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</si>
  <si>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</si>
  <si>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</si>
  <si>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</si>
  <si>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</si>
  <si>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</si>
  <si>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</si>
  <si>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</si>
  <si>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</si>
  <si>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</si>
  <si>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</si>
  <si>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</si>
  <si>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</si>
  <si>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</si>
  <si>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</si>
  <si>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</si>
  <si>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</si>
  <si>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</si>
  <si>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</si>
  <si>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</si>
  <si>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</si>
  <si>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</si>
  <si>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</si>
  <si>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</si>
  <si>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</si>
  <si>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</si>
  <si>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</si>
  <si>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</si>
  <si>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</si>
  <si>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</si>
  <si>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</si>
  <si>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</si>
  <si>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</si>
  <si>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</si>
  <si>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</si>
  <si>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</si>
  <si>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</si>
  <si>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</si>
  <si>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</si>
  <si>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</si>
  <si>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</si>
  <si>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</si>
  <si>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</si>
  <si>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</si>
  <si>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</si>
  <si>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</si>
  <si>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</si>
  <si>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</si>
  <si>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</si>
  <si>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</si>
  <si>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</si>
  <si>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</si>
  <si>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</si>
  <si>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</si>
  <si>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</si>
  <si>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</si>
  <si>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</si>
  <si>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</si>
  <si>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</si>
  <si>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</si>
  <si>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</si>
  <si>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</si>
  <si>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</si>
  <si>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</si>
  <si>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</si>
  <si>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</si>
  <si>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</si>
  <si>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</si>
  <si>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</si>
  <si>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</si>
  <si>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</si>
  <si>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</si>
  <si>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</si>
  <si>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</si>
  <si>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</si>
  <si>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</si>
  <si>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</si>
  <si>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</si>
  <si>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</si>
  <si>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</si>
  <si>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</si>
  <si>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</si>
  <si>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</si>
  <si>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</si>
  <si>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</si>
  <si>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</si>
  <si>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</si>
  <si>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</si>
  <si>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</si>
  <si>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</si>
  <si>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</si>
  <si>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</si>
  <si>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</si>
  <si>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</si>
  <si>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</si>
  <si>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</si>
  <si>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</si>
  <si>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</si>
  <si>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</si>
  <si>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</si>
  <si>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</si>
  <si>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</si>
  <si>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</si>
  <si>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</si>
  <si>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</si>
  <si>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</si>
  <si>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</si>
  <si>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</si>
  <si>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</si>
  <si>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</si>
  <si>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</si>
  <si>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</si>
  <si>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</si>
  <si>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</si>
  <si>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</si>
  <si>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</si>
  <si>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</si>
  <si>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</si>
  <si>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</si>
  <si>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</si>
  <si>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</si>
  <si>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</si>
  <si>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</si>
  <si>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</si>
  <si>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</si>
  <si>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</si>
  <si>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</si>
  <si>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</si>
  <si>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</si>
  <si>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</si>
  <si>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</si>
  <si>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</si>
  <si>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</si>
  <si>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</si>
  <si>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</si>
  <si>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</si>
  <si>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</si>
  <si>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</si>
  <si>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</si>
  <si>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</si>
  <si>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</si>
  <si>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</si>
  <si>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</si>
  <si>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</si>
  <si>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</si>
  <si>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</si>
  <si>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</si>
  <si>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</si>
  <si>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</si>
  <si>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</si>
  <si>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</si>
  <si>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</si>
  <si>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</si>
  <si>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</si>
  <si>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</si>
  <si>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</si>
  <si>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</si>
  <si>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</si>
  <si>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</si>
  <si>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</si>
  <si>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</si>
  <si>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</si>
  <si>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</si>
  <si>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</si>
  <si>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</si>
  <si>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</si>
  <si>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</si>
  <si>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</si>
  <si>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</si>
  <si>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</si>
  <si>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</si>
  <si>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</si>
  <si>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</si>
  <si>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</si>
  <si>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</si>
  <si>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</si>
  <si>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</si>
  <si>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</si>
  <si>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</si>
  <si>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</si>
  <si>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</si>
  <si>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</si>
  <si>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</si>
  <si>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</si>
  <si>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</si>
  <si>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</si>
  <si>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</si>
  <si>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</si>
  <si>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</si>
  <si>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</si>
  <si>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</si>
  <si>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</si>
  <si>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</si>
  <si>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</si>
  <si>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</si>
  <si>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</si>
  <si>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</si>
  <si>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</si>
  <si>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</si>
  <si>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</si>
  <si>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</si>
  <si>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</si>
  <si>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</si>
  <si>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</si>
  <si>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</si>
  <si>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</si>
  <si>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</si>
  <si>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</si>
  <si>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</si>
  <si>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</si>
  <si>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</si>
  <si>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</si>
  <si>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</si>
  <si>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</si>
  <si>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</si>
  <si>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</si>
  <si>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</si>
  <si>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</si>
  <si>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</si>
  <si>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</si>
  <si>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</si>
  <si>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</si>
  <si>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</si>
  <si>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</si>
  <si>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</si>
  <si>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</si>
  <si>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</si>
  <si>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</si>
  <si>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</si>
  <si>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</si>
  <si>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</si>
  <si>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</si>
  <si>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</si>
  <si>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</si>
  <si>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</si>
  <si>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</si>
  <si>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</si>
  <si>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</si>
  <si>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</si>
  <si>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</si>
  <si>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</si>
  <si>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</si>
  <si>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</si>
  <si>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</si>
  <si>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</si>
  <si>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</si>
  <si>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</si>
  <si>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</si>
  <si>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</si>
  <si>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</si>
  <si>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</si>
  <si>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</si>
  <si>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</si>
  <si>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</si>
  <si>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</si>
  <si>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</si>
  <si>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</si>
  <si>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</si>
  <si>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</si>
  <si>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</si>
  <si>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</si>
  <si>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</si>
  <si>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</si>
  <si>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</si>
  <si>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</si>
  <si>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</si>
  <si>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</si>
  <si>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</si>
  <si>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</si>
  <si>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</si>
  <si>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</si>
  <si>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</si>
  <si>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</si>
  <si>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</si>
  <si>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</si>
  <si>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</si>
  <si>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</si>
  <si>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</si>
  <si>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</si>
  <si>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</si>
  <si>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</si>
  <si>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</si>
  <si>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</si>
  <si>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</si>
  <si>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</si>
  <si>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</si>
  <si>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</si>
  <si>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</si>
  <si>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</si>
  <si>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</si>
  <si>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</si>
  <si>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</si>
  <si>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</si>
  <si>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</si>
  <si>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</si>
  <si>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</si>
  <si>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</si>
  <si>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</si>
  <si>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</si>
  <si>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</si>
  <si>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</si>
  <si>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</si>
  <si>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</si>
  <si>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</si>
  <si>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</si>
  <si>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</si>
  <si>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</si>
  <si>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</si>
  <si>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</si>
  <si>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</si>
  <si>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</si>
  <si>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</si>
  <si>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</si>
  <si>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</si>
  <si>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</si>
  <si>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</si>
  <si>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</si>
  <si>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</si>
  <si>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</si>
  <si>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</si>
  <si>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</si>
  <si>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</si>
  <si>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</si>
  <si>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</si>
  <si>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</si>
  <si>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</si>
  <si>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</si>
  <si>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</si>
  <si>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</si>
  <si>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</si>
  <si>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</si>
  <si>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</si>
  <si>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</si>
  <si>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</si>
  <si>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</si>
  <si>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</si>
  <si>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</si>
  <si>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</si>
  <si>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</si>
  <si>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</si>
  <si>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</si>
  <si>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</si>
  <si>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</si>
  <si>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</si>
  <si>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</si>
  <si>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</si>
  <si>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</si>
  <si>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</si>
  <si>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</si>
  <si>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</si>
  <si>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</si>
  <si>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</si>
  <si>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</si>
  <si>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</si>
  <si>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</si>
  <si>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</si>
  <si>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</si>
  <si>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</si>
  <si>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</si>
  <si>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</si>
  <si>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</si>
  <si>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</si>
  <si>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</si>
  <si>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</si>
  <si>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</si>
  <si>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</si>
  <si>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</si>
  <si>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</si>
  <si>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</si>
  <si>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</si>
  <si>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</si>
  <si>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</si>
  <si>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</si>
  <si>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</si>
  <si>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</si>
  <si>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</si>
  <si>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</si>
  <si>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</si>
  <si>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</si>
  <si>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</si>
  <si>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</si>
  <si>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</si>
  <si>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</si>
  <si>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</si>
  <si>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</si>
  <si>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</si>
  <si>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</si>
  <si>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</si>
  <si>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</si>
  <si>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</si>
  <si>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</si>
  <si>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</si>
  <si>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</si>
  <si>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</si>
  <si>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</si>
  <si>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</si>
  <si>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</si>
  <si>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</si>
  <si>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</si>
  <si>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</si>
  <si>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</si>
  <si>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</si>
  <si>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</si>
  <si>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</si>
  <si>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</si>
  <si>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</si>
  <si>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</si>
  <si>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</si>
  <si>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</si>
  <si>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</si>
  <si>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</si>
  <si>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</si>
  <si>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</si>
  <si>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</si>
  <si>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</si>
  <si>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</si>
  <si>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</si>
  <si>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</si>
  <si>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</si>
  <si>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</si>
  <si>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</si>
  <si>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</si>
  <si>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</si>
  <si>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</si>
  <si>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</si>
  <si>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</si>
  <si>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</si>
  <si>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</si>
  <si>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</si>
  <si>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</si>
  <si>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</si>
  <si>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</si>
  <si>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</si>
  <si>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</si>
  <si>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</si>
  <si>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</si>
  <si>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</si>
  <si>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</si>
  <si>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</si>
  <si>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</si>
  <si>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</si>
  <si>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</si>
  <si>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</si>
  <si>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Amount of transfer out to the General Fund that is for Payment in Lieu of Taxes (PILOT)</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</si>
  <si>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</si>
  <si>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</si>
  <si>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</si>
  <si>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</si>
  <si>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</si>
  <si>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</si>
  <si>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</si>
  <si>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</si>
  <si>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</si>
  <si>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</si>
  <si>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</si>
  <si>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</si>
  <si>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</si>
  <si>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</si>
  <si>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</si>
  <si>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</si>
  <si>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</si>
  <si>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</si>
  <si>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</si>
  <si>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</si>
  <si>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</si>
  <si>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</si>
  <si>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</si>
  <si>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</si>
  <si>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</si>
  <si>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</si>
  <si>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</si>
  <si>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</si>
  <si>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</si>
  <si>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</si>
  <si>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</si>
  <si>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</si>
  <si>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</si>
  <si>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</si>
  <si>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</si>
  <si>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</si>
  <si>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</si>
  <si>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</si>
  <si>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</si>
  <si>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</si>
  <si>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</si>
  <si>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</si>
  <si>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</si>
  <si>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</si>
  <si>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</si>
  <si>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</si>
  <si>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</si>
  <si>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</si>
  <si>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</si>
  <si>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</si>
  <si>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</si>
  <si>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</si>
  <si>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</si>
  <si>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</si>
  <si>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</si>
  <si>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</si>
  <si>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</si>
  <si>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</si>
  <si>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</si>
  <si>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</si>
  <si>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</si>
  <si>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</si>
  <si>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</si>
  <si>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</si>
  <si>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</si>
  <si>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</si>
  <si>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</si>
  <si>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</si>
  <si>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</si>
  <si>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</si>
  <si>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</si>
  <si>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</si>
  <si>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</si>
  <si>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</si>
  <si>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</si>
  <si>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</si>
  <si>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</si>
  <si>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</si>
  <si>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</si>
  <si>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</si>
  <si>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</si>
  <si>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</si>
  <si>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</si>
  <si>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</si>
  <si>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</si>
  <si>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</si>
  <si>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</si>
  <si>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</si>
  <si>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</si>
  <si>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</si>
  <si>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</si>
  <si>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</si>
  <si>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</si>
  <si>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</si>
  <si>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</si>
  <si>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</si>
  <si>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</si>
  <si>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</si>
  <si>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</si>
  <si>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</si>
  <si>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</si>
  <si>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</si>
  <si>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</si>
  <si>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</si>
  <si>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</si>
  <si>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</si>
  <si>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</si>
  <si>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</si>
  <si>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</si>
  <si>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</si>
  <si>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</si>
  <si>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</si>
  <si>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</si>
  <si>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</si>
  <si>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</si>
  <si>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</si>
  <si>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</si>
  <si>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</si>
  <si>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</si>
  <si>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</si>
  <si>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</si>
  <si>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</si>
  <si>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</si>
  <si>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</si>
  <si>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</si>
  <si>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</si>
  <si>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</si>
  <si>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</si>
  <si>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</si>
  <si>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</si>
  <si>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</si>
  <si>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</si>
  <si>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</si>
  <si>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</si>
  <si>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</si>
  <si>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</si>
  <si>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</si>
  <si>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</si>
  <si>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</si>
  <si>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</si>
  <si>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</si>
  <si>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</si>
  <si>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</si>
  <si>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</si>
  <si>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</si>
  <si>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</si>
  <si>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</si>
  <si>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</si>
  <si>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</si>
  <si>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</si>
  <si>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</si>
  <si>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</si>
  <si>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</si>
  <si>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</si>
  <si>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</si>
  <si>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</si>
  <si>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</si>
  <si>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</si>
  <si>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</si>
  <si>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</si>
  <si>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</si>
  <si>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</si>
  <si>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</si>
  <si>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</si>
  <si>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</si>
  <si>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</si>
  <si>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</si>
  <si>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</si>
  <si>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</si>
  <si>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</si>
  <si>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</si>
  <si>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</si>
  <si>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</si>
  <si>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</si>
  <si>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</si>
  <si>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</si>
  <si>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</si>
  <si>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</si>
  <si>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</si>
  <si>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</si>
  <si>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</si>
  <si>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</si>
  <si>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</si>
  <si>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</si>
  <si>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</si>
  <si>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</si>
  <si>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</si>
  <si>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</si>
  <si>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</si>
  <si>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</si>
  <si>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</si>
  <si>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</si>
  <si>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</si>
  <si>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</si>
  <si>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</si>
  <si>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</si>
  <si>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</si>
  <si>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</si>
  <si>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</si>
  <si>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</si>
  <si>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</si>
  <si>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</si>
  <si>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</si>
  <si>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</si>
  <si>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</si>
  <si>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</si>
  <si>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</si>
  <si>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</si>
  <si>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</si>
  <si>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</si>
  <si>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</si>
  <si>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</si>
  <si>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</si>
  <si>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</si>
  <si>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</si>
  <si>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</si>
  <si>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</si>
  <si>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</si>
  <si>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</si>
  <si>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</si>
  <si>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</si>
  <si>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</si>
  <si>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</si>
  <si>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t>Leave blank if data not available</t>
  </si>
  <si>
    <t>Debt Service Fund Balance</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</si>
  <si>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</si>
  <si>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</si>
  <si>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</si>
  <si>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</si>
  <si>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</si>
  <si>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</si>
  <si>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</si>
  <si>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</si>
  <si>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</si>
  <si>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</si>
  <si>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</si>
  <si>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</si>
  <si>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</si>
  <si>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</si>
  <si>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</si>
  <si>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</si>
  <si>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</si>
  <si>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</si>
  <si>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</si>
  <si>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</si>
  <si>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</si>
  <si>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</si>
  <si>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</si>
  <si>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</si>
  <si>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</si>
  <si>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</si>
  <si>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</si>
  <si>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</si>
  <si>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</si>
  <si>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</si>
  <si>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</si>
  <si>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</si>
  <si>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</si>
  <si>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</si>
  <si>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</si>
  <si>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</si>
  <si>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</si>
  <si>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</si>
  <si>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</si>
  <si>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</si>
  <si>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</si>
  <si>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</si>
  <si>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</si>
  <si>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</si>
  <si>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</si>
  <si>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</si>
  <si>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</si>
  <si>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</si>
  <si>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</si>
  <si>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</si>
  <si>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</si>
  <si>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</si>
  <si>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</si>
  <si>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</si>
  <si>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</si>
  <si>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</si>
  <si>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</si>
  <si>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</si>
  <si>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</si>
  <si>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</si>
  <si>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</si>
  <si>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</si>
  <si>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</si>
  <si>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</si>
  <si>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</si>
  <si>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</si>
  <si>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</si>
  <si>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</si>
  <si>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</si>
  <si>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</si>
  <si>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</si>
  <si>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</si>
  <si>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</si>
  <si>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</si>
  <si>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</si>
  <si>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</si>
  <si>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</si>
  <si>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</si>
  <si>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</si>
  <si>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</si>
  <si>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</si>
  <si>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</si>
  <si>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</si>
  <si>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</si>
  <si>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</si>
  <si>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</si>
  <si>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</si>
  <si>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</si>
  <si>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</si>
  <si>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</si>
  <si>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</si>
  <si>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</si>
  <si>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</si>
  <si>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</si>
  <si>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</si>
  <si>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</si>
  <si>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</si>
  <si>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</si>
  <si>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</si>
  <si>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</si>
  <si>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</si>
  <si>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</si>
  <si>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</si>
  <si>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</si>
  <si>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</si>
  <si>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</si>
  <si>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</si>
  <si>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</si>
  <si>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</si>
  <si>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</si>
  <si>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</si>
  <si>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</si>
  <si>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</si>
  <si>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</si>
  <si>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</si>
  <si>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</si>
  <si>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</si>
  <si>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</si>
  <si>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</si>
  <si>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</si>
  <si>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</si>
  <si>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</si>
  <si>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</si>
  <si>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</si>
  <si>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</si>
  <si>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</si>
  <si>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</si>
  <si>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</si>
  <si>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</si>
  <si>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</si>
  <si>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</si>
  <si>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</si>
  <si>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</si>
  <si>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</si>
  <si>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</si>
  <si>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</si>
  <si>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</si>
  <si>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</si>
  <si>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</si>
  <si>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</si>
  <si>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</si>
  <si>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</si>
  <si>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</si>
  <si>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</si>
  <si>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</si>
  <si>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</si>
  <si>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</si>
  <si>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</si>
  <si>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</si>
  <si>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</si>
  <si>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</si>
  <si>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</si>
  <si>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</si>
  <si>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</si>
  <si>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</si>
  <si>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</si>
  <si>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</si>
  <si>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</si>
  <si>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</si>
  <si>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</si>
  <si>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</si>
  <si>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</si>
  <si>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</si>
  <si>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</si>
  <si>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</si>
  <si>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</si>
  <si>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</si>
  <si>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</si>
  <si>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</si>
  <si>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Amy</t>
  </si>
  <si>
    <t>Susan</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</si>
  <si>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</si>
  <si>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</si>
  <si>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</si>
  <si>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</si>
  <si>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</si>
  <si>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</si>
  <si>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</si>
  <si>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</si>
  <si>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</si>
  <si>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</si>
  <si>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</si>
  <si>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</si>
  <si>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</si>
  <si>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</si>
  <si>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</si>
  <si>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</si>
  <si>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</si>
  <si>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Town Clerk</t>
  </si>
  <si>
    <t>Town Clerk/Finance Officer</t>
  </si>
  <si>
    <t>Date the FO signed the Data Input worksheet</t>
  </si>
  <si>
    <t>11/15/2021</t>
  </si>
  <si>
    <t>12/1/2021</t>
  </si>
  <si>
    <t>10/29/2021</t>
  </si>
  <si>
    <t>11/22/2021</t>
  </si>
  <si>
    <t>11/19/2021</t>
  </si>
  <si>
    <t>11/29/2021</t>
  </si>
  <si>
    <t>11/30/2021</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</si>
  <si>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</si>
  <si>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</si>
  <si>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</si>
  <si>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</si>
  <si>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</si>
  <si>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</si>
  <si>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</si>
  <si>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12/6/2021</t>
  </si>
  <si>
    <t>12/21/2021</t>
  </si>
  <si>
    <t>1/11/2022</t>
  </si>
  <si>
    <t>12/13/2021</t>
  </si>
  <si>
    <t>12/7/2021</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</si>
  <si>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</si>
  <si>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</si>
  <si>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</si>
  <si>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</si>
  <si>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</si>
  <si>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</si>
  <si>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</si>
  <si>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</si>
  <si>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</si>
  <si>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</si>
  <si>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</si>
  <si>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</si>
  <si>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</si>
  <si>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</si>
  <si>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</si>
  <si>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</si>
  <si>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</si>
  <si>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</si>
  <si>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</si>
  <si>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</si>
  <si>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</si>
  <si>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</si>
  <si>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</si>
  <si>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</si>
  <si>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</si>
  <si>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</si>
  <si>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</si>
  <si>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</si>
  <si>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</si>
  <si>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</si>
  <si>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</si>
  <si>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</si>
  <si>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</si>
  <si>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</si>
  <si>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</si>
  <si>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</si>
  <si>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</si>
  <si>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</si>
  <si>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</si>
  <si>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</si>
  <si>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</si>
  <si>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</si>
  <si>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</si>
  <si>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</si>
  <si>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</si>
  <si>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</si>
  <si>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</si>
  <si>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</si>
  <si>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</si>
  <si>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</si>
  <si>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</si>
  <si>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</si>
  <si>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</si>
  <si>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</si>
  <si>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</si>
  <si>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</si>
  <si>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</si>
  <si>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</si>
  <si>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</si>
  <si>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</si>
  <si>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</si>
  <si>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</si>
  <si>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</si>
  <si>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</si>
  <si>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</si>
  <si>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</si>
  <si>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</si>
  <si>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</si>
  <si>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</si>
  <si>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</si>
  <si>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</si>
  <si>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</si>
  <si>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</si>
  <si>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</si>
  <si>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</si>
  <si>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</si>
  <si>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</si>
  <si>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</si>
  <si>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</si>
  <si>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</si>
  <si>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</si>
  <si>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</si>
  <si>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</si>
  <si>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</si>
  <si>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</si>
  <si>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</si>
  <si>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</si>
  <si>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</si>
  <si>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</si>
  <si>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</si>
  <si>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</si>
  <si>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</si>
  <si>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</si>
  <si>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</si>
  <si>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</si>
  <si>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</si>
  <si>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</si>
  <si>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</si>
  <si>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</si>
  <si>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</si>
  <si>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</si>
  <si>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</si>
  <si>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</si>
  <si>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</si>
  <si>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</si>
  <si>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</si>
  <si>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</si>
  <si>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</si>
  <si>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</si>
  <si>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</si>
  <si>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Graham</t>
  </si>
  <si>
    <t>Hudson</t>
  </si>
  <si>
    <t>Town Administrator</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</si>
  <si>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</si>
  <si>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</si>
  <si>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</si>
  <si>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</si>
  <si>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</si>
  <si>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</si>
  <si>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</si>
  <si>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</si>
  <si>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</si>
  <si>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</si>
  <si>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</si>
  <si>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</si>
  <si>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Note: If more than one performance indicator is identified,  one proposed solution may solve all water and sewer performance indicators.</t>
  </si>
  <si>
    <t>5.</t>
  </si>
  <si>
    <t>Cash Flow Indicators:</t>
  </si>
  <si>
    <t>6.</t>
  </si>
  <si>
    <t>7.</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</si>
  <si>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</si>
  <si>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</si>
  <si>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</si>
  <si>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</si>
  <si>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</si>
  <si>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</si>
  <si>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</si>
  <si>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</si>
  <si>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</si>
  <si>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</si>
  <si>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</si>
  <si>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</si>
  <si>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</si>
  <si>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</si>
  <si>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</si>
  <si>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</si>
  <si>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</si>
  <si>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</si>
  <si>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</si>
  <si>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</si>
  <si>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</si>
  <si>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</si>
  <si>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</si>
  <si>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</si>
  <si>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</si>
  <si>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</si>
  <si>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</si>
  <si>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</si>
  <si>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</si>
  <si>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</si>
  <si>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</si>
  <si>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</si>
  <si>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</si>
  <si>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</si>
  <si>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</si>
  <si>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</si>
  <si>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</si>
  <si>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</si>
  <si>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</si>
  <si>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</si>
  <si>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</si>
  <si>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</si>
  <si>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</si>
  <si>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</si>
  <si>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</si>
  <si>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</si>
  <si>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</si>
  <si>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</si>
  <si>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</si>
  <si>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</si>
  <si>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</si>
  <si>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</si>
  <si>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</si>
  <si>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</si>
  <si>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</si>
  <si>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</si>
  <si>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</si>
  <si>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</si>
  <si>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</si>
  <si>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</si>
  <si>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</si>
  <si>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</si>
  <si>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</si>
  <si>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</si>
  <si>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</si>
  <si>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</si>
  <si>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</si>
  <si>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</si>
  <si>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</si>
  <si>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</si>
  <si>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</si>
  <si>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</si>
  <si>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</si>
  <si>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</si>
  <si>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</si>
  <si>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</si>
  <si>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</si>
  <si>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</si>
  <si>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</si>
  <si>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</si>
  <si>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</si>
  <si>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</si>
  <si>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</si>
  <si>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</si>
  <si>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</si>
  <si>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</si>
  <si>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</si>
  <si>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</si>
  <si>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</si>
  <si>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</si>
  <si>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</si>
  <si>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</si>
  <si>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</si>
  <si>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</si>
  <si>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</si>
  <si>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</si>
  <si>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</si>
  <si>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</si>
  <si>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</si>
  <si>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</si>
  <si>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</si>
  <si>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</si>
  <si>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</si>
  <si>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</si>
  <si>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</si>
  <si>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</si>
  <si>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</si>
  <si>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</si>
  <si>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</si>
  <si>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</si>
  <si>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</si>
  <si>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</si>
  <si>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</si>
  <si>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</si>
  <si>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</si>
  <si>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</si>
  <si>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</si>
  <si>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</si>
  <si>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</si>
  <si>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</si>
  <si>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</si>
  <si>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</si>
  <si>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</si>
  <si>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</si>
  <si>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</si>
  <si>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</si>
  <si>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</si>
  <si>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</si>
  <si>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</si>
  <si>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</si>
  <si>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</si>
  <si>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</si>
  <si>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</si>
  <si>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</si>
  <si>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</si>
  <si>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</si>
  <si>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</si>
  <si>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</si>
  <si>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</si>
  <si>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</si>
  <si>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</si>
  <si>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</si>
  <si>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</si>
  <si>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</si>
  <si>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</si>
  <si>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</si>
  <si>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</si>
  <si>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</si>
  <si>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</si>
  <si>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</si>
  <si>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</si>
  <si>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</si>
  <si>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</si>
  <si>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</si>
  <si>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</si>
  <si>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</si>
  <si>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</si>
  <si>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</si>
  <si>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</si>
  <si>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</si>
  <si>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</si>
  <si>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</si>
  <si>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</si>
  <si>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</si>
  <si>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</si>
  <si>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</si>
  <si>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</si>
  <si>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</si>
  <si>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</si>
  <si>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</si>
  <si>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</si>
  <si>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</si>
  <si>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</si>
  <si>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</si>
  <si>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</si>
  <si>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</si>
  <si>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</si>
  <si>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</si>
  <si>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</si>
  <si>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</si>
  <si>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</si>
  <si>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</si>
  <si>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</si>
  <si>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</si>
  <si>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</si>
  <si>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</si>
  <si>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</si>
  <si>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</si>
  <si>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</si>
  <si>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</si>
  <si>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</si>
  <si>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</si>
  <si>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</si>
  <si>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</si>
  <si>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</si>
  <si>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</si>
  <si>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</si>
  <si>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</si>
  <si>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</si>
  <si>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</si>
  <si>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</si>
  <si>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</si>
  <si>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</si>
  <si>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</si>
  <si>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</si>
  <si>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</si>
  <si>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</si>
  <si>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</si>
  <si>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</si>
  <si>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</si>
  <si>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</si>
  <si>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</si>
  <si>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</si>
  <si>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</si>
  <si>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</si>
  <si>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</si>
  <si>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</si>
  <si>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</si>
  <si>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</si>
  <si>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</si>
  <si>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</si>
  <si>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</si>
  <si>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</si>
  <si>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</si>
  <si>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</si>
  <si>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</si>
  <si>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</si>
  <si>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</si>
  <si>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</si>
  <si>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</si>
  <si>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</si>
  <si>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</si>
  <si>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</si>
  <si>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</si>
  <si>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</si>
  <si>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</si>
  <si>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</si>
  <si>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</si>
  <si>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</si>
  <si>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</si>
  <si>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</si>
  <si>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</si>
  <si>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</si>
  <si>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</si>
  <si>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</si>
  <si>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</si>
  <si>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</si>
  <si>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</si>
  <si>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</si>
  <si>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</si>
  <si>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</si>
  <si>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</si>
  <si>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</si>
  <si>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</si>
  <si>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</si>
  <si>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</si>
  <si>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</si>
  <si>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</si>
  <si>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</si>
  <si>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</si>
  <si>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</si>
  <si>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</si>
  <si>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</si>
  <si>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</si>
  <si>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</si>
  <si>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</si>
  <si>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</si>
  <si>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</si>
  <si>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</si>
  <si>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</si>
  <si>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</si>
  <si>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</si>
  <si>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</si>
  <si>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</si>
  <si>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</si>
  <si>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</si>
  <si>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</si>
  <si>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</si>
  <si>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</si>
  <si>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</si>
  <si>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</si>
  <si>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</si>
  <si>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</si>
  <si>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</si>
  <si>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</si>
  <si>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</si>
  <si>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</si>
  <si>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</si>
  <si>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</si>
  <si>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</si>
  <si>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</si>
  <si>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</si>
  <si>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</si>
  <si>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</si>
  <si>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</si>
  <si>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</si>
  <si>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</si>
  <si>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</si>
  <si>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</si>
  <si>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</si>
  <si>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</si>
  <si>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</si>
  <si>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</si>
  <si>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</si>
  <si>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</si>
  <si>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</si>
  <si>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</si>
  <si>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</si>
  <si>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</si>
  <si>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</si>
  <si>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</si>
  <si>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</si>
  <si>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</si>
  <si>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</si>
  <si>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</si>
  <si>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</si>
  <si>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</si>
  <si>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</si>
  <si>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</si>
  <si>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</si>
  <si>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</si>
  <si>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</si>
  <si>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</si>
  <si>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</si>
  <si>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</si>
  <si>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</si>
  <si>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</si>
  <si>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</si>
  <si>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</si>
  <si>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</si>
  <si>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</si>
  <si>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</si>
  <si>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</si>
  <si>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</si>
  <si>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</si>
  <si>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</si>
  <si>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</si>
  <si>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</si>
  <si>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</si>
  <si>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</si>
  <si>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</si>
  <si>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</si>
  <si>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</si>
  <si>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</si>
  <si>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</si>
  <si>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</si>
  <si>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</si>
  <si>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</si>
  <si>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</si>
  <si>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</si>
  <si>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</si>
  <si>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</si>
  <si>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</si>
  <si>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</si>
  <si>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</si>
  <si>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</si>
  <si>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</si>
  <si>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</si>
  <si>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t>Amount expended for Powell Bill expenditures in the General Fund</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</si>
  <si>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</si>
  <si>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</si>
  <si>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</si>
  <si>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</si>
  <si>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</si>
  <si>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</si>
  <si>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</si>
  <si>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</si>
  <si>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</si>
  <si>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</si>
  <si>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</si>
  <si>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Data Collection</t>
  </si>
  <si>
    <t>Unit Number</t>
  </si>
  <si>
    <t>Electric Fund  Transfer Policy</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</si>
  <si>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</si>
  <si>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</si>
  <si>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</si>
  <si>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</si>
  <si>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</si>
  <si>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</si>
  <si>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</si>
  <si>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</si>
  <si>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</si>
  <si>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</si>
  <si>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</si>
  <si>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</si>
  <si>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</si>
  <si>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</si>
  <si>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</si>
  <si>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</si>
  <si>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</si>
  <si>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TD Info Completed by Auditor : CCH acct # 1059</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</si>
  <si>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</si>
  <si>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</si>
  <si>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</si>
  <si>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</si>
  <si>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</si>
  <si>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</si>
  <si>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</si>
  <si>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</si>
  <si>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</si>
  <si>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</si>
  <si>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</si>
  <si>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</si>
  <si>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</si>
  <si>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</si>
  <si>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</si>
  <si>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TD Info Completed by Auditor : CCH acct # 973</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</si>
  <si>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</si>
  <si>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If unit is an employer participant in one of the State Cost Sharing Plans rows 185 - 187 should be blank.  Unless they have an additional single employer plan.</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</si>
  <si>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</si>
  <si>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</si>
  <si>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</si>
  <si>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</si>
  <si>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</si>
  <si>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</si>
  <si>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</si>
  <si>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</si>
  <si>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</si>
  <si>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</si>
  <si>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</si>
  <si>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</si>
  <si>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</si>
  <si>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</si>
  <si>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</si>
  <si>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</si>
  <si>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</si>
  <si>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</si>
  <si>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</si>
  <si>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</si>
  <si>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</si>
  <si>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</si>
  <si>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</si>
  <si>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</si>
  <si>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</si>
  <si>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</si>
  <si>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</si>
  <si>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</si>
  <si>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</si>
  <si>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</si>
  <si>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</si>
  <si>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</si>
  <si>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</si>
  <si>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</si>
  <si>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</si>
  <si>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</si>
  <si>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</si>
  <si>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</si>
  <si>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</si>
  <si>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</si>
  <si>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</si>
  <si>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</si>
  <si>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statutory violations (not including budget violations) (Yes or No)</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</si>
  <si>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</si>
  <si>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</si>
  <si>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</si>
  <si>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</si>
  <si>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</si>
  <si>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GF FBA% of Exp w/o Powell Bill Formula: (506+536-4-5-6-11+647)/(532+20+509-533-508)</t>
  </si>
  <si>
    <t>Mark to Market unrealized losses in the General Fund</t>
  </si>
  <si>
    <t>Mark to Market unrealized losses in the Water and Sewer Fund</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</si>
  <si>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</si>
  <si>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</si>
  <si>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</si>
  <si>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</si>
  <si>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</si>
  <si>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</si>
  <si>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</si>
  <si>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</si>
  <si>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</si>
  <si>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</si>
  <si>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</si>
  <si>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</si>
  <si>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</si>
  <si>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9/29/2021</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</si>
  <si>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</si>
  <si>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</si>
  <si>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Unit Data from Audit Worksheet tab : 84-85+49-331-89</t>
  </si>
  <si>
    <t>Unit Data from Audit worksheet tab : 93-94+52-100-98</t>
  </si>
  <si>
    <t>Unit Data from Audit worksheet tab : 90/(364+94-52+100)</t>
  </si>
  <si>
    <t>Unit Data from Audit worksheet tab : 80/(85+351-49+331)</t>
  </si>
  <si>
    <t>Capital Assets for Water and Sewer Activity (If unit maintains separate funds please combine all water, sewer and wastewater funds into one activity for purposes of this worksheet)
Exclude Stormwater funds</t>
  </si>
  <si>
    <t xml:space="preserve">The TD Info Completed by Auditor Worksheet is to be filled out using the completed audit report for the fiscal year 2023. </t>
  </si>
  <si>
    <t xml:space="preserve">- Excel file named “Unit Name 2023 Data Input Workbook" </t>
  </si>
  <si>
    <t xml:space="preserve">- PDF file of the Audit Report named “Unit Name 2023 Audit”             </t>
  </si>
  <si>
    <t>Please remember the original 2023 audit report submission cannot be processed unless we receive the following:</t>
  </si>
  <si>
    <t>Location of Documents for the 2023 Audit Submission Process</t>
  </si>
  <si>
    <t>Instructions for Audits with a Fiscal Year Ending Earlier than June 30, 2023</t>
  </si>
  <si>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</si>
  <si>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</si>
  <si>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 xml:space="preserve"> Did the unit have a board-appointed finance officer or board-appointed interim finance officer for the entire fiscal year (Yes or No)</t>
  </si>
  <si>
    <t>Has the finance officer or interim finance officer been formally appointed by the local government, public authority, or designated official?  (Y/N)</t>
  </si>
  <si>
    <t>TD Info Completed by Auditor : CCH acct # 1067</t>
  </si>
  <si>
    <t>Section 2:</t>
  </si>
  <si>
    <t xml:space="preserve">Does the unit have a self-insurance fund? </t>
  </si>
  <si>
    <t>Does the unit have a self-insurance fund</t>
  </si>
  <si>
    <t>American Rescue Plan Act (ARPA)</t>
  </si>
  <si>
    <t>Unrestricted cash /total expenses excluding depreciation, including debt service principal</t>
  </si>
  <si>
    <t>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</si>
  <si>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 xml:space="preserve">Is there is a going concern noted in the audit report? </t>
  </si>
  <si>
    <r>
      <t xml:space="preserve">Number of </t>
    </r>
    <r>
      <rPr>
        <b/>
        <sz val="11"/>
        <color theme="1"/>
        <rFont val="Calibri"/>
        <family val="2"/>
        <scheme val="minor"/>
      </rPr>
      <t>significant deficiency</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</si>
  <si>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"7/1/2023" to indicate that an FPIC response is not required.</t>
    </r>
  </si>
  <si>
    <t>If the unit is self-insured for employee health care, does the unit use a qualified consultant to establish rates and appropriate reserve levels?</t>
  </si>
  <si>
    <t>If the unit is self-insured for employee health care, does the unit use a qualified consultant to establish rates and appropriate reserve levels</t>
  </si>
  <si>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</si>
  <si>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r>
      <t xml:space="preserve">Number of </t>
    </r>
    <r>
      <rPr>
        <b/>
        <sz val="11"/>
        <color theme="1"/>
        <rFont val="Calibri"/>
        <family val="2"/>
        <scheme val="minor"/>
      </rPr>
      <t>material weakness</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</si>
  <si>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t>Transfers from General Fund to Water and Sewer Fund</t>
  </si>
  <si>
    <t>Transfers from Water and Sewer to General Fund</t>
  </si>
  <si>
    <t>Amount transferred from the Water and Sewer Fund to a Water and Sewer Capital Project Fund</t>
  </si>
  <si>
    <t>Not collected in prior years</t>
  </si>
  <si>
    <r>
      <t xml:space="preserve">The Unit had material weaknesses, significant deficiencies, statutory violations and/or items identified on the </t>
    </r>
    <r>
      <rPr>
        <b/>
        <i/>
        <sz val="11"/>
        <rFont val="Calibri"/>
        <family val="2"/>
        <scheme val="minor"/>
      </rPr>
      <t>TD Info Completed by Auditor</t>
    </r>
    <r>
      <rPr>
        <b/>
        <sz val="11"/>
        <rFont val="Calibri"/>
        <family val="2"/>
        <scheme val="minor"/>
      </rPr>
      <t xml:space="preserve"> tab that should be addressed in the FPIC Response Letter.  </t>
    </r>
  </si>
  <si>
    <t>The indicator is to determine if any time during the f fiscal year, the unit was without a board-appointed finance officer.</t>
  </si>
  <si>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1/1/2024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</si>
  <si>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t>Cabarrus, Carteret, Edgecome, Franklin, Granville, Halifax, Nash, Perquimans, Pitt, Richmond, Roberson, Rockingham, Vance, Wake, Wilson, Yancey</t>
  </si>
  <si>
    <t>This is a description question that is retained on the data input tab - This information is not uploaded to CCH or our data base</t>
  </si>
  <si>
    <t>Capital -</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</si>
  <si>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</si>
  <si>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</si>
  <si>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</si>
  <si>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</si>
  <si>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</si>
  <si>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</si>
  <si>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</si>
  <si>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</si>
  <si>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</si>
  <si>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7/1/2022</t>
  </si>
  <si>
    <t>yes</t>
  </si>
  <si>
    <t>11/14/2022</t>
  </si>
  <si>
    <t>11/30/2022</t>
  </si>
  <si>
    <t>10/31/2022</t>
  </si>
  <si>
    <t>12/20/2022</t>
  </si>
  <si>
    <t>11/28/2022</t>
  </si>
  <si>
    <t>12/1/2022</t>
  </si>
  <si>
    <t>10/28/2022</t>
  </si>
  <si>
    <t>11/17/2022</t>
  </si>
  <si>
    <t>Number of other matters that auditor asked the unit to respond to.</t>
  </si>
  <si>
    <t>12/13/2022</t>
  </si>
  <si>
    <t>1/10/2023</t>
  </si>
  <si>
    <t>11/15/2022</t>
  </si>
  <si>
    <t>1/3/2023</t>
  </si>
  <si>
    <t>12/5/2022</t>
  </si>
  <si>
    <t>11/21/2022</t>
  </si>
  <si>
    <t>Amount transferred from the Electric Fund to an Electric Capital Project Fund</t>
  </si>
  <si>
    <t>Mark to Market unrealized losses in the General Fund.</t>
  </si>
  <si>
    <t>Mark to Market unrealized losses in the Water and Sewer Fund.</t>
  </si>
  <si>
    <t>Mark to Market unrealized losses in the Electric Fund.</t>
  </si>
  <si>
    <t>Did your audit disclose as a finding bank reconciliations or subsidiary ledger reconciliations not performed timely? (Yes or No)</t>
  </si>
  <si>
    <t>Did your audit disclose as a finding that the unitGÇÖs records were not completed by the agreed upon time? (Yes or No)</t>
  </si>
  <si>
    <t>Did the unit have a board-appointed finance officer the entire fiscal year? (Yes or No)?</t>
  </si>
  <si>
    <t>Total ARPA funds actually expended since inception as of June 30th. -áDo not include encumbered funds in this number.</t>
  </si>
  <si>
    <t>Total ARPA funds committed and not yet expended since inception as of June 30th.</t>
  </si>
  <si>
    <t>Are the-á ARPA-related funds on target to be committed by December 31, 2024? (Yes or No)</t>
  </si>
  <si>
    <t>Are the-á ARPA-related funds on target to be completely expended by December 31, 2026? (Yes or No)</t>
  </si>
  <si>
    <t>Single Audit Only - Coronavirus State and Local Recovery Funds expenditures (21.027)</t>
  </si>
  <si>
    <t>Single Audit Only - Opioid Settlement Funds</t>
  </si>
  <si>
    <t>Date Audit First Received</t>
  </si>
  <si>
    <t>2022-11-29</t>
  </si>
  <si>
    <t>2022-10-31</t>
  </si>
  <si>
    <t>2022-11-28</t>
  </si>
  <si>
    <t>2022-12-01</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</si>
  <si>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</si>
  <si>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</si>
  <si>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</si>
  <si>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</si>
  <si>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Audit Report 2022</t>
  </si>
  <si>
    <t>sum</t>
  </si>
  <si>
    <t>Net Total row 279 less row 326</t>
  </si>
  <si>
    <t>Batch Total 9000</t>
  </si>
  <si>
    <t>New Account 647 for FY 2020 added to formula and new account 1050 added FY 2022</t>
  </si>
  <si>
    <t>Audit Year  2021</t>
  </si>
  <si>
    <t>-</t>
  </si>
  <si>
    <t>Units with Electric Operations have 0.07, 0.08, 0.09</t>
  </si>
  <si>
    <t>PY 2</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</si>
  <si>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</si>
  <si>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r>
      <t>Fund balance available for appropriation is an important reserve for local governments to provide cash flow during pe</t>
    </r>
    <r>
      <rPr>
        <sz val="12"/>
        <rFont val="Calibri"/>
        <family val="2"/>
        <scheme val="minor"/>
      </rPr>
      <t xml:space="preserve">riods of declining revenues and to be used for emergencies and unforeseen expenditures.  The information to the left indicates the amount of available cash on hand.  You will also see the average for units of your size. </t>
    </r>
    <r>
      <rPr>
        <b/>
        <sz val="12"/>
        <rFont val="Calibri"/>
        <family val="2"/>
        <scheme val="minor"/>
      </rPr>
      <t xml:space="preserve"> Note that 8.33% represents enough fund balance to cover only one month of expenditures.</t>
    </r>
    <r>
      <rPr>
        <sz val="12"/>
        <rFont val="Calibri"/>
        <family val="2"/>
        <scheme val="minor"/>
      </rPr>
      <t xml:space="preserve">  Normally, a unit has to either increase revenues or decrease expenditures to increase fund balance available. 
This calculation looks at fund balance available plus debt service fund balance (if applicable) </t>
    </r>
    <r>
      <rPr>
        <sz val="12"/>
        <color theme="1"/>
        <rFont val="Calibri"/>
        <family val="2"/>
        <scheme val="minor"/>
      </rPr>
      <t xml:space="preserve">less Powell Bill </t>
    </r>
    <r>
      <rPr>
        <sz val="12"/>
        <rFont val="Calibri"/>
        <family val="2"/>
        <scheme val="minor"/>
      </rPr>
      <t>restricted fund balance</t>
    </r>
    <r>
      <rPr>
        <sz val="12"/>
        <color rgb="FFFF0000"/>
        <rFont val="Calibri"/>
        <family val="2"/>
        <scheme val="minor"/>
      </rPr>
      <t>.</t>
    </r>
    <r>
      <rPr>
        <sz val="12"/>
        <color theme="1"/>
        <rFont val="Calibri"/>
        <family val="2"/>
        <scheme val="minor"/>
      </rPr>
      <t xml:space="preserve">  This number is them divided by the total of total expenditures plus transfers out less bond proceeds and less amount expended for Powell Bill Expenditures.
</t>
    </r>
  </si>
  <si>
    <t>2021-2022</t>
  </si>
  <si>
    <t xml:space="preserve">CABARRUS </t>
  </si>
  <si>
    <t>Cabarrus County</t>
  </si>
  <si>
    <t xml:space="preserve">CARTERET </t>
  </si>
  <si>
    <t>Carteret County</t>
  </si>
  <si>
    <t xml:space="preserve">EDGECOMBE </t>
  </si>
  <si>
    <t xml:space="preserve">FRANKLIN </t>
  </si>
  <si>
    <t>Franklin County</t>
  </si>
  <si>
    <t xml:space="preserve">GRANVILLE </t>
  </si>
  <si>
    <t>Granville County</t>
  </si>
  <si>
    <t xml:space="preserve">HALIFAX </t>
  </si>
  <si>
    <t>Halifax County</t>
  </si>
  <si>
    <t xml:space="preserve">NASH </t>
  </si>
  <si>
    <t>Nash County</t>
  </si>
  <si>
    <t xml:space="preserve">PERQUIMANS </t>
  </si>
  <si>
    <t>Perquimans County</t>
  </si>
  <si>
    <t xml:space="preserve">PITT </t>
  </si>
  <si>
    <t>Pitt County</t>
  </si>
  <si>
    <t xml:space="preserve">RICHMOND </t>
  </si>
  <si>
    <t>Richmond County</t>
  </si>
  <si>
    <t xml:space="preserve">ROBESON </t>
  </si>
  <si>
    <t>Robeson County</t>
  </si>
  <si>
    <t xml:space="preserve">ROCKINGHAM </t>
  </si>
  <si>
    <t>Rockingham County</t>
  </si>
  <si>
    <t xml:space="preserve">VANCE </t>
  </si>
  <si>
    <t>Vance County</t>
  </si>
  <si>
    <t xml:space="preserve">WAKE </t>
  </si>
  <si>
    <t>Wake County</t>
  </si>
  <si>
    <t xml:space="preserve">WILSON </t>
  </si>
  <si>
    <t>Wilson County</t>
  </si>
  <si>
    <t xml:space="preserve">ALAMANCE </t>
  </si>
  <si>
    <t>Alamance County</t>
  </si>
  <si>
    <t xml:space="preserve">ALEXANDER </t>
  </si>
  <si>
    <t>Alexander County</t>
  </si>
  <si>
    <t xml:space="preserve">ALLEGHANY  </t>
  </si>
  <si>
    <t>Alleghany County</t>
  </si>
  <si>
    <t xml:space="preserve">ANSON </t>
  </si>
  <si>
    <t xml:space="preserve">ASHE </t>
  </si>
  <si>
    <t>Ashe County</t>
  </si>
  <si>
    <t xml:space="preserve">AVERY </t>
  </si>
  <si>
    <t>Avery County</t>
  </si>
  <si>
    <t xml:space="preserve">BEAUFORT </t>
  </si>
  <si>
    <t>Beaufort County</t>
  </si>
  <si>
    <t xml:space="preserve">BERTIE </t>
  </si>
  <si>
    <t xml:space="preserve">BLADEN </t>
  </si>
  <si>
    <t>Bladen County</t>
  </si>
  <si>
    <t xml:space="preserve">BRUNSWICK </t>
  </si>
  <si>
    <t>Brunswick County</t>
  </si>
  <si>
    <t xml:space="preserve">BUNCOMBE </t>
  </si>
  <si>
    <t>Buncombe County</t>
  </si>
  <si>
    <t xml:space="preserve">BURKE </t>
  </si>
  <si>
    <t>Burke County</t>
  </si>
  <si>
    <t xml:space="preserve">CALDWELL </t>
  </si>
  <si>
    <t>Caldwell County</t>
  </si>
  <si>
    <t xml:space="preserve">CAMDEN </t>
  </si>
  <si>
    <t>Camden County</t>
  </si>
  <si>
    <t xml:space="preserve">CASWELL </t>
  </si>
  <si>
    <t xml:space="preserve">CATAWBA </t>
  </si>
  <si>
    <t>Catawba County</t>
  </si>
  <si>
    <t xml:space="preserve">CHATHAM </t>
  </si>
  <si>
    <t>Chatham County</t>
  </si>
  <si>
    <t xml:space="preserve">CHEROKEE </t>
  </si>
  <si>
    <t xml:space="preserve">CHOWAN </t>
  </si>
  <si>
    <t>Chowan County</t>
  </si>
  <si>
    <t xml:space="preserve">CLAY </t>
  </si>
  <si>
    <t>Clay County</t>
  </si>
  <si>
    <t xml:space="preserve">CLEVELAND </t>
  </si>
  <si>
    <t>Cleveland County</t>
  </si>
  <si>
    <t xml:space="preserve">COLUMBUS </t>
  </si>
  <si>
    <t xml:space="preserve">CRAVEN </t>
  </si>
  <si>
    <t>Craven County</t>
  </si>
  <si>
    <t xml:space="preserve">CUMBERLAND </t>
  </si>
  <si>
    <t>Cumberland County</t>
  </si>
  <si>
    <t xml:space="preserve">CURRITUCK </t>
  </si>
  <si>
    <t>Currituck County</t>
  </si>
  <si>
    <t xml:space="preserve">DARE </t>
  </si>
  <si>
    <t>Dare County</t>
  </si>
  <si>
    <t xml:space="preserve">DAVIDSON </t>
  </si>
  <si>
    <t>Davidson County</t>
  </si>
  <si>
    <t xml:space="preserve">DAVIE </t>
  </si>
  <si>
    <t>Davie County</t>
  </si>
  <si>
    <t xml:space="preserve">DUPLIN </t>
  </si>
  <si>
    <t>Duplin County</t>
  </si>
  <si>
    <t xml:space="preserve">DURHAM </t>
  </si>
  <si>
    <t>Durham County</t>
  </si>
  <si>
    <t xml:space="preserve">FORSYTH </t>
  </si>
  <si>
    <t>Forsyth County</t>
  </si>
  <si>
    <t xml:space="preserve">GASTON </t>
  </si>
  <si>
    <t>Gaston County</t>
  </si>
  <si>
    <t xml:space="preserve">GATES </t>
  </si>
  <si>
    <t>Gates County</t>
  </si>
  <si>
    <t xml:space="preserve">GRAHAM </t>
  </si>
  <si>
    <t>Graham County</t>
  </si>
  <si>
    <t xml:space="preserve">GREENE </t>
  </si>
  <si>
    <t>Greene County</t>
  </si>
  <si>
    <t xml:space="preserve">GUILFORD </t>
  </si>
  <si>
    <t>Guilford County</t>
  </si>
  <si>
    <t xml:space="preserve">HARNETT </t>
  </si>
  <si>
    <t>Harnett County</t>
  </si>
  <si>
    <t xml:space="preserve">HAYWOOD </t>
  </si>
  <si>
    <t>Haywood County</t>
  </si>
  <si>
    <t xml:space="preserve">HENDERSON </t>
  </si>
  <si>
    <t>Henderson County</t>
  </si>
  <si>
    <t xml:space="preserve">HERTFORD </t>
  </si>
  <si>
    <t>Hertford County</t>
  </si>
  <si>
    <t xml:space="preserve">HOKE </t>
  </si>
  <si>
    <t>Hoke County</t>
  </si>
  <si>
    <t xml:space="preserve">HYDE </t>
  </si>
  <si>
    <t xml:space="preserve">IREDELL </t>
  </si>
  <si>
    <t>Iredell County</t>
  </si>
  <si>
    <t xml:space="preserve">JACKSON </t>
  </si>
  <si>
    <t>Jackson County</t>
  </si>
  <si>
    <t xml:space="preserve">JOHNSTON </t>
  </si>
  <si>
    <t>Johnston County</t>
  </si>
  <si>
    <t xml:space="preserve">JONES </t>
  </si>
  <si>
    <t>Jones County</t>
  </si>
  <si>
    <t xml:space="preserve">LEE </t>
  </si>
  <si>
    <t>Lee County</t>
  </si>
  <si>
    <t xml:space="preserve">LENOIR </t>
  </si>
  <si>
    <t>Lenoir County</t>
  </si>
  <si>
    <t xml:space="preserve">LINCOLN </t>
  </si>
  <si>
    <t>Lincoln County</t>
  </si>
  <si>
    <t xml:space="preserve">MACON </t>
  </si>
  <si>
    <t>Macon County</t>
  </si>
  <si>
    <t xml:space="preserve">MADISON </t>
  </si>
  <si>
    <t>Madison County</t>
  </si>
  <si>
    <t xml:space="preserve">MARTIN </t>
  </si>
  <si>
    <t xml:space="preserve">MCDOWELL </t>
  </si>
  <si>
    <t>Mcdowell County</t>
  </si>
  <si>
    <t xml:space="preserve">MECKLENBURG </t>
  </si>
  <si>
    <t>Mecklenburg County</t>
  </si>
  <si>
    <t xml:space="preserve">MITCHELL </t>
  </si>
  <si>
    <t>Mitchell County</t>
  </si>
  <si>
    <t xml:space="preserve">MONTGOMERY </t>
  </si>
  <si>
    <t>Montgomery County</t>
  </si>
  <si>
    <t xml:space="preserve">MOORE </t>
  </si>
  <si>
    <t>Moore County</t>
  </si>
  <si>
    <t xml:space="preserve">NEW HANOVER </t>
  </si>
  <si>
    <t>New Hanover County</t>
  </si>
  <si>
    <t xml:space="preserve">NORTHAMPTON </t>
  </si>
  <si>
    <t xml:space="preserve">ONSLOW </t>
  </si>
  <si>
    <t>Onslow County</t>
  </si>
  <si>
    <t xml:space="preserve">ORANGE </t>
  </si>
  <si>
    <t>Orange County</t>
  </si>
  <si>
    <t xml:space="preserve">PAMLICO </t>
  </si>
  <si>
    <t>Pamlico County</t>
  </si>
  <si>
    <t xml:space="preserve">PASQUOTANK </t>
  </si>
  <si>
    <t>Pasquotank County</t>
  </si>
  <si>
    <t xml:space="preserve">PENDER </t>
  </si>
  <si>
    <t xml:space="preserve">PERSON </t>
  </si>
  <si>
    <t>Person County</t>
  </si>
  <si>
    <t xml:space="preserve">POLK </t>
  </si>
  <si>
    <t>Polk County</t>
  </si>
  <si>
    <t xml:space="preserve">RANDOLPH </t>
  </si>
  <si>
    <t>Randolph County</t>
  </si>
  <si>
    <t xml:space="preserve">ROWAN </t>
  </si>
  <si>
    <t>Rowan County</t>
  </si>
  <si>
    <t xml:space="preserve">RUTHERFORD </t>
  </si>
  <si>
    <t>Rutherford County</t>
  </si>
  <si>
    <t xml:space="preserve">SAMPSON </t>
  </si>
  <si>
    <t>Sampson County</t>
  </si>
  <si>
    <t xml:space="preserve">SCOTLAND </t>
  </si>
  <si>
    <t xml:space="preserve">STANLY </t>
  </si>
  <si>
    <t>Stanly County</t>
  </si>
  <si>
    <t xml:space="preserve">STOKES </t>
  </si>
  <si>
    <t>Stokes County</t>
  </si>
  <si>
    <t xml:space="preserve">SURRY </t>
  </si>
  <si>
    <t>Surry County</t>
  </si>
  <si>
    <t xml:space="preserve">SWAIN </t>
  </si>
  <si>
    <t>Swain County</t>
  </si>
  <si>
    <t xml:space="preserve">TRANSYLVANIA </t>
  </si>
  <si>
    <t>Transylvania County</t>
  </si>
  <si>
    <t xml:space="preserve">TYRRELL </t>
  </si>
  <si>
    <t xml:space="preserve">UNION </t>
  </si>
  <si>
    <t>Union County</t>
  </si>
  <si>
    <t xml:space="preserve">WARREN </t>
  </si>
  <si>
    <t>Warren County</t>
  </si>
  <si>
    <t xml:space="preserve">WASHINGTON </t>
  </si>
  <si>
    <t>Washington County</t>
  </si>
  <si>
    <t xml:space="preserve">WATAUGA </t>
  </si>
  <si>
    <t>Watauga County</t>
  </si>
  <si>
    <t xml:space="preserve">WAYNE </t>
  </si>
  <si>
    <t>Wayne County</t>
  </si>
  <si>
    <t xml:space="preserve">WILKES </t>
  </si>
  <si>
    <t>Wilkes County</t>
  </si>
  <si>
    <t xml:space="preserve">YADKIN </t>
  </si>
  <si>
    <t>Yadkin County</t>
  </si>
  <si>
    <t xml:space="preserve">YANCEY </t>
  </si>
  <si>
    <t>Yancey County</t>
  </si>
  <si>
    <t>`</t>
  </si>
  <si>
    <r>
      <t xml:space="preserve">Transfers from General Fund to Water and Sewer Fund.  </t>
    </r>
    <r>
      <rPr>
        <sz val="11"/>
        <color theme="5" tint="-0.249977111117893"/>
        <rFont val="Calibri"/>
        <family val="2"/>
        <scheme val="minor"/>
      </rPr>
      <t>(Enter as positive)</t>
    </r>
  </si>
  <si>
    <r>
      <t xml:space="preserve">Transfers from Water and Sewer to General Fund.  </t>
    </r>
    <r>
      <rPr>
        <sz val="11"/>
        <color theme="5" tint="-0.249977111117893"/>
        <rFont val="Calibri"/>
        <family val="2"/>
        <scheme val="minor"/>
      </rPr>
      <t>(Enter as positive)</t>
    </r>
  </si>
  <si>
    <t xml:space="preserve">Was an AU-C Section 260 (The Auditor's Communication With Those Charged With Governance) letter issued?     </t>
  </si>
  <si>
    <r>
      <t xml:space="preserve">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</si>
  <si>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Water and Sewer - Fund Revenue, Expenses &amp; Changes in Fund Net Position or Notes to Financial Statements</t>
  </si>
  <si>
    <t>Was an AU-C Section 265 (Communicating Internal Control Related Matters Identified in an Audit) letter issued?</t>
  </si>
  <si>
    <r>
      <t xml:space="preserve">This indicator identifies whether the unit has any material weaknesses, significant deficiencies, management letter comments or items identified on the </t>
    </r>
    <r>
      <rPr>
        <b/>
        <i/>
        <sz val="14"/>
        <color theme="1"/>
        <rFont val="Calibri"/>
        <family val="2"/>
        <scheme val="minor"/>
      </rPr>
      <t>TD Info Completed by Audit tab</t>
    </r>
    <r>
      <rPr>
        <b/>
        <sz val="14"/>
        <color theme="1"/>
        <rFont val="Calibri"/>
        <family val="2"/>
        <scheme val="minor"/>
      </rPr>
      <t xml:space="preserve"> including 1055, 1056, 1058, 955 and 957, that require a response.</t>
    </r>
  </si>
  <si>
    <t>The indicator is to determine if at any time during the fiscal year, the unit was without a bonded, board-appoint finance officer as required by G.S. 159-29.</t>
  </si>
  <si>
    <t>This indicator advises whether or not the unit has issues with debt service payments or bond covenants.</t>
  </si>
  <si>
    <t>This indicator advises if any other issues that the unit should address in the FPIC response letter.</t>
  </si>
  <si>
    <t>Fiscal Year 2023</t>
  </si>
  <si>
    <t>GF FBA% of Exp w/o Powell Bill Formula: (506+536-4-5-6-11+647)/(532+20+509-533-508-1050)</t>
  </si>
  <si>
    <t>This indicator advises if there were electric transfers in violation of G.S. 159B-39 or in violation of the unit's transfer policy.</t>
  </si>
  <si>
    <r>
      <rPr>
        <u/>
        <sz val="11"/>
        <rFont val="Calibri"/>
        <family val="2"/>
        <scheme val="minor"/>
      </rPr>
      <t xml:space="preserve">Please enter the </t>
    </r>
    <r>
      <rPr>
        <b/>
        <u/>
        <sz val="11"/>
        <rFont val="Calibri"/>
        <family val="2"/>
        <scheme val="minor"/>
      </rPr>
      <t xml:space="preserve">Net Current year's levy for property </t>
    </r>
    <r>
      <rPr>
        <b/>
        <u/>
        <sz val="11"/>
        <color rgb="FFFF0000"/>
        <rFont val="Calibri"/>
        <family val="2"/>
        <scheme val="minor"/>
      </rPr>
      <t>excluding registered motor vehicles</t>
    </r>
    <r>
      <rPr>
        <sz val="11"/>
        <rFont val="Calibri"/>
        <family val="2"/>
        <scheme val="minor"/>
      </rPr>
      <t xml:space="preserve">-- </t>
    </r>
    <r>
      <rPr>
        <sz val="11"/>
        <color indexed="60"/>
        <rFont val="Calibri"/>
        <family val="2"/>
        <scheme val="minor"/>
      </rPr>
      <t xml:space="preserve">(after adjusting for discoveries and abatements) - </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</si>
  <si>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 xml:space="preserve"> Did your audit disclose bank reconciliations or subsidiary ledger reconciliations not performed timely? (Yes or No)</t>
  </si>
  <si>
    <t>=506+536+647-11-4-6-5</t>
  </si>
  <si>
    <r>
      <t xml:space="preserve">Does the Unit have a non-state administered pension plan?
</t>
    </r>
    <r>
      <rPr>
        <sz val="11"/>
        <color theme="5" tint="-0.249977111117893"/>
        <rFont val="Calibri"/>
        <family val="2"/>
        <scheme val="minor"/>
      </rPr>
      <t>(Note - OPEB is not a pension plan.)</t>
    </r>
  </si>
  <si>
    <t>- PDF file of all communication letters from the auditor to the unit  named “Unit Name 2023 comm #1”, “Unit Name 2023 comm #2”, etc.</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</si>
  <si>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</si>
  <si>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t xml:space="preserve">This self-reported data is used in calculations including but not limited to: reporting Financial Performance Indicators (FPI), FPI thresholds, published memos, legislative reporting, and determining units placed on the Unit Assistance List (UAL). </t>
  </si>
  <si>
    <t xml:space="preserve">new </t>
  </si>
  <si>
    <t>Water and Sewer Condition of Assets</t>
  </si>
  <si>
    <t>new</t>
  </si>
  <si>
    <r>
      <t xml:space="preserve">There was appropriated fund balance for the General Fund in the 2023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 </t>
    </r>
    <r>
      <rPr>
        <b/>
        <sz val="11"/>
        <color rgb="FFFF0000"/>
        <rFont val="Calibri"/>
        <family val="2"/>
        <scheme val="minor"/>
      </rPr>
      <t>in account 590 on the Unit Data from Audit Worksheet.</t>
    </r>
  </si>
  <si>
    <t xml:space="preserve">Are the American Rescue Plan Act (ARPA) of 2021-Coronavrius State &amp; Local Fiscal Recovery Funds on target to be committed by December 31, 2024? (Yes = 1 or No = 2or N/A = 3 if unit did not receive funds) </t>
  </si>
  <si>
    <t>Are the American Rescue Plan Act (ARPA) of 2021-Coronavrius State &amp; Local Fiscal Recovery Funds on target to be completely expended by December 31, 2026? (Yes = 1 or No = 2 or N/A = 3 if unit did not receive funds)</t>
  </si>
  <si>
    <t>Did your audit disclose any budget violations at the adopted ordinance level? (Yes or No)</t>
  </si>
  <si>
    <t>Did your audit disclose as a finding any statutory violations? (not including budget violations) (Yes or No) If the answer  is "Yes", review whether this needs to be disclosed in the Stewardship, Compliance and Accountability Note</t>
  </si>
  <si>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</si>
  <si>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Does the Performance Indicator Print worksheet in this workbook have a red shaded cell?</t>
  </si>
  <si>
    <t>Please enter page number if information included in the audit report/other communications</t>
  </si>
  <si>
    <t>Cash &amp; Tax Memo, UAL Determination, Financial Performance Indicator</t>
  </si>
  <si>
    <t>Review Summary - FBA, UAL Determination, Financial Performation Indicator</t>
  </si>
  <si>
    <t>Determination of Fiscal Health, UAL Determination, Financial Performance Indicator</t>
  </si>
  <si>
    <t>Review Summary, UAL Determination, Financial Performance Indicator</t>
  </si>
  <si>
    <t>Error Detection, UAL Determination, Financial Performance Indicator</t>
  </si>
  <si>
    <t>Water Sewer Dashboard, UAL Determination, Financial Performance Indicator</t>
  </si>
  <si>
    <t>UAL Determination, Financial Performance Indicator</t>
  </si>
  <si>
    <t>Review Summary; Electric Memo, Financial Performance Indicator</t>
  </si>
  <si>
    <t>Dashboard; Determination of Fiscal Health, Financial Performance Indicator</t>
  </si>
  <si>
    <t>Determination of Fiscal Health, Financial Performance Indicator</t>
  </si>
  <si>
    <t>Dashboard, Electric Memo, Financial Performance Indicator</t>
  </si>
  <si>
    <t>Electric Memo, Financial Performance Indicator</t>
  </si>
  <si>
    <t>Electric Memo, Dashboard, Financial Performance Indicator</t>
  </si>
  <si>
    <t>Dashboard, Financial Performance Indicator</t>
  </si>
  <si>
    <t>Finance Performance Indicator</t>
  </si>
  <si>
    <t>Financial Performance Indicator</t>
  </si>
  <si>
    <t>Water Sewer Dashboard, Financial Performance Indicator</t>
  </si>
  <si>
    <t>Review Summary, Financial Performance Indicator</t>
  </si>
  <si>
    <t>Electric Fund Transfer worksheet, Financial Performance Indicator</t>
  </si>
  <si>
    <t>Electric Transfer Calculation, Financial Performance Indicator</t>
  </si>
  <si>
    <t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</si>
  <si>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need to have this formula for formula on FPIC FBA% graph to work</t>
  </si>
  <si>
    <t>Unit Data from Audit worksheet tab:
 1-((523+524+525+526)/(515+516+517+518))</t>
  </si>
  <si>
    <t>The data collected in the Data Input Workbook is used for reporting purposes. This self-reported data is used in:  (1) determining units placed on the Unit Assistance List (2) calculation of Financial Indicators of Concern (3) Statistical Memos (4) internal reports used for audit review analysis.  Other state agencies and other governmental entities are provided with data that they use for their purposes on a recurring basis such as the Department of Environmental Quality and the UNC, School of Government, Environmental Finance Center.</t>
  </si>
  <si>
    <t>As of the publication date of this workbook, prior year self-reported numbers may not been received by the LGC staff, please contact LGC staff at lgcaudit@nctreasurer.com to have the prior year’s numbers populated on this worksheet.  Please include in email subject "Prior Year Financial Data."</t>
  </si>
  <si>
    <t>It appears your Water Sewer Fund has transfers-in for the support of operations that are greater than 3% of the total of operating and non-operating expenses.  Please discuss the purpose of such transfers-in and if you plan to continue these transfers-in.</t>
  </si>
  <si>
    <t>Unit Data from Audit Worksheet tab : 590 and 23</t>
  </si>
  <si>
    <r>
      <t xml:space="preserve">GENERAL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</si>
  <si>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WATER SEWER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</si>
  <si>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ELECTRIC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</si>
  <si>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t>12</t>
  </si>
  <si>
    <t>did not use 1050 before year 2022</t>
  </si>
  <si>
    <t>FPIC graph</t>
  </si>
  <si>
    <t>Was the finance officer or interim finance officer bonded (Yes or No) pursuant to G.S. 159-29</t>
  </si>
  <si>
    <t>permanent</t>
  </si>
  <si>
    <t>1/1/2017</t>
  </si>
  <si>
    <t>1/1/2019</t>
  </si>
  <si>
    <t>1/1/2018</t>
  </si>
  <si>
    <t>Chief Financial Officer</t>
  </si>
  <si>
    <t>Interim Finance Director</t>
  </si>
  <si>
    <t>10/14/2021</t>
  </si>
  <si>
    <t>11/12/2021</t>
  </si>
  <si>
    <t>11/18/2022</t>
  </si>
  <si>
    <t>11/8/2021</t>
  </si>
  <si>
    <t>2/7/2022</t>
  </si>
  <si>
    <t>11/1/2022</t>
  </si>
  <si>
    <t>3/21/2022</t>
  </si>
  <si>
    <t>12/15/2022</t>
  </si>
  <si>
    <t>1/30/2023</t>
  </si>
  <si>
    <t>1/9/2023</t>
  </si>
  <si>
    <t>2022-11-11</t>
  </si>
  <si>
    <t>2022-11-17</t>
  </si>
  <si>
    <t>2022-11-18</t>
  </si>
  <si>
    <t>2023-01-31</t>
  </si>
  <si>
    <t>Sharon</t>
  </si>
  <si>
    <t>Sarah</t>
  </si>
  <si>
    <t>John</t>
  </si>
  <si>
    <t>1/1/2011</t>
  </si>
  <si>
    <t>1/1/2015</t>
  </si>
  <si>
    <t>9/1/2021</t>
  </si>
  <si>
    <t>Financial Services Director</t>
  </si>
  <si>
    <t>1/14/2022</t>
  </si>
  <si>
    <t>11/28/2021</t>
  </si>
  <si>
    <t>10/28/2021</t>
  </si>
  <si>
    <t>11/4/2021</t>
  </si>
  <si>
    <t>1/20/2022</t>
  </si>
  <si>
    <t>Crystal</t>
  </si>
  <si>
    <t>10/17/2022</t>
  </si>
  <si>
    <t>10/21/2022</t>
  </si>
  <si>
    <t>2/15/2023</t>
  </si>
  <si>
    <t>1/4/2023</t>
  </si>
  <si>
    <t>9/8/2022</t>
  </si>
  <si>
    <t>11/22/2022</t>
  </si>
  <si>
    <t>5/1/2023</t>
  </si>
  <si>
    <t>2022-10-17</t>
  </si>
  <si>
    <t>2022-10-27</t>
  </si>
  <si>
    <t>Carolyn</t>
  </si>
  <si>
    <t>Lisa</t>
  </si>
  <si>
    <t>Jessica</t>
  </si>
  <si>
    <t>Julie</t>
  </si>
  <si>
    <t>Town Manager</t>
  </si>
  <si>
    <t>11/24/2021</t>
  </si>
  <si>
    <t>11/18/2021</t>
  </si>
  <si>
    <t>11/23/2021</t>
  </si>
  <si>
    <t>11/10/2021</t>
  </si>
  <si>
    <t>1/13/2022</t>
  </si>
  <si>
    <t>4/12/2022</t>
  </si>
  <si>
    <t>1/10/2022</t>
  </si>
  <si>
    <t>Director of Finance</t>
  </si>
  <si>
    <t>11/25/2022</t>
  </si>
  <si>
    <t>2/7/2023</t>
  </si>
  <si>
    <t>1/15/2023</t>
  </si>
  <si>
    <t>2022-12-20</t>
  </si>
  <si>
    <t>2022-11-22</t>
  </si>
  <si>
    <t>Nancy</t>
  </si>
  <si>
    <t>Claudia</t>
  </si>
  <si>
    <t>Carol</t>
  </si>
  <si>
    <t>Bray</t>
  </si>
  <si>
    <t>Capps</t>
  </si>
  <si>
    <t>Bass</t>
  </si>
  <si>
    <t>1/1/2013</t>
  </si>
  <si>
    <t>9/13/2021</t>
  </si>
  <si>
    <t>1/1/2014</t>
  </si>
  <si>
    <t>Claudia Bray</t>
  </si>
  <si>
    <t>8/15/2022</t>
  </si>
  <si>
    <t>12/17/2021</t>
  </si>
  <si>
    <t>2/11/2022</t>
  </si>
  <si>
    <t>7/22/2022</t>
  </si>
  <si>
    <t>12/10/2021</t>
  </si>
  <si>
    <t>10/22/2021</t>
  </si>
  <si>
    <t>2/25/2022</t>
  </si>
  <si>
    <t>3/2/2022</t>
  </si>
  <si>
    <t>4/4/2022</t>
  </si>
  <si>
    <t>Beth</t>
  </si>
  <si>
    <t>2/1/2023</t>
  </si>
  <si>
    <t>Commissioner/Finance Officer</t>
  </si>
  <si>
    <t>9/30/2022</t>
  </si>
  <si>
    <t>12/22/2022</t>
  </si>
  <si>
    <t>6/1/2023</t>
  </si>
  <si>
    <t>3/7/2023</t>
  </si>
  <si>
    <t>3/15/2023</t>
  </si>
  <si>
    <t>1/25/2023</t>
  </si>
  <si>
    <t>2023-01-05</t>
  </si>
  <si>
    <t>2023-02-23</t>
  </si>
  <si>
    <t>2023-02-28</t>
  </si>
  <si>
    <t>2023-01-20</t>
  </si>
  <si>
    <t>2022-12-31</t>
  </si>
  <si>
    <t>Scott</t>
  </si>
  <si>
    <t>Allison</t>
  </si>
  <si>
    <t>Lieke</t>
  </si>
  <si>
    <t>Trina</t>
  </si>
  <si>
    <t>TRACY</t>
  </si>
  <si>
    <t>Chris</t>
  </si>
  <si>
    <t>Queen</t>
  </si>
  <si>
    <t>Rick</t>
  </si>
  <si>
    <t>Doreen</t>
  </si>
  <si>
    <t>Irving</t>
  </si>
  <si>
    <t>Leigh</t>
  </si>
  <si>
    <t>Stephanie</t>
  </si>
  <si>
    <t>Sonya</t>
  </si>
  <si>
    <t>Jennifer</t>
  </si>
  <si>
    <t>Marlene</t>
  </si>
  <si>
    <t>Abdul</t>
  </si>
  <si>
    <t>Kay</t>
  </si>
  <si>
    <t>Stacy</t>
  </si>
  <si>
    <t>Annette</t>
  </si>
  <si>
    <t>Ted</t>
  </si>
  <si>
    <t>Dan</t>
  </si>
  <si>
    <t>EVELYN</t>
  </si>
  <si>
    <t>Amie</t>
  </si>
  <si>
    <t>Marilyn</t>
  </si>
  <si>
    <t>Nathan</t>
  </si>
  <si>
    <t>Brenda</t>
  </si>
  <si>
    <t>Karen</t>
  </si>
  <si>
    <t>Christine</t>
  </si>
  <si>
    <t>KATHRYN</t>
  </si>
  <si>
    <t>Shinita</t>
  </si>
  <si>
    <t>Rhonda</t>
  </si>
  <si>
    <t>Helga</t>
  </si>
  <si>
    <t>Patricia</t>
  </si>
  <si>
    <t>CAROL</t>
  </si>
  <si>
    <t>Isaac</t>
  </si>
  <si>
    <t>Marge</t>
  </si>
  <si>
    <t>Gregory</t>
  </si>
  <si>
    <t>Oma</t>
  </si>
  <si>
    <t>Tess</t>
  </si>
  <si>
    <t>Bonnie</t>
  </si>
  <si>
    <t>Melanie</t>
  </si>
  <si>
    <t>Peggy</t>
  </si>
  <si>
    <t>Dolores</t>
  </si>
  <si>
    <t>Christie</t>
  </si>
  <si>
    <t>Cathy</t>
  </si>
  <si>
    <t>Michele</t>
  </si>
  <si>
    <t>Edwards</t>
  </si>
  <si>
    <t>Bradsher</t>
  </si>
  <si>
    <t>Postell</t>
  </si>
  <si>
    <t>Janssen</t>
  </si>
  <si>
    <t>Young</t>
  </si>
  <si>
    <t>Plowman</t>
  </si>
  <si>
    <t>SHEARIN</t>
  </si>
  <si>
    <t>McFarland</t>
  </si>
  <si>
    <t>Phillips</t>
  </si>
  <si>
    <t>Pearson</t>
  </si>
  <si>
    <t>Justice</t>
  </si>
  <si>
    <t>Putney</t>
  </si>
  <si>
    <t>Van Slyke, Jr.</t>
  </si>
  <si>
    <t>Etheridge</t>
  </si>
  <si>
    <t>Maness</t>
  </si>
  <si>
    <t>Lambeth</t>
  </si>
  <si>
    <t>Baloch</t>
  </si>
  <si>
    <t>Stevens</t>
  </si>
  <si>
    <t>Luffman</t>
  </si>
  <si>
    <t>Chesson</t>
  </si>
  <si>
    <t>Bauer</t>
  </si>
  <si>
    <t>Filli</t>
  </si>
  <si>
    <t>Craig</t>
  </si>
  <si>
    <t>HUMERKHOUSE</t>
  </si>
  <si>
    <t>Gilley</t>
  </si>
  <si>
    <t>Hanaway</t>
  </si>
  <si>
    <t>Bargsley</t>
  </si>
  <si>
    <t>Outling</t>
  </si>
  <si>
    <t>Walters</t>
  </si>
  <si>
    <t>Furches</t>
  </si>
  <si>
    <t>Osteen</t>
  </si>
  <si>
    <t>Youngs</t>
  </si>
  <si>
    <t>Kelly</t>
  </si>
  <si>
    <t>Clontz</t>
  </si>
  <si>
    <t>dempsey</t>
  </si>
  <si>
    <t>BAKER</t>
  </si>
  <si>
    <t>Wrenwick</t>
  </si>
  <si>
    <t>Sommer</t>
  </si>
  <si>
    <t>Sappington</t>
  </si>
  <si>
    <t>Jones</t>
  </si>
  <si>
    <t>FERGERSON</t>
  </si>
  <si>
    <t>Norris, Jr.</t>
  </si>
  <si>
    <t>Wiecek</t>
  </si>
  <si>
    <t>Beam</t>
  </si>
  <si>
    <t>Ellsworth</t>
  </si>
  <si>
    <t>Payne</t>
  </si>
  <si>
    <t>Siler</t>
  </si>
  <si>
    <t>Lockamy</t>
  </si>
  <si>
    <t>Brubaker-Speis</t>
  </si>
  <si>
    <t>Swain</t>
  </si>
  <si>
    <t>Trexler</t>
  </si>
  <si>
    <t>Choate</t>
  </si>
  <si>
    <t>Hutchinson</t>
  </si>
  <si>
    <t>Swafford</t>
  </si>
  <si>
    <t>Collins</t>
  </si>
  <si>
    <t>6/16/2014</t>
  </si>
  <si>
    <t>12/10/2018</t>
  </si>
  <si>
    <t>4/17/2019</t>
  </si>
  <si>
    <t>6/6/2012</t>
  </si>
  <si>
    <t>7/1/2020</t>
  </si>
  <si>
    <t>6/1/2020</t>
  </si>
  <si>
    <t>12/19/2019</t>
  </si>
  <si>
    <t>5/11/2015</t>
  </si>
  <si>
    <t>4/25/2016</t>
  </si>
  <si>
    <t>4/16/2012</t>
  </si>
  <si>
    <t>1/14/2020</t>
  </si>
  <si>
    <t>3/1/2017</t>
  </si>
  <si>
    <t>10/1/2021</t>
  </si>
  <si>
    <t>4/15/2002</t>
  </si>
  <si>
    <t>9/6/2013</t>
  </si>
  <si>
    <t>12/2/2018</t>
  </si>
  <si>
    <t>1/29/2021</t>
  </si>
  <si>
    <t>2/1/2019</t>
  </si>
  <si>
    <t>9/16/2008</t>
  </si>
  <si>
    <t>11/1/1995</t>
  </si>
  <si>
    <t>5/18/2021</t>
  </si>
  <si>
    <t>1/1/1920</t>
  </si>
  <si>
    <t>1/2/2019</t>
  </si>
  <si>
    <t>5/4/2020</t>
  </si>
  <si>
    <t>3/1/2018</t>
  </si>
  <si>
    <t>11/1/2004</t>
  </si>
  <si>
    <t>12/31/2014</t>
  </si>
  <si>
    <t>12/6/2005</t>
  </si>
  <si>
    <t>11/26/2021</t>
  </si>
  <si>
    <t>6/18/2018</t>
  </si>
  <si>
    <t>Scott Edwards</t>
  </si>
  <si>
    <t>Allison E. Bradsher</t>
  </si>
  <si>
    <t>Crystal Postell</t>
  </si>
  <si>
    <t>Lieke Janssen</t>
  </si>
  <si>
    <t>Lisa Young</t>
  </si>
  <si>
    <t>Trina Plowman</t>
  </si>
  <si>
    <t>TRACY SHEARIN</t>
  </si>
  <si>
    <t>Sharon McFarland</t>
  </si>
  <si>
    <t>Chris Phillips</t>
  </si>
  <si>
    <t>Dr Queen Pearson</t>
  </si>
  <si>
    <t>Rick Justice</t>
  </si>
  <si>
    <t>Carolyn Capps</t>
  </si>
  <si>
    <t>Doreen Putney</t>
  </si>
  <si>
    <t>Irving J. Van Slyke, Jr.</t>
  </si>
  <si>
    <t>Leigh D. Etheridge</t>
  </si>
  <si>
    <t>Stephanie Maness</t>
  </si>
  <si>
    <t>Sonya Webster</t>
  </si>
  <si>
    <t>Jennifer Lambeth</t>
  </si>
  <si>
    <t>Marlene Dunn</t>
  </si>
  <si>
    <t>Abdul Baloch</t>
  </si>
  <si>
    <t>Amy Stevens</t>
  </si>
  <si>
    <t>Wilda Luffman</t>
  </si>
  <si>
    <t>Stacy Chesson</t>
  </si>
  <si>
    <t>John Bauer</t>
  </si>
  <si>
    <t>Annette Jackson</t>
  </si>
  <si>
    <t>Ted Filli</t>
  </si>
  <si>
    <t>EVELYN HUMERICKHOUSE</t>
  </si>
  <si>
    <t>Wade Gilley</t>
  </si>
  <si>
    <t>Amie Hanaway</t>
  </si>
  <si>
    <t>Jessica Bargsley</t>
  </si>
  <si>
    <t>Sonya Outling</t>
  </si>
  <si>
    <t>Marilyn Walters</t>
  </si>
  <si>
    <t>S. Wade Furches</t>
  </si>
  <si>
    <t>Julie Osteen</t>
  </si>
  <si>
    <t>Nathan Youngs</t>
  </si>
  <si>
    <t>Beth Kelly</t>
  </si>
  <si>
    <t>Brenda Wilson</t>
  </si>
  <si>
    <t>Karen Clontz</t>
  </si>
  <si>
    <t>Nancy Dempsey</t>
  </si>
  <si>
    <t>Christine Bass</t>
  </si>
  <si>
    <t>KATHRYN BAKER</t>
  </si>
  <si>
    <t>Shinita Wrenwick</t>
  </si>
  <si>
    <t>Rhonda Sommer</t>
  </si>
  <si>
    <t>Helga Sappington</t>
  </si>
  <si>
    <t>Patricia Jones</t>
  </si>
  <si>
    <t>CAROL FERGERSON</t>
  </si>
  <si>
    <t>Isaac Norris, Jr.</t>
  </si>
  <si>
    <t>Marge Wiecek</t>
  </si>
  <si>
    <t>Beth Beam</t>
  </si>
  <si>
    <t>Susan Ellsworth</t>
  </si>
  <si>
    <t>Rhonda Payne</t>
  </si>
  <si>
    <t>Gregory Siler</t>
  </si>
  <si>
    <t>Oma Lockamy</t>
  </si>
  <si>
    <t>Tess Brubaker-Speis</t>
  </si>
  <si>
    <t>Bonnie Swain</t>
  </si>
  <si>
    <t>Melanie Trexler</t>
  </si>
  <si>
    <t>Peggy Choate</t>
  </si>
  <si>
    <t>Dolores Faison</t>
  </si>
  <si>
    <t>Christie Hutchinson</t>
  </si>
  <si>
    <t>Cathy Swafford</t>
  </si>
  <si>
    <t>Michele Collins</t>
  </si>
  <si>
    <t>Crystal Young</t>
  </si>
  <si>
    <t>Finace Officer</t>
  </si>
  <si>
    <t>Clerk</t>
  </si>
  <si>
    <t>Clerk / Finance Officer</t>
  </si>
  <si>
    <t>Town Clerk and Finance Officer</t>
  </si>
  <si>
    <t>VillageClerk/Finance Officer</t>
  </si>
  <si>
    <t>Interim Finance Officer</t>
  </si>
  <si>
    <t>1/31/2022</t>
  </si>
  <si>
    <t>11/17/2021</t>
  </si>
  <si>
    <t>9/16/2021</t>
  </si>
  <si>
    <t>8/26/2021</t>
  </si>
  <si>
    <t>5/11/2022</t>
  </si>
  <si>
    <t>10/24/2022</t>
  </si>
  <si>
    <t>8/18/2021</t>
  </si>
  <si>
    <t>9/20/2021</t>
  </si>
  <si>
    <t>11/3/2021</t>
  </si>
  <si>
    <t>10/6/2022</t>
  </si>
  <si>
    <t>1/12/2022</t>
  </si>
  <si>
    <t>10/27/2021</t>
  </si>
  <si>
    <t>3/15/2022</t>
  </si>
  <si>
    <t>2/18/2022</t>
  </si>
  <si>
    <t>11/16/2021</t>
  </si>
  <si>
    <t>8/24/2021</t>
  </si>
  <si>
    <t>12/2/2021</t>
  </si>
  <si>
    <t>1/19/2022</t>
  </si>
  <si>
    <t>1/18/2022</t>
  </si>
  <si>
    <t>2/9/2022</t>
  </si>
  <si>
    <t>1/5/2022</t>
  </si>
  <si>
    <t>10/19/2021</t>
  </si>
  <si>
    <t>9/2/2021</t>
  </si>
  <si>
    <t>10/15/2021</t>
  </si>
  <si>
    <t>8/2/2022</t>
  </si>
  <si>
    <t>9/22/2021</t>
  </si>
  <si>
    <t>6/21/2022</t>
  </si>
  <si>
    <t>3/10/2022</t>
  </si>
  <si>
    <t>910-875-8165</t>
  </si>
  <si>
    <t>919-996-3215</t>
  </si>
  <si>
    <t>336-495-7507</t>
  </si>
  <si>
    <t>704-824-3461</t>
  </si>
  <si>
    <t>910-734-2701</t>
  </si>
  <si>
    <t>704-485-2002</t>
  </si>
  <si>
    <t>252-443-1239</t>
  </si>
  <si>
    <t>910-843-5241</t>
  </si>
  <si>
    <t>336-349-1055</t>
  </si>
  <si>
    <t>910-743-1040</t>
  </si>
  <si>
    <t>828-396-8400</t>
  </si>
  <si>
    <t>704-463-1308</t>
  </si>
  <si>
    <t>910-324-3301</t>
  </si>
  <si>
    <t>252-638-3870 ext.204</t>
  </si>
  <si>
    <t>252-533-2871</t>
  </si>
  <si>
    <t>910-948-2431</t>
  </si>
  <si>
    <t>828-479-3250</t>
  </si>
  <si>
    <t>910-895-9088</t>
  </si>
  <si>
    <t>704-279-2180</t>
  </si>
  <si>
    <t>252-972-1334</t>
  </si>
  <si>
    <t>919-556-3506</t>
  </si>
  <si>
    <t>336-835-2061</t>
  </si>
  <si>
    <t>252-793-5527</t>
  </si>
  <si>
    <t>910-289-3159</t>
  </si>
  <si>
    <t>910-525-4121</t>
  </si>
  <si>
    <t>828-884-6859</t>
  </si>
  <si>
    <t>910-422-3333</t>
  </si>
  <si>
    <t>252-344-7791</t>
  </si>
  <si>
    <t>336-969-6856</t>
  </si>
  <si>
    <t>828-287-7943</t>
  </si>
  <si>
    <t>828-874-0333</t>
  </si>
  <si>
    <t>828-429-4513</t>
  </si>
  <si>
    <t>910-525-5610</t>
  </si>
  <si>
    <t>704-638-5302</t>
  </si>
  <si>
    <t>828-749-2581</t>
  </si>
  <si>
    <t>910-655-3153</t>
  </si>
  <si>
    <t>910-655-9877</t>
  </si>
  <si>
    <t>919-777-1106</t>
  </si>
  <si>
    <t>252-238-3487</t>
  </si>
  <si>
    <t>828-396-7903</t>
  </si>
  <si>
    <t>252-826-3152</t>
  </si>
  <si>
    <t>252-589-5061</t>
  </si>
  <si>
    <t>336-873-7307</t>
  </si>
  <si>
    <t>336-449-1132</t>
  </si>
  <si>
    <t>919-965-9841</t>
  </si>
  <si>
    <t>828-963-5343</t>
  </si>
  <si>
    <t>252-569-5241</t>
  </si>
  <si>
    <t>252-585-0411</t>
  </si>
  <si>
    <t>910-754-4032</t>
  </si>
  <si>
    <t>252-446-9441</t>
  </si>
  <si>
    <t>704-669-6612</t>
  </si>
  <si>
    <t>252-757-1430</t>
  </si>
  <si>
    <t>252-292-5647</t>
  </si>
  <si>
    <t>919-934-2116</t>
  </si>
  <si>
    <t>252-747-3414</t>
  </si>
  <si>
    <t>910-690-1988</t>
  </si>
  <si>
    <t>252-261-2394</t>
  </si>
  <si>
    <t>910-457-7906</t>
  </si>
  <si>
    <t>336-372-4257</t>
  </si>
  <si>
    <t>252-823-6931</t>
  </si>
  <si>
    <t>704-633-2231</t>
  </si>
  <si>
    <t>828-286-3466</t>
  </si>
  <si>
    <t>252-478-5186</t>
  </si>
  <si>
    <t>828-765-3000</t>
  </si>
  <si>
    <t>sedwards@raefordnc.org</t>
  </si>
  <si>
    <t>Allison.Bradsher@raleighnc.gov</t>
  </si>
  <si>
    <t>cpostell@cityofrandleman.com</t>
  </si>
  <si>
    <t>ljanssen@townofranlo.org</t>
  </si>
  <si>
    <t>townofraynhamnc@yahoo.com</t>
  </si>
  <si>
    <t>aloma@townofredcross.com</t>
  </si>
  <si>
    <t>redoak@embarqmail.com</t>
  </si>
  <si>
    <t>financedirector@redsprings.org</t>
  </si>
  <si>
    <t>cphillips@ci.reidsville.nc.us</t>
  </si>
  <si>
    <t>rqepq@yahoo.com</t>
  </si>
  <si>
    <t>townofrhodhissnc@gmail.com</t>
  </si>
  <si>
    <t>richfieldnc@aol.com</t>
  </si>
  <si>
    <t>townclerk@richlandsnc.gov</t>
  </si>
  <si>
    <t>finance@riverbendnc.org</t>
  </si>
  <si>
    <t>letheridge@roanokerapidsnc.com</t>
  </si>
  <si>
    <t>smaness@townofrobbins.com</t>
  </si>
  <si>
    <t>s.webster@townofrobbinsville.com</t>
  </si>
  <si>
    <t>jennifer@gorockingham.com</t>
  </si>
  <si>
    <t>clerk@rockwellnc.gov</t>
  </si>
  <si>
    <t>abdul.baloch@rockymountnc.gov</t>
  </si>
  <si>
    <t>amy.stevens@rolesville.nc.gov</t>
  </si>
  <si>
    <t>administration@townofronda.org</t>
  </si>
  <si>
    <t>townofroper@centurylink.net</t>
  </si>
  <si>
    <t>reosehill.administrator@embarqmail.com</t>
  </si>
  <si>
    <t>annette.jackson@roseboronc.com</t>
  </si>
  <si>
    <t>rosmantown@comporium.net</t>
  </si>
  <si>
    <t>tfilli@townofrowland.com</t>
  </si>
  <si>
    <t>TOWNOFROXOBEL@CENTURYLINK.NET</t>
  </si>
  <si>
    <t>financedirector@ruralhall.com</t>
  </si>
  <si>
    <t>ahanaway@townofruthnc.gov</t>
  </si>
  <si>
    <t>townclerk@rutherfordcollege.nc.us</t>
  </si>
  <si>
    <t>soutling@rutherfordton.net</t>
  </si>
  <si>
    <t>tos@intrstar.net</t>
  </si>
  <si>
    <t>wfurc@salisburync.gov</t>
  </si>
  <si>
    <t>saludafinance@cityofsaludanc.com</t>
  </si>
  <si>
    <t>townofsandycreek1988@outlook.com</t>
  </si>
  <si>
    <t>Sandy_Town@bellsouth.net</t>
  </si>
  <si>
    <t>beth.kelly@sanfordnc.net</t>
  </si>
  <si>
    <t>saratoga@saratoganc.org</t>
  </si>
  <si>
    <t>kclontz@townofsawmills.com</t>
  </si>
  <si>
    <t>ndempsey@townofscotlandneck.com</t>
  </si>
  <si>
    <t>stownhall@mchsi.com</t>
  </si>
  <si>
    <t>townofseagrove@centurylink.net</t>
  </si>
  <si>
    <t>sswren102@gmail.com</t>
  </si>
  <si>
    <t>rsommer@selma-nc.com</t>
  </si>
  <si>
    <t>townfinance@sevendevils.net</t>
  </si>
  <si>
    <t>townof7springs@gmail.com</t>
  </si>
  <si>
    <t>SEVERNNC@3RDDOOR.COM</t>
  </si>
  <si>
    <t>inorris@townofshallotte.org</t>
  </si>
  <si>
    <t>mwiecek@sharpsburgnc.com</t>
  </si>
  <si>
    <t>beth.beam@cityofshelby.com</t>
  </si>
  <si>
    <t>finance@villageofsimpsonnc.com</t>
  </si>
  <si>
    <t>rpayne@townofsimsnc.com</t>
  </si>
  <si>
    <t>greg.siler@smithfield-nc.com</t>
  </si>
  <si>
    <t>financeofficer@snowhillnc.om</t>
  </si>
  <si>
    <t>Tspeis@southernpines.net</t>
  </si>
  <si>
    <t>bswain@southernshores-nc.gov</t>
  </si>
  <si>
    <t>mtrexler@cityofsouthport.com</t>
  </si>
  <si>
    <t>pchoate@townofsparta.org</t>
  </si>
  <si>
    <t>djfaison1985@gmail.com</t>
  </si>
  <si>
    <t>apclerk@townofspencer.com</t>
  </si>
  <si>
    <t>cswafford@spindalenc.net</t>
  </si>
  <si>
    <t>m.collins@springhope.net</t>
  </si>
  <si>
    <t>finance@sprucepine-nc.gov</t>
  </si>
  <si>
    <t>12/25/2021</t>
  </si>
  <si>
    <t>12/31/2021</t>
  </si>
  <si>
    <t>10/4/2021</t>
  </si>
  <si>
    <t>1/28/2022</t>
  </si>
  <si>
    <t>8/10/2021</t>
  </si>
  <si>
    <t>5/24/2022</t>
  </si>
  <si>
    <t>11/8/2022</t>
  </si>
  <si>
    <t>8/31/2021</t>
  </si>
  <si>
    <t>2/14/2022</t>
  </si>
  <si>
    <t>9/20/2022</t>
  </si>
  <si>
    <t>1/4/2022</t>
  </si>
  <si>
    <t>2/15/2022</t>
  </si>
  <si>
    <t>1/15/2022</t>
  </si>
  <si>
    <t>9/14/2021</t>
  </si>
  <si>
    <t>10/18/2021</t>
  </si>
  <si>
    <t>3/14/2022</t>
  </si>
  <si>
    <t>12/19/2021</t>
  </si>
  <si>
    <t>10/5/2021</t>
  </si>
  <si>
    <t>12/9/2021</t>
  </si>
  <si>
    <t>8/31/2022</t>
  </si>
  <si>
    <t>Capital - By far, the most significant appropriations were for Town matching funds for a federal LAPP grant for the Main Street capital project. Also, other capital projects: Olde Towne resurfacing (Powell Bill), park field lights replacement, stormwater</t>
  </si>
  <si>
    <t>Operations -</t>
  </si>
  <si>
    <t>Capital - In FY2022, we had to pay unexpectedly higher costs for everyday goods as well as capital items such as vehicles.</t>
  </si>
  <si>
    <t>Capital - Growth projects</t>
  </si>
  <si>
    <t>Tracy</t>
  </si>
  <si>
    <t>Erin</t>
  </si>
  <si>
    <t>Mandy</t>
  </si>
  <si>
    <t>Carmen</t>
  </si>
  <si>
    <t>Angela</t>
  </si>
  <si>
    <t>Theodore</t>
  </si>
  <si>
    <t>Daniel</t>
  </si>
  <si>
    <t>Evelyn</t>
  </si>
  <si>
    <t>Terry</t>
  </si>
  <si>
    <t>Teresa</t>
  </si>
  <si>
    <t>Margaret</t>
  </si>
  <si>
    <t>Rowan</t>
  </si>
  <si>
    <t>Shearin</t>
  </si>
  <si>
    <t>Juhls</t>
  </si>
  <si>
    <t>Gilbert</t>
  </si>
  <si>
    <t>Johnson</t>
  </si>
  <si>
    <t>Woodson</t>
  </si>
  <si>
    <t>Humerickhouse</t>
  </si>
  <si>
    <t>Bennett</t>
  </si>
  <si>
    <t>Smith</t>
  </si>
  <si>
    <t>Dempsey</t>
  </si>
  <si>
    <t>Fergerson</t>
  </si>
  <si>
    <t>04/01/2017</t>
  </si>
  <si>
    <t>7/1/2019</t>
  </si>
  <si>
    <t>6/9/2006</t>
  </si>
  <si>
    <t>7/19/2022</t>
  </si>
  <si>
    <t>1/30/2022</t>
  </si>
  <si>
    <t>7/26/2021</t>
  </si>
  <si>
    <t>1/1/2023</t>
  </si>
  <si>
    <t>5/2/2016</t>
  </si>
  <si>
    <t>9/13/2013</t>
  </si>
  <si>
    <t>Sarah Rowan</t>
  </si>
  <si>
    <t>Tracy Shearin</t>
  </si>
  <si>
    <t>chris phillips</t>
  </si>
  <si>
    <t>Dr Queen Parson</t>
  </si>
  <si>
    <t>Erin Juhls</t>
  </si>
  <si>
    <t>Mandy B. Gilbert</t>
  </si>
  <si>
    <t>Carmen Johnson</t>
  </si>
  <si>
    <t>Theodore Filli</t>
  </si>
  <si>
    <t>Daniel H. Craig</t>
  </si>
  <si>
    <t>Evelyn Humerickhouse</t>
  </si>
  <si>
    <t>Terry Bennett</t>
  </si>
  <si>
    <t>Teresa Smith</t>
  </si>
  <si>
    <t>Wade Furches</t>
  </si>
  <si>
    <t>Kathryn Baker</t>
  </si>
  <si>
    <t>Carol Fergerson</t>
  </si>
  <si>
    <t>Margaret Wiecek</t>
  </si>
  <si>
    <t>Elizabeth B. Beam</t>
  </si>
  <si>
    <t>Michele  Collins</t>
  </si>
  <si>
    <t>Assistant City Manager of Administration/Finance Officer</t>
  </si>
  <si>
    <t>President</t>
  </si>
  <si>
    <t>Finance officer</t>
  </si>
  <si>
    <t>Village Clerk/Finance Officer</t>
  </si>
  <si>
    <t>1/16/2023</t>
  </si>
  <si>
    <t>2/11/2023</t>
  </si>
  <si>
    <t>1/26/2023</t>
  </si>
  <si>
    <t>12/28/2022</t>
  </si>
  <si>
    <t>10/27/2022</t>
  </si>
  <si>
    <t>1/31/2023</t>
  </si>
  <si>
    <t>9/12/2023</t>
  </si>
  <si>
    <t>4/26/2023</t>
  </si>
  <si>
    <t>10/26/2022</t>
  </si>
  <si>
    <t>11/11/2022</t>
  </si>
  <si>
    <t>1/11/2023</t>
  </si>
  <si>
    <t>12/6/2022</t>
  </si>
  <si>
    <t>8/30/2022</t>
  </si>
  <si>
    <t>9/5/2022</t>
  </si>
  <si>
    <t>2/10/2023</t>
  </si>
  <si>
    <t>12/19/2022</t>
  </si>
  <si>
    <t>11/23/2022</t>
  </si>
  <si>
    <t>9/28/2022</t>
  </si>
  <si>
    <t>2/24/2023</t>
  </si>
  <si>
    <t>12/31/2022</t>
  </si>
  <si>
    <t>3/31/2023</t>
  </si>
  <si>
    <t>910-875-8161</t>
  </si>
  <si>
    <t>910-843-5241 ext.223</t>
  </si>
  <si>
    <t>252-972-1334 ext.1334</t>
  </si>
  <si>
    <t>336-599-0168</t>
  </si>
  <si>
    <t>828-874-0333 ext.206</t>
  </si>
  <si>
    <t>828-429-4513 ext.10</t>
  </si>
  <si>
    <t>910-525-5650</t>
  </si>
  <si>
    <t>252-826-2107</t>
  </si>
  <si>
    <t>252-585-0144</t>
  </si>
  <si>
    <t>910-754-4032 ext.1005</t>
  </si>
  <si>
    <t>919-934-2116 ext.1106</t>
  </si>
  <si>
    <t>910-692-2971</t>
  </si>
  <si>
    <t>srowan@townofranlo.org</t>
  </si>
  <si>
    <t>cjohnson@roanokerapidsnc.com</t>
  </si>
  <si>
    <t>rosehill.administrator@embarqmail.com</t>
  </si>
  <si>
    <t>annettejackson@roseboronc.com</t>
  </si>
  <si>
    <t>dcraig@dhcraigcpa.com</t>
  </si>
  <si>
    <t>townofroxbel@centurylink</t>
  </si>
  <si>
    <t>townclerk@rutherfordcollegenc.us</t>
  </si>
  <si>
    <t>tsmith@salemburg-nc.com</t>
  </si>
  <si>
    <t>Wfurc@salisburync.gov</t>
  </si>
  <si>
    <t>severnc@3rddoor.com</t>
  </si>
  <si>
    <t>INORRIS@TOWNOFSHALLOTTE.ORG</t>
  </si>
  <si>
    <t>financeofficer@snowhillnc.com</t>
  </si>
  <si>
    <t>chutchinson@spencernc.gov</t>
  </si>
  <si>
    <t>finance@townofsprucepine-nc.gov</t>
  </si>
  <si>
    <t>10/15/2022</t>
  </si>
  <si>
    <t>3/13/2023</t>
  </si>
  <si>
    <t>6/27/2023</t>
  </si>
  <si>
    <t>2/16/2023</t>
  </si>
  <si>
    <t>12/18/2022</t>
  </si>
  <si>
    <t>3/10/2023</t>
  </si>
  <si>
    <t>11/2/2022</t>
  </si>
  <si>
    <t>2/6/2023</t>
  </si>
  <si>
    <t>2/21/2023</t>
  </si>
  <si>
    <t>3/1/2023</t>
  </si>
  <si>
    <t>2/28/2023</t>
  </si>
  <si>
    <t>3/4/2023</t>
  </si>
  <si>
    <t>9/6/2022</t>
  </si>
  <si>
    <t>3/14/2023</t>
  </si>
  <si>
    <t>2/9/2023</t>
  </si>
  <si>
    <t>4/17/2023</t>
  </si>
  <si>
    <t>2022-09-08</t>
  </si>
  <si>
    <t>2022-11-14</t>
  </si>
  <si>
    <t>2022-12-16</t>
  </si>
  <si>
    <t>2023-01-17</t>
  </si>
  <si>
    <t>2022-10-28</t>
  </si>
  <si>
    <t>2023-06-01</t>
  </si>
  <si>
    <t>2023-02-11</t>
  </si>
  <si>
    <t>2022-12-28</t>
  </si>
  <si>
    <t>2022-11-02</t>
  </si>
  <si>
    <t>2022-12-22</t>
  </si>
  <si>
    <t>2023-08-05</t>
  </si>
  <si>
    <t>2022-11-15</t>
  </si>
  <si>
    <t>2023-01-23</t>
  </si>
  <si>
    <t>2022-12-13</t>
  </si>
  <si>
    <t>2023-02-02</t>
  </si>
  <si>
    <t>2023-08-04</t>
  </si>
  <si>
    <t>2023-04-26</t>
  </si>
  <si>
    <t>2022-10-07</t>
  </si>
  <si>
    <t>2023-01-11</t>
  </si>
  <si>
    <t>2023-02-07</t>
  </si>
  <si>
    <t>2022-11-19</t>
  </si>
  <si>
    <t>2022-08-30</t>
  </si>
  <si>
    <t>2022-11-26</t>
  </si>
  <si>
    <t>2022-09-13</t>
  </si>
  <si>
    <t>2023-01-26</t>
  </si>
  <si>
    <t>2022-12-15</t>
  </si>
  <si>
    <t>2023-02-10</t>
  </si>
  <si>
    <t>2022-10-10</t>
  </si>
  <si>
    <t>2023-03-31</t>
  </si>
  <si>
    <t>2023-02-06</t>
  </si>
  <si>
    <t>Amount of ARPA funds expended in total for fiscal year for non-capital purposes</t>
  </si>
  <si>
    <t>Data documenting the unit's compliance with General Statue 159-25 is captured in account numbers 947, 948, 949, 950, and 952</t>
  </si>
  <si>
    <t>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t>
  </si>
  <si>
    <t>TD Info Completed by Auditor tab: CCH acct # 1079</t>
  </si>
  <si>
    <t>Did your audit disclose any budget violations at adopted ordinance level (Yes or No)</t>
  </si>
  <si>
    <t>Is there is a going concern noted in the audit report</t>
  </si>
  <si>
    <t>Does the Performance Indicator Print worksheet in this workbook have a red shaded cell</t>
  </si>
  <si>
    <t>If the answer to 1059 is "No," was the unit without a board-appointed interim or permanent finance officer for more than 2 weeks at any time in the fiscal year</t>
  </si>
  <si>
    <t>Remaining useful life of asset greater than or equal to 0.50</t>
  </si>
  <si>
    <t xml:space="preserve">This capital assets condition ratio formula calculates the remaining useful life. A remaining useful asset value less than 0.50  may signal the need to replace the assets in the near future. </t>
  </si>
  <si>
    <t>Please do not answer this question unless the unit has a  water and/or sewer fund</t>
  </si>
  <si>
    <t>J</t>
  </si>
  <si>
    <t>Please enter the fiscal year end reported on the unit's audited financial statements if other than 6/30/2023.              Format "MM/DD/YYYY"</t>
  </si>
  <si>
    <t>What date was the audit report submitted to the LGC?  (Note audit reports are due four months after fiscal year end regardless of the contract submission date.)</t>
  </si>
  <si>
    <t>C31</t>
  </si>
  <si>
    <t>C30</t>
  </si>
  <si>
    <t xml:space="preserve">What date was the audit report submitted to the LGC? </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</si>
  <si>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J46 to the right and in your FPIC Response.</t>
    </r>
  </si>
  <si>
    <t>Fiscal Review, UAL Determination, Financial Performance Indicator</t>
  </si>
  <si>
    <t>Must be linked to unit number on Unit Data from Audit Worksheet tab</t>
  </si>
  <si>
    <t>Does the Unit have a non-state administered pension plan</t>
  </si>
  <si>
    <t>Amount transferred from the Water and Sewer Fund to Water and Sewer Capital Project Funds</t>
  </si>
  <si>
    <t>Fiscal 2023 -  Data Input Workbook incorporates the
Unit Data from Audit Worksheet, TD Info Completed by Auditor Worksheet, Performance Indicators Print Worksheet</t>
  </si>
  <si>
    <t>What date was the audit report submitted to the LGC?  (Note audit reports are due four months after fiscal year end regardless of the contract submission date.)  Enter as "MM/DD/YYYY"</t>
  </si>
  <si>
    <t xml:space="preserve">Capital Assets for Water and Sewer Activity </t>
  </si>
  <si>
    <t>Charles</t>
  </si>
  <si>
    <t>Sharpe</t>
  </si>
  <si>
    <t>02/12/2018</t>
  </si>
  <si>
    <t>Charles Sharpe</t>
  </si>
  <si>
    <t>8/3/2023</t>
  </si>
  <si>
    <t>8/14/2023</t>
  </si>
  <si>
    <t>Version Date 10/13/2023</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</si>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</sst>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_(* #,##0.000_);_(* \(#,##0.000\);_(* &quot;-&quot;??_);_(@_)"/>
    <numFmt numFmtId="183" formatCode="[&lt;=9999999]###\-####;\(###\)\ ###\-####"/>
    <numFmt numFmtId="184" formatCode="###\-###\-####"/>
    <numFmt numFmtId="185" formatCode="@*."/>
    <numFmt numFmtId="186" formatCode=".0000"/>
    <numFmt numFmtId="187" formatCode="#,##0.0_);[Red]\(#,##0.0\)"/>
    <numFmt numFmtId="188" formatCode="0.0_);[Red]\(0.0\)"/>
    <numFmt numFmtId="189" formatCode="0.0000_);[Red]\(0.0000\)"/>
    <numFmt numFmtId="190" formatCode="0.00_);[Red]\(0.00\)"/>
  </numFmts>
  <fonts count="197"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
      <sz val="8"/>
      <name val="Arial"/>
      <family val="2"/>
    </font>
    <font>
      <sz val="10"/>
      <name val="Arial"/>
      <family val="2"/>
    </font>
    <font>
      <sz val="12"/>
      <name val="Garamond"/>
      <family val="1"/>
    </font>
    <font>
      <sz val="10"/>
      <color rgb="FF000000"/>
      <name val="Times New Roman"/>
      <family val="1"/>
    </font>
    <font>
      <sz val="12"/>
      <color rgb="FFFF0000"/>
      <name val="Calibri"/>
      <family val="2"/>
      <scheme val="minor"/>
    </font>
    <font>
      <sz val="12"/>
      <name val="Calibri"/>
      <family val="2"/>
      <scheme val="minor"/>
    </font>
    <font>
      <b/>
      <sz val="11"/>
      <name val="Times New Roman"/>
      <family val="1"/>
    </font>
    <font>
      <b/>
      <i/>
      <sz val="14"/>
      <color theme="1"/>
      <name val="Calibri"/>
      <family val="2"/>
      <scheme val="minor"/>
    </font>
    <font>
      <b/>
      <u/>
      <sz val="11"/>
      <color rgb="FFFF0000"/>
      <name val="Calibri"/>
      <family val="2"/>
      <scheme val="minor"/>
    </font>
    <font>
      <b/>
      <sz val="14"/>
      <color rgb="FFFF0000"/>
      <name val="Calibri"/>
      <family val="2"/>
      <scheme val="minor"/>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8" tint="0.79998168889431442"/>
        <bgColor indexed="64"/>
      </patternFill>
    </fill>
  </fills>
  <borders count="10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
      <left style="medium">
        <color indexed="64"/>
      </left>
      <right style="medium">
        <color indexed="64"/>
      </right>
      <top/>
      <bottom style="thin">
        <color indexed="64"/>
      </bottom>
      <diagonal/>
    </border>
  </borders>
  <cellStyleXfs count="3202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79" fillId="0" borderId="0"/>
    <xf numFmtId="43" fontId="179" fillId="0" borderId="0" applyFont="0" applyFill="0" applyBorder="0" applyAlignment="0" applyProtection="0"/>
    <xf numFmtId="44" fontId="179"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87" fillId="0" borderId="0"/>
    <xf numFmtId="0" fontId="187" fillId="0" borderId="0"/>
    <xf numFmtId="0" fontId="188" fillId="0" borderId="0"/>
    <xf numFmtId="0" fontId="188" fillId="0" borderId="0"/>
    <xf numFmtId="0" fontId="188" fillId="0" borderId="0"/>
    <xf numFmtId="0" fontId="188"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8" fillId="0" borderId="0"/>
    <xf numFmtId="0" fontId="189" fillId="0" borderId="0"/>
    <xf numFmtId="0" fontId="188"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21" fillId="0" borderId="0"/>
    <xf numFmtId="0" fontId="19" fillId="0" borderId="0"/>
    <xf numFmtId="0" fontId="21" fillId="0" borderId="0"/>
    <xf numFmtId="0" fontId="112"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28" fillId="0" borderId="0"/>
  </cellStyleXfs>
  <cellXfs count="1195">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79"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quotePrefix="1" applyFont="1" applyFill="1" applyAlignment="1" applyProtection="1">
      <alignment horizontal="center"/>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2" xfId="0" applyFont="1" applyFill="1" applyBorder="1" applyAlignment="1">
      <alignment vertical="center" wrapText="1"/>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0" xfId="0" applyFont="1" applyFill="1" applyBorder="1" applyAlignment="1" applyProtection="1">
      <alignment horizontal="center"/>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68" fillId="0" borderId="0" xfId="0" applyNumberFormat="1" applyFont="1" applyFill="1" applyAlignment="1" applyProtection="1">
      <alignment wrapText="1"/>
    </xf>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37" fontId="0" fillId="0" borderId="0" xfId="0" applyNumberFormat="1"/>
    <xf numFmtId="2" fontId="0" fillId="0" borderId="0" xfId="0" applyNumberFormat="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0" fontId="0" fillId="81" borderId="25" xfId="0" applyNumberFormat="1" applyFont="1" applyFill="1" applyBorder="1" applyAlignment="1" applyProtection="1">
      <alignment horizontal="left" vertical="center" wrapText="1"/>
    </xf>
    <xf numFmtId="3" fontId="0" fillId="34" borderId="0" xfId="0" applyNumberFormat="1" applyFont="1" applyFill="1" applyProtection="1"/>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2" borderId="0" xfId="0" applyFill="1" applyAlignment="1">
      <alignment horizontal="center"/>
    </xf>
    <xf numFmtId="0" fontId="0" fillId="82" borderId="0" xfId="0" applyFill="1"/>
    <xf numFmtId="0" fontId="0" fillId="82" borderId="0" xfId="0" applyNumberFormat="1" applyFont="1" applyFill="1" applyAlignment="1" applyProtection="1">
      <alignment horizontal="center" vertical="center"/>
    </xf>
    <xf numFmtId="0" fontId="0" fillId="82"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2" borderId="0" xfId="0" applyFill="1" applyBorder="1"/>
    <xf numFmtId="0" fontId="0" fillId="36" borderId="0" xfId="0" applyFill="1" applyAlignment="1">
      <alignment horizontal="center"/>
    </xf>
    <xf numFmtId="0" fontId="0" fillId="36" borderId="0" xfId="0" applyFill="1"/>
    <xf numFmtId="0" fontId="0" fillId="83"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182"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3" fontId="41" fillId="31" borderId="66" xfId="0" applyNumberFormat="1" applyFont="1" applyFill="1" applyBorder="1" applyAlignment="1">
      <alignment wrapText="1"/>
    </xf>
    <xf numFmtId="183" fontId="56" fillId="0" borderId="28" xfId="439" applyNumberFormat="1" applyFont="1" applyFill="1" applyBorder="1" applyAlignment="1" applyProtection="1">
      <alignment horizontal="center" vertical="center" wrapText="1"/>
    </xf>
    <xf numFmtId="181" fontId="0" fillId="0" borderId="0" xfId="0" applyNumberFormat="1"/>
    <xf numFmtId="0" fontId="44" fillId="0" borderId="0" xfId="26000" applyFont="1" applyAlignment="1">
      <alignment horizontal="center"/>
    </xf>
    <xf numFmtId="0" fontId="44" fillId="0" borderId="0" xfId="26000" applyFont="1"/>
    <xf numFmtId="0" fontId="33" fillId="0" borderId="0" xfId="0" applyFont="1"/>
    <xf numFmtId="0" fontId="57" fillId="80" borderId="0" xfId="26000" applyFont="1" applyFill="1"/>
    <xf numFmtId="0" fontId="44" fillId="80"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79"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44" fillId="0" borderId="0" xfId="0" applyFont="1"/>
    <xf numFmtId="0" fontId="44" fillId="0" borderId="0" xfId="0" applyFont="1" applyAlignment="1">
      <alignment horizontal="center"/>
    </xf>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39" fillId="0" borderId="13" xfId="0" applyFont="1" applyFill="1" applyBorder="1" applyAlignment="1">
      <alignment horizontal="left" vertical="center"/>
    </xf>
    <xf numFmtId="0" fontId="0" fillId="0" borderId="16" xfId="0" applyFill="1" applyBorder="1"/>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79"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164" fontId="44" fillId="0" borderId="16" xfId="26000" applyNumberFormat="1" applyFont="1" applyBorder="1"/>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173" fontId="44" fillId="0" borderId="0" xfId="439" applyNumberFormat="1" applyFont="1" applyFill="1" applyAlignment="1" applyProtection="1">
      <alignment horizontal="center" vertical="center" wrapText="1"/>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5" fillId="73" borderId="0" xfId="30098" applyFont="1" applyFill="1" applyAlignment="1">
      <alignment vertical="center" wrapText="1"/>
    </xf>
    <xf numFmtId="173" fontId="44" fillId="35" borderId="0" xfId="26000" applyNumberFormat="1" applyFont="1" applyFill="1"/>
    <xf numFmtId="0" fontId="39" fillId="26" borderId="0" xfId="0" applyFont="1" applyFill="1" applyAlignment="1">
      <alignment horizontal="center" vertical="center"/>
    </xf>
    <xf numFmtId="185"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185"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5" fontId="52" fillId="0" borderId="0" xfId="682" applyNumberFormat="1" applyFont="1" applyAlignment="1">
      <alignment horizontal="left"/>
    </xf>
    <xf numFmtId="185" fontId="39" fillId="0" borderId="0" xfId="682" applyNumberFormat="1" applyFont="1" applyAlignment="1">
      <alignment horizontal="left"/>
    </xf>
    <xf numFmtId="42" fontId="0" fillId="0" borderId="0" xfId="0" applyNumberFormat="1"/>
    <xf numFmtId="185"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5" fontId="49" fillId="78" borderId="0" xfId="682" applyNumberFormat="1" applyFont="1" applyFill="1" applyAlignment="1">
      <alignment horizontal="left"/>
    </xf>
    <xf numFmtId="185"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6"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29" borderId="10" xfId="0" applyFill="1" applyBorder="1" applyAlignment="1" applyProtection="1">
      <alignment vertical="center" wrapText="1"/>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14" fontId="0" fillId="29" borderId="10" xfId="0" applyNumberFormat="1" applyFill="1" applyBorder="1" applyAlignment="1" applyProtection="1">
      <alignment horizontal="left" vertical="center" wrapText="1"/>
      <protection locked="0"/>
    </xf>
    <xf numFmtId="0" fontId="0" fillId="0" borderId="0" xfId="0" quotePrefix="1" applyFont="1" applyFill="1" applyProtection="1"/>
    <xf numFmtId="0" fontId="0" fillId="0" borderId="0" xfId="0" applyFont="1" applyFill="1" applyBorder="1" applyAlignment="1" applyProtection="1">
      <alignment wrapText="1"/>
      <protection locked="0"/>
    </xf>
    <xf numFmtId="37" fontId="0" fillId="0" borderId="0" xfId="0" applyNumberFormat="1" applyFont="1" applyFill="1" applyBorder="1" applyAlignment="1" applyProtection="1">
      <alignment wrapText="1"/>
      <protection locked="0"/>
    </xf>
    <xf numFmtId="38" fontId="68" fillId="0" borderId="0" xfId="0" applyNumberFormat="1" applyFont="1" applyFill="1" applyAlignment="1" applyProtection="1">
      <alignment vertical="center" wrapText="1"/>
      <protection locked="0"/>
    </xf>
    <xf numFmtId="14" fontId="0" fillId="36" borderId="0" xfId="0" applyNumberFormat="1" applyFont="1" applyFill="1" applyProtection="1"/>
    <xf numFmtId="0" fontId="0" fillId="34" borderId="0" xfId="0" applyNumberFormat="1" applyFont="1" applyFill="1" applyBorder="1" applyAlignment="1" applyProtection="1">
      <alignment horizontal="left" vertical="center" wrapText="1"/>
    </xf>
    <xf numFmtId="0" fontId="0" fillId="34" borderId="10" xfId="0" applyFill="1" applyBorder="1" applyAlignment="1">
      <alignment horizontal="center" vertical="center"/>
    </xf>
    <xf numFmtId="0" fontId="0" fillId="34" borderId="24" xfId="0" applyNumberFormat="1" applyFont="1" applyFill="1" applyBorder="1" applyAlignment="1" applyProtection="1">
      <alignment horizontal="center" vertical="center" wrapText="1"/>
    </xf>
    <xf numFmtId="164" fontId="56" fillId="34" borderId="23" xfId="439" applyNumberFormat="1" applyFont="1" applyFill="1" applyBorder="1" applyAlignment="1" applyProtection="1">
      <alignment horizontal="center" vertical="center" wrapText="1"/>
    </xf>
    <xf numFmtId="39" fontId="56" fillId="34" borderId="28" xfId="439" applyNumberFormat="1" applyFont="1" applyFill="1" applyBorder="1" applyAlignment="1" applyProtection="1">
      <alignment horizontal="center" vertical="center" wrapText="1"/>
    </xf>
    <xf numFmtId="164" fontId="56" fillId="34" borderId="29" xfId="439" applyNumberFormat="1" applyFont="1" applyFill="1" applyBorder="1" applyAlignment="1" applyProtection="1">
      <alignment horizontal="center" vertical="center" wrapText="1"/>
    </xf>
    <xf numFmtId="0" fontId="39" fillId="34" borderId="25" xfId="0" applyNumberFormat="1" applyFont="1" applyFill="1" applyBorder="1" applyAlignment="1" applyProtection="1">
      <alignment horizontal="center" vertical="center" wrapText="1"/>
    </xf>
    <xf numFmtId="3" fontId="0" fillId="29" borderId="76" xfId="0" applyNumberFormat="1" applyFill="1" applyBorder="1" applyAlignment="1" applyProtection="1">
      <alignment horizontal="center" vertical="center"/>
      <protection locked="0"/>
    </xf>
    <xf numFmtId="3" fontId="0" fillId="34" borderId="24" xfId="0" applyNumberFormat="1" applyFont="1" applyFill="1" applyBorder="1" applyAlignment="1" applyProtection="1">
      <alignment horizontal="center" vertical="center" wrapText="1"/>
    </xf>
    <xf numFmtId="49" fontId="0" fillId="34" borderId="29" xfId="439" applyNumberFormat="1" applyFont="1" applyFill="1" applyBorder="1" applyAlignment="1" applyProtection="1">
      <alignment horizontal="center" vertical="center" wrapText="1"/>
    </xf>
    <xf numFmtId="0" fontId="0" fillId="0" borderId="0" xfId="0" applyFill="1" applyAlignment="1">
      <alignment horizontal="center" vertical="center"/>
    </xf>
    <xf numFmtId="0" fontId="0" fillId="0" borderId="0" xfId="0" applyFill="1" applyAlignment="1">
      <alignment vertical="center" wrapText="1"/>
    </xf>
    <xf numFmtId="0" fontId="0" fillId="36" borderId="0" xfId="0" applyNumberFormat="1" applyFont="1" applyFill="1" applyAlignment="1" applyProtection="1">
      <alignment horizontal="left" vertical="center" wrapText="1"/>
    </xf>
    <xf numFmtId="37" fontId="0" fillId="34" borderId="29" xfId="439" applyNumberFormat="1" applyFont="1" applyFill="1" applyBorder="1" applyAlignment="1" applyProtection="1">
      <alignment horizontal="center" vertical="center"/>
    </xf>
    <xf numFmtId="0" fontId="0" fillId="85" borderId="10" xfId="0" applyFill="1" applyBorder="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38" fontId="44" fillId="36" borderId="0" xfId="439" applyNumberFormat="1" applyFont="1" applyFill="1" applyAlignment="1" applyProtection="1">
      <alignment horizontal="center" vertical="center" wrapText="1"/>
    </xf>
    <xf numFmtId="0" fontId="0" fillId="0" borderId="0" xfId="0" applyNumberFormat="1" applyFont="1" applyFill="1" applyAlignment="1" applyProtection="1">
      <alignment vertical="center" wrapText="1"/>
    </xf>
    <xf numFmtId="0" fontId="44" fillId="34" borderId="0" xfId="0" applyFont="1" applyFill="1" applyAlignment="1" applyProtection="1">
      <alignment horizontal="center" vertical="center" wrapText="1"/>
    </xf>
    <xf numFmtId="0" fontId="57" fillId="34" borderId="25" xfId="0" applyNumberFormat="1" applyFont="1" applyFill="1" applyBorder="1" applyAlignment="1" applyProtection="1">
      <alignment horizontal="center" vertical="center"/>
    </xf>
    <xf numFmtId="4" fontId="0" fillId="0" borderId="0" xfId="0" applyNumberFormat="1" applyFill="1"/>
    <xf numFmtId="181" fontId="0" fillId="36" borderId="0" xfId="0" applyNumberFormat="1" applyFill="1"/>
    <xf numFmtId="1" fontId="0" fillId="36" borderId="0" xfId="0" applyNumberFormat="1" applyFill="1" applyAlignment="1">
      <alignment horizontal="center"/>
    </xf>
    <xf numFmtId="0" fontId="0" fillId="0" borderId="0" xfId="0" applyNumberFormat="1"/>
    <xf numFmtId="0" fontId="193" fillId="0" borderId="0" xfId="0" applyFont="1"/>
    <xf numFmtId="186" fontId="193" fillId="0" borderId="0" xfId="0" applyNumberFormat="1" applyFont="1"/>
    <xf numFmtId="0" fontId="193" fillId="0" borderId="0" xfId="0" applyFont="1" applyAlignment="1">
      <alignment horizontal="center"/>
    </xf>
    <xf numFmtId="186" fontId="193" fillId="0" borderId="0" xfId="0" applyNumberFormat="1" applyFont="1" applyAlignment="1">
      <alignment horizontal="center"/>
    </xf>
    <xf numFmtId="186" fontId="44" fillId="0" borderId="0" xfId="0" applyNumberFormat="1" applyFont="1"/>
    <xf numFmtId="3" fontId="44" fillId="0" borderId="0" xfId="439" applyNumberFormat="1" applyFont="1" applyFill="1" applyAlignment="1" applyProtection="1">
      <alignment horizontal="center" vertical="center" wrapText="1"/>
    </xf>
    <xf numFmtId="38" fontId="39" fillId="29" borderId="0" xfId="439" applyNumberFormat="1" applyFont="1" applyFill="1" applyAlignment="1" applyProtection="1">
      <alignment horizontal="center" vertical="center"/>
      <protection locked="0"/>
    </xf>
    <xf numFmtId="0" fontId="39" fillId="29" borderId="0" xfId="439" applyNumberFormat="1" applyFont="1" applyFill="1" applyAlignment="1" applyProtection="1">
      <alignment horizontal="center" vertical="center" wrapText="1"/>
      <protection locked="0"/>
    </xf>
    <xf numFmtId="187" fontId="44" fillId="0" borderId="0" xfId="439" applyNumberFormat="1" applyFont="1" applyFill="1" applyAlignment="1" applyProtection="1">
      <alignment horizontal="center" vertical="center" wrapText="1"/>
    </xf>
    <xf numFmtId="187" fontId="39" fillId="29" borderId="0" xfId="439" applyNumberFormat="1" applyFont="1" applyFill="1" applyAlignment="1" applyProtection="1">
      <alignment horizontal="center" vertical="center"/>
      <protection locked="0"/>
    </xf>
    <xf numFmtId="188" fontId="0" fillId="0" borderId="0" xfId="0" applyNumberFormat="1" applyFont="1" applyFill="1" applyAlignment="1" applyProtection="1">
      <alignment vertical="center" wrapText="1"/>
    </xf>
    <xf numFmtId="189" fontId="39" fillId="29" borderId="0" xfId="439" applyNumberFormat="1" applyFont="1" applyFill="1" applyAlignment="1" applyProtection="1">
      <alignment horizontal="center" vertical="center"/>
      <protection locked="0"/>
    </xf>
    <xf numFmtId="49" fontId="0" fillId="29" borderId="0" xfId="0" applyNumberFormat="1" applyFont="1" applyFill="1" applyAlignment="1" applyProtection="1">
      <alignment horizontal="center" vertical="center"/>
      <protection locked="0"/>
    </xf>
    <xf numFmtId="14" fontId="0" fillId="29" borderId="0" xfId="439" applyNumberFormat="1" applyFont="1" applyFill="1" applyAlignment="1" applyProtection="1">
      <alignment horizontal="center" vertical="center" wrapText="1"/>
      <protection locked="0"/>
    </xf>
    <xf numFmtId="4" fontId="44" fillId="0" borderId="0" xfId="439" applyNumberFormat="1" applyFont="1" applyFill="1" applyAlignment="1" applyProtection="1">
      <alignment horizontal="center" vertical="center" wrapText="1"/>
    </xf>
    <xf numFmtId="4" fontId="39" fillId="29" borderId="0" xfId="439" applyNumberFormat="1" applyFont="1" applyFill="1" applyAlignment="1" applyProtection="1">
      <alignment horizontal="center" vertical="center"/>
      <protection locked="0"/>
    </xf>
    <xf numFmtId="38" fontId="57" fillId="29" borderId="0" xfId="439" applyNumberFormat="1" applyFont="1" applyFill="1" applyAlignment="1" applyProtection="1">
      <alignment horizontal="center" vertical="center" wrapText="1"/>
      <protection locked="0"/>
    </xf>
    <xf numFmtId="0" fontId="0" fillId="0" borderId="57" xfId="0" applyBorder="1" applyAlignment="1" applyProtection="1">
      <alignment horizontal="center" vertical="center" wrapText="1"/>
    </xf>
    <xf numFmtId="0" fontId="0" fillId="0" borderId="57" xfId="0" applyBorder="1" applyAlignment="1" applyProtection="1">
      <alignment horizontal="left" vertical="center" wrapText="1"/>
      <protection locked="0"/>
    </xf>
    <xf numFmtId="0" fontId="0" fillId="0" borderId="57" xfId="0" applyFill="1" applyBorder="1" applyAlignment="1" applyProtection="1">
      <alignment horizontal="left" vertical="center" wrapText="1"/>
      <protection locked="0"/>
    </xf>
    <xf numFmtId="0" fontId="0" fillId="0" borderId="57" xfId="0" applyBorder="1" applyAlignment="1" applyProtection="1">
      <alignment horizontal="left" vertical="center"/>
      <protection locked="0"/>
    </xf>
    <xf numFmtId="0" fontId="0" fillId="0" borderId="13" xfId="0" applyBorder="1" applyProtection="1"/>
    <xf numFmtId="0" fontId="44" fillId="0" borderId="91" xfId="0" applyFont="1" applyBorder="1" applyProtection="1"/>
    <xf numFmtId="0" fontId="44" fillId="0" borderId="0" xfId="0" applyFont="1" applyProtection="1"/>
    <xf numFmtId="0" fontId="44" fillId="0" borderId="74" xfId="0" applyFont="1" applyBorder="1" applyProtection="1"/>
    <xf numFmtId="0" fontId="44" fillId="0" borderId="75" xfId="0" applyFont="1" applyBorder="1" applyProtection="1"/>
    <xf numFmtId="0" fontId="0" fillId="0" borderId="75" xfId="0" applyBorder="1" applyProtection="1"/>
    <xf numFmtId="0" fontId="0" fillId="0" borderId="40" xfId="0" applyBorder="1" applyProtection="1"/>
    <xf numFmtId="0" fontId="178" fillId="0" borderId="0" xfId="0" applyFont="1" applyAlignment="1" applyProtection="1">
      <alignment vertical="center" wrapText="1"/>
    </xf>
    <xf numFmtId="0" fontId="0" fillId="0" borderId="67" xfId="0" applyBorder="1" applyProtection="1"/>
    <xf numFmtId="0" fontId="39" fillId="78" borderId="88" xfId="0" applyFont="1" applyFill="1" applyBorder="1" applyAlignment="1" applyProtection="1">
      <alignment horizontal="left"/>
    </xf>
    <xf numFmtId="0" fontId="0" fillId="78" borderId="89" xfId="0" applyFill="1" applyBorder="1" applyProtection="1"/>
    <xf numFmtId="0" fontId="0" fillId="78" borderId="94" xfId="0" applyFill="1" applyBorder="1" applyProtection="1"/>
    <xf numFmtId="0" fontId="0" fillId="78" borderId="11" xfId="0" applyFill="1" applyBorder="1" applyAlignment="1" applyProtection="1">
      <alignment horizontal="center"/>
    </xf>
    <xf numFmtId="0" fontId="0" fillId="0" borderId="87" xfId="0" applyBorder="1" applyProtection="1"/>
    <xf numFmtId="0" fontId="162" fillId="0" borderId="68" xfId="0" applyFont="1" applyBorder="1" applyAlignment="1" applyProtection="1">
      <alignment horizontal="center" vertical="center" wrapText="1"/>
    </xf>
    <xf numFmtId="0" fontId="44" fillId="0" borderId="85" xfId="0" applyFont="1" applyBorder="1" applyAlignment="1" applyProtection="1">
      <alignment wrapText="1"/>
    </xf>
    <xf numFmtId="1" fontId="44" fillId="0" borderId="0" xfId="0" applyNumberFormat="1" applyFont="1" applyProtection="1"/>
    <xf numFmtId="0" fontId="0" fillId="0" borderId="68" xfId="0" applyBorder="1" applyProtection="1"/>
    <xf numFmtId="0" fontId="162" fillId="0" borderId="13" xfId="0" applyFont="1" applyBorder="1" applyAlignment="1" applyProtection="1">
      <alignment horizontal="center" vertical="center" wrapText="1"/>
    </xf>
    <xf numFmtId="0" fontId="44" fillId="0" borderId="83" xfId="0" applyFont="1" applyBorder="1" applyProtection="1"/>
    <xf numFmtId="0" fontId="44" fillId="0" borderId="0" xfId="0" applyFont="1" applyAlignment="1" applyProtection="1">
      <alignment horizontal="center"/>
    </xf>
    <xf numFmtId="0" fontId="39" fillId="0" borderId="68" xfId="0" quotePrefix="1" applyFont="1" applyBorder="1" applyAlignment="1" applyProtection="1">
      <alignment horizontal="center" vertical="center"/>
    </xf>
    <xf numFmtId="0" fontId="39" fillId="0" borderId="57" xfId="0" quotePrefix="1" applyFont="1" applyBorder="1" applyAlignment="1" applyProtection="1">
      <alignment horizontal="center" vertical="center"/>
    </xf>
    <xf numFmtId="0" fontId="0" fillId="78" borderId="67" xfId="0" applyFill="1" applyBorder="1" applyAlignment="1" applyProtection="1">
      <alignment horizontal="center" vertical="center" wrapText="1"/>
    </xf>
    <xf numFmtId="37" fontId="44" fillId="36" borderId="0" xfId="0" applyNumberFormat="1" applyFont="1" applyFill="1" applyProtection="1"/>
    <xf numFmtId="37" fontId="44" fillId="0" borderId="0" xfId="0" applyNumberFormat="1" applyFont="1" applyProtection="1"/>
    <xf numFmtId="0" fontId="39" fillId="0" borderId="57" xfId="0" applyFont="1" applyBorder="1" applyAlignment="1" applyProtection="1">
      <alignment horizontal="center"/>
    </xf>
    <xf numFmtId="0" fontId="49" fillId="78" borderId="57" xfId="0" applyFont="1" applyFill="1" applyBorder="1" applyAlignment="1" applyProtection="1">
      <alignment horizontal="center" wrapText="1"/>
    </xf>
    <xf numFmtId="0" fontId="37" fillId="78" borderId="68" xfId="0" applyFont="1" applyFill="1" applyBorder="1" applyAlignment="1" applyProtection="1">
      <alignment vertical="center" wrapText="1"/>
    </xf>
    <xf numFmtId="0" fontId="0" fillId="78" borderId="68" xfId="0" applyFill="1" applyBorder="1" applyAlignment="1" applyProtection="1">
      <alignment horizontal="left" vertical="center" wrapText="1"/>
    </xf>
    <xf numFmtId="0" fontId="44" fillId="0" borderId="0" xfId="0" applyFont="1" applyAlignment="1" applyProtection="1">
      <alignment horizontal="center" wrapText="1"/>
    </xf>
    <xf numFmtId="9" fontId="44" fillId="0" borderId="0" xfId="4688" applyFont="1" applyFill="1" applyBorder="1" applyProtection="1"/>
    <xf numFmtId="10" fontId="44" fillId="0" borderId="74" xfId="0" applyNumberFormat="1" applyFont="1" applyBorder="1" applyProtection="1"/>
    <xf numFmtId="0" fontId="37" fillId="78" borderId="57" xfId="0" applyFont="1" applyFill="1" applyBorder="1" applyAlignment="1" applyProtection="1">
      <alignment horizontal="justify" vertical="center" wrapText="1"/>
    </xf>
    <xf numFmtId="0" fontId="45" fillId="78" borderId="57" xfId="0" quotePrefix="1" applyFont="1" applyFill="1" applyBorder="1" applyAlignment="1" applyProtection="1">
      <alignment horizontal="center" vertical="center" wrapText="1"/>
    </xf>
    <xf numFmtId="10" fontId="0" fillId="0" borderId="0" xfId="4688" applyNumberFormat="1" applyFont="1" applyProtection="1"/>
    <xf numFmtId="10" fontId="44" fillId="0" borderId="0" xfId="4688" applyNumberFormat="1" applyFont="1" applyProtection="1"/>
    <xf numFmtId="39" fontId="44" fillId="36" borderId="0" xfId="4688" applyNumberFormat="1" applyFont="1" applyFill="1" applyBorder="1" applyProtection="1"/>
    <xf numFmtId="0" fontId="37" fillId="78" borderId="11" xfId="0" applyFont="1" applyFill="1" applyBorder="1" applyAlignment="1" applyProtection="1">
      <alignment horizontal="justify" vertical="center" wrapText="1"/>
    </xf>
    <xf numFmtId="0" fontId="45" fillId="78" borderId="57" xfId="0" applyFont="1" applyFill="1" applyBorder="1" applyAlignment="1" applyProtection="1">
      <alignment horizontal="center" vertical="center" wrapText="1"/>
    </xf>
    <xf numFmtId="6" fontId="0" fillId="0" borderId="57" xfId="0" applyNumberFormat="1" applyBorder="1" applyAlignment="1" applyProtection="1">
      <alignment horizontal="center" vertical="center" wrapText="1"/>
    </xf>
    <xf numFmtId="0" fontId="176"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center" vertical="center" wrapText="1"/>
    </xf>
    <xf numFmtId="0" fontId="0" fillId="0" borderId="0" xfId="0" applyProtection="1"/>
    <xf numFmtId="2" fontId="44" fillId="24" borderId="0" xfId="4688" applyNumberFormat="1" applyFont="1" applyFill="1" applyProtection="1"/>
    <xf numFmtId="2" fontId="44" fillId="0" borderId="0" xfId="0" applyNumberFormat="1" applyFont="1" applyProtection="1"/>
    <xf numFmtId="168" fontId="44" fillId="0" borderId="0" xfId="0" applyNumberFormat="1" applyFont="1" applyProtection="1"/>
    <xf numFmtId="168" fontId="44" fillId="0" borderId="75" xfId="0" applyNumberFormat="1" applyFont="1" applyBorder="1" applyProtection="1"/>
    <xf numFmtId="168" fontId="0" fillId="0" borderId="75" xfId="0" applyNumberFormat="1" applyBorder="1" applyProtection="1"/>
    <xf numFmtId="0" fontId="39" fillId="0" borderId="41" xfId="0" applyFont="1" applyBorder="1" applyAlignment="1" applyProtection="1">
      <alignment vertical="center" wrapText="1"/>
    </xf>
    <xf numFmtId="2" fontId="0" fillId="0" borderId="41" xfId="0" applyNumberFormat="1" applyBorder="1" applyAlignment="1" applyProtection="1">
      <alignment horizontal="center"/>
    </xf>
    <xf numFmtId="2" fontId="0" fillId="0" borderId="42" xfId="0" applyNumberFormat="1" applyBorder="1" applyAlignment="1" applyProtection="1">
      <alignment horizontal="center"/>
    </xf>
    <xf numFmtId="0" fontId="0" fillId="0" borderId="68" xfId="0" applyBorder="1" applyAlignment="1" applyProtection="1">
      <alignment horizontal="center" vertical="center" wrapText="1"/>
    </xf>
    <xf numFmtId="0" fontId="39" fillId="0" borderId="38" xfId="0" applyFont="1" applyBorder="1" applyAlignment="1" applyProtection="1">
      <alignment vertical="center" wrapText="1"/>
    </xf>
    <xf numFmtId="0" fontId="39" fillId="0" borderId="67" xfId="0" applyFont="1" applyBorder="1" applyAlignment="1" applyProtection="1">
      <alignment horizontal="center"/>
    </xf>
    <xf numFmtId="0" fontId="57" fillId="78" borderId="11" xfId="0" applyFont="1" applyFill="1" applyBorder="1" applyAlignment="1" applyProtection="1">
      <alignment horizontal="center" vertical="center" wrapText="1"/>
    </xf>
    <xf numFmtId="0" fontId="39" fillId="78" borderId="11" xfId="0" applyFont="1" applyFill="1" applyBorder="1" applyAlignment="1" applyProtection="1">
      <alignment horizontal="justify" vertical="center" wrapText="1"/>
    </xf>
    <xf numFmtId="6" fontId="0" fillId="0" borderId="57" xfId="0" applyNumberFormat="1" applyBorder="1" applyAlignment="1" applyProtection="1">
      <alignment horizontal="center" vertical="center"/>
    </xf>
    <xf numFmtId="164" fontId="44" fillId="0" borderId="0" xfId="439" applyNumberFormat="1" applyFont="1" applyProtection="1"/>
    <xf numFmtId="0" fontId="39" fillId="78" borderId="11" xfId="0" applyFont="1" applyFill="1" applyBorder="1" applyAlignment="1" applyProtection="1">
      <alignment horizontal="left" vertical="center" wrapText="1"/>
    </xf>
    <xf numFmtId="10" fontId="0" fillId="0" borderId="57" xfId="4688" applyNumberFormat="1" applyFont="1" applyFill="1" applyBorder="1" applyAlignment="1" applyProtection="1">
      <alignment horizontal="center" vertical="center"/>
    </xf>
    <xf numFmtId="10" fontId="44" fillId="0" borderId="0" xfId="4688" applyNumberFormat="1" applyFont="1" applyFill="1" applyBorder="1" applyProtection="1"/>
    <xf numFmtId="0" fontId="44" fillId="0" borderId="0" xfId="0" applyFont="1" applyAlignment="1" applyProtection="1">
      <alignment wrapText="1"/>
    </xf>
    <xf numFmtId="37" fontId="0" fillId="0" borderId="57" xfId="0" applyNumberFormat="1" applyBorder="1" applyAlignment="1" applyProtection="1">
      <alignment horizontal="center" vertical="center" wrapText="1"/>
    </xf>
    <xf numFmtId="37" fontId="68" fillId="84" borderId="57" xfId="0" applyNumberFormat="1" applyFont="1" applyFill="1" applyBorder="1" applyAlignment="1" applyProtection="1">
      <alignment horizontal="center" wrapText="1"/>
    </xf>
    <xf numFmtId="10" fontId="0" fillId="0" borderId="57" xfId="0" applyNumberFormat="1" applyBorder="1" applyAlignment="1" applyProtection="1">
      <alignment horizontal="center" vertical="center" wrapText="1"/>
    </xf>
    <xf numFmtId="43" fontId="44" fillId="0" borderId="0" xfId="439" applyFont="1" applyFill="1" applyBorder="1" applyProtection="1"/>
    <xf numFmtId="43" fontId="44" fillId="36" borderId="0" xfId="439" applyFont="1" applyFill="1" applyBorder="1" applyProtection="1"/>
    <xf numFmtId="43" fontId="44" fillId="36" borderId="0" xfId="0" applyNumberFormat="1" applyFont="1" applyFill="1" applyProtection="1"/>
    <xf numFmtId="0" fontId="57" fillId="78" borderId="57" xfId="0" applyFont="1" applyFill="1" applyBorder="1" applyAlignment="1" applyProtection="1">
      <alignment horizontal="center" wrapText="1"/>
    </xf>
    <xf numFmtId="39" fontId="44" fillId="0" borderId="0" xfId="0" applyNumberFormat="1" applyFont="1" applyProtection="1"/>
    <xf numFmtId="0" fontId="39" fillId="0" borderId="11" xfId="0" applyFont="1" applyBorder="1" applyAlignment="1" applyProtection="1">
      <alignment vertical="center" wrapText="1"/>
    </xf>
    <xf numFmtId="0" fontId="0" fillId="78" borderId="57" xfId="0" applyFill="1" applyBorder="1" applyAlignment="1" applyProtection="1">
      <alignment vertical="center" wrapText="1"/>
    </xf>
    <xf numFmtId="0" fontId="45" fillId="78" borderId="57" xfId="0" applyFont="1" applyFill="1" applyBorder="1" applyAlignment="1" applyProtection="1">
      <alignment vertical="center" wrapText="1"/>
    </xf>
    <xf numFmtId="2" fontId="44" fillId="0" borderId="0" xfId="439" applyNumberFormat="1" applyFont="1" applyFill="1" applyBorder="1" applyProtection="1"/>
    <xf numFmtId="6" fontId="0" fillId="0" borderId="57" xfId="545" applyNumberFormat="1" applyFont="1" applyFill="1" applyBorder="1" applyAlignment="1" applyProtection="1">
      <alignment horizontal="center" vertical="center"/>
    </xf>
    <xf numFmtId="0" fontId="45" fillId="78" borderId="13" xfId="0" applyFont="1" applyFill="1" applyBorder="1" applyAlignment="1" applyProtection="1">
      <alignment horizontal="center" vertical="center" wrapText="1"/>
    </xf>
    <xf numFmtId="167" fontId="44" fillId="0" borderId="0" xfId="545" applyNumberFormat="1" applyFont="1" applyFill="1" applyBorder="1" applyProtection="1"/>
    <xf numFmtId="0" fontId="39" fillId="78" borderId="57" xfId="0" applyFont="1" applyFill="1" applyBorder="1" applyAlignment="1" applyProtection="1">
      <alignment horizontal="center"/>
    </xf>
    <xf numFmtId="0" fontId="39" fillId="78" borderId="57" xfId="0" applyFont="1" applyFill="1" applyBorder="1" applyAlignment="1" applyProtection="1">
      <alignment horizontal="center" wrapText="1"/>
    </xf>
    <xf numFmtId="0" fontId="0" fillId="78" borderId="88" xfId="0" applyFill="1" applyBorder="1" applyProtection="1"/>
    <xf numFmtId="0" fontId="39" fillId="78" borderId="67" xfId="0" applyFont="1" applyFill="1" applyBorder="1" applyAlignment="1" applyProtection="1">
      <alignment horizontal="center"/>
    </xf>
    <xf numFmtId="0" fontId="40" fillId="78" borderId="13" xfId="0" applyFont="1" applyFill="1" applyBorder="1" applyAlignment="1" applyProtection="1">
      <alignment horizontal="center" vertical="center"/>
    </xf>
    <xf numFmtId="0" fontId="39" fillId="78" borderId="78" xfId="0" applyFont="1" applyFill="1" applyBorder="1" applyAlignment="1" applyProtection="1">
      <alignment horizontal="center" wrapText="1"/>
    </xf>
    <xf numFmtId="0" fontId="0" fillId="78" borderId="57" xfId="0" applyFill="1" applyBorder="1" applyProtection="1"/>
    <xf numFmtId="0" fontId="45" fillId="78" borderId="13" xfId="0" applyFont="1" applyFill="1" applyBorder="1" applyAlignment="1" applyProtection="1">
      <alignment vertical="center"/>
    </xf>
    <xf numFmtId="10" fontId="181" fillId="0" borderId="57" xfId="4688" applyNumberFormat="1" applyFont="1" applyFill="1" applyBorder="1" applyAlignment="1" applyProtection="1">
      <alignment horizontal="center" vertical="center" wrapText="1"/>
    </xf>
    <xf numFmtId="10" fontId="181" fillId="0" borderId="57" xfId="0" applyNumberFormat="1" applyFont="1" applyBorder="1" applyAlignment="1" applyProtection="1">
      <alignment horizontal="center" vertical="center" wrapText="1"/>
    </xf>
    <xf numFmtId="37" fontId="181" fillId="0" borderId="57" xfId="0" applyNumberFormat="1" applyFont="1" applyBorder="1" applyAlignment="1" applyProtection="1">
      <alignment horizontal="center" vertical="center" wrapText="1"/>
    </xf>
    <xf numFmtId="0" fontId="57" fillId="0" borderId="0" xfId="0" applyFont="1" applyAlignment="1" applyProtection="1">
      <alignment wrapText="1"/>
    </xf>
    <xf numFmtId="0" fontId="0" fillId="78" borderId="57" xfId="0" applyFill="1" applyBorder="1" applyAlignment="1" applyProtection="1">
      <alignment vertical="center"/>
    </xf>
    <xf numFmtId="0" fontId="44" fillId="0" borderId="85" xfId="0" applyFont="1" applyBorder="1" applyProtection="1"/>
    <xf numFmtId="0" fontId="37" fillId="78" borderId="57" xfId="0" applyFont="1" applyFill="1" applyBorder="1" applyAlignment="1" applyProtection="1">
      <alignment vertical="center" wrapText="1"/>
    </xf>
    <xf numFmtId="0" fontId="0" fillId="1" borderId="57" xfId="0" applyFill="1" applyBorder="1" applyAlignment="1" applyProtection="1">
      <alignment horizontal="center" vertical="center" wrapText="1"/>
    </xf>
    <xf numFmtId="0" fontId="0" fillId="78" borderId="57" xfId="0" applyFill="1" applyBorder="1" applyAlignment="1" applyProtection="1">
      <alignment horizontal="center"/>
    </xf>
    <xf numFmtId="0" fontId="45" fillId="78" borderId="13" xfId="0" applyFont="1" applyFill="1" applyBorder="1" applyAlignment="1" applyProtection="1">
      <alignment vertical="center" wrapText="1"/>
    </xf>
    <xf numFmtId="0" fontId="0" fillId="0" borderId="57" xfId="0" applyBorder="1" applyAlignment="1" applyProtection="1">
      <alignment horizontal="center" vertical="center"/>
    </xf>
    <xf numFmtId="0" fontId="186" fillId="78" borderId="57" xfId="0" applyFont="1" applyFill="1" applyBorder="1" applyAlignment="1" applyProtection="1">
      <alignment vertical="center" wrapText="1"/>
    </xf>
    <xf numFmtId="37" fontId="44" fillId="0" borderId="0" xfId="0" applyNumberFormat="1" applyFont="1" applyAlignment="1" applyProtection="1">
      <alignment horizontal="center"/>
    </xf>
    <xf numFmtId="0" fontId="39" fillId="0" borderId="84" xfId="0" applyFont="1" applyBorder="1" applyAlignment="1" applyProtection="1">
      <alignment horizontal="center" vertical="center"/>
    </xf>
    <xf numFmtId="0" fontId="0" fillId="0" borderId="79" xfId="0" applyBorder="1" applyProtection="1"/>
    <xf numFmtId="0" fontId="0" fillId="0" borderId="84" xfId="0" applyBorder="1" applyProtection="1"/>
    <xf numFmtId="0" fontId="44" fillId="0" borderId="86" xfId="0" applyFont="1" applyBorder="1" applyProtection="1"/>
    <xf numFmtId="0" fontId="0" fillId="0" borderId="86" xfId="0" applyBorder="1" applyProtection="1"/>
    <xf numFmtId="181" fontId="0" fillId="36" borderId="0" xfId="0" applyNumberFormat="1" applyFill="1" applyAlignment="1">
      <alignment wrapText="1"/>
    </xf>
    <xf numFmtId="37" fontId="0" fillId="0" borderId="57" xfId="0" applyNumberFormat="1" applyFill="1" applyBorder="1" applyAlignment="1" applyProtection="1">
      <alignment horizontal="center" vertical="center" wrapText="1"/>
    </xf>
    <xf numFmtId="37" fontId="0" fillId="0" borderId="57" xfId="0" applyNumberFormat="1" applyFill="1" applyBorder="1" applyAlignment="1" applyProtection="1">
      <alignment horizontal="center" vertical="center"/>
    </xf>
    <xf numFmtId="0" fontId="69" fillId="0" borderId="0" xfId="0" applyFont="1" applyFill="1" applyAlignment="1" applyProtection="1">
      <alignment horizontal="center" vertical="center" wrapText="1"/>
    </xf>
    <xf numFmtId="0" fontId="0" fillId="0" borderId="0" xfId="0" quotePrefix="1" applyFill="1" applyAlignment="1">
      <alignment horizontal="center"/>
    </xf>
    <xf numFmtId="0" fontId="137" fillId="0" borderId="0" xfId="0" applyFont="1" applyFill="1" applyAlignment="1">
      <alignment horizontal="left" vertical="center" wrapText="1"/>
    </xf>
    <xf numFmtId="0" fontId="68" fillId="0" borderId="76" xfId="0" applyFont="1" applyFill="1" applyBorder="1" applyAlignment="1">
      <alignment vertical="center" wrapText="1"/>
    </xf>
    <xf numFmtId="0" fontId="0" fillId="24" borderId="0" xfId="0" applyFill="1" applyAlignment="1" applyProtection="1">
      <alignment wrapText="1"/>
    </xf>
    <xf numFmtId="10" fontId="44" fillId="24" borderId="0" xfId="4688" applyNumberFormat="1" applyFont="1" applyFill="1" applyAlignment="1" applyProtection="1">
      <alignment wrapText="1"/>
    </xf>
    <xf numFmtId="10" fontId="0" fillId="0" borderId="57" xfId="4688" applyNumberFormat="1" applyFont="1" applyFill="1" applyBorder="1" applyAlignment="1" applyProtection="1">
      <alignment horizontal="center" vertical="center" wrapText="1"/>
    </xf>
    <xf numFmtId="164" fontId="44" fillId="24" borderId="0" xfId="439" applyNumberFormat="1" applyFont="1" applyFill="1" applyAlignment="1" applyProtection="1">
      <alignment wrapText="1"/>
    </xf>
    <xf numFmtId="6" fontId="0" fillId="0" borderId="57" xfId="545" applyNumberFormat="1" applyFont="1" applyFill="1" applyBorder="1" applyAlignment="1" applyProtection="1">
      <alignment horizontal="center" vertical="center" wrapText="1"/>
    </xf>
    <xf numFmtId="49" fontId="44" fillId="36" borderId="10" xfId="4688" applyNumberFormat="1" applyFont="1" applyFill="1" applyBorder="1" applyAlignment="1" applyProtection="1">
      <alignment horizontal="right"/>
    </xf>
    <xf numFmtId="3" fontId="44" fillId="36" borderId="10" xfId="4688" applyNumberFormat="1" applyFont="1" applyFill="1" applyBorder="1" applyProtection="1"/>
    <xf numFmtId="0" fontId="37" fillId="78" borderId="57" xfId="0" applyFont="1" applyFill="1" applyBorder="1" applyAlignment="1" applyProtection="1">
      <alignment horizontal="left" vertical="center" wrapText="1"/>
    </xf>
    <xf numFmtId="0" fontId="40" fillId="0" borderId="0" xfId="0" applyFont="1" applyFill="1" applyBorder="1" applyAlignment="1">
      <alignment wrapText="1"/>
    </xf>
    <xf numFmtId="2" fontId="0" fillId="0" borderId="0" xfId="0" applyNumberFormat="1" applyFill="1"/>
    <xf numFmtId="0" fontId="39" fillId="34" borderId="16" xfId="0" applyFont="1" applyFill="1" applyBorder="1" applyAlignment="1" applyProtection="1">
      <alignment horizontal="justify" vertical="center" wrapText="1"/>
    </xf>
    <xf numFmtId="0" fontId="45" fillId="34" borderId="57" xfId="0" applyFont="1" applyFill="1" applyBorder="1" applyAlignment="1" applyProtection="1">
      <alignment horizontal="center" vertical="center" wrapText="1"/>
    </xf>
    <xf numFmtId="170" fontId="44" fillId="34" borderId="0" xfId="439" applyNumberFormat="1" applyFont="1" applyFill="1" applyAlignment="1" applyProtection="1">
      <alignment wrapText="1"/>
    </xf>
    <xf numFmtId="190" fontId="44" fillId="34" borderId="0" xfId="0" applyNumberFormat="1" applyFont="1" applyFill="1" applyProtection="1"/>
    <xf numFmtId="43" fontId="44" fillId="34" borderId="0" xfId="439" applyFont="1" applyFill="1" applyBorder="1" applyProtection="1"/>
    <xf numFmtId="2" fontId="0" fillId="34" borderId="57" xfId="4688" applyNumberFormat="1" applyFont="1" applyFill="1" applyBorder="1" applyAlignment="1" applyProtection="1">
      <alignment horizontal="center" vertical="center" wrapText="1"/>
    </xf>
    <xf numFmtId="2" fontId="0" fillId="34" borderId="16" xfId="0" applyNumberFormat="1" applyFill="1" applyBorder="1" applyAlignment="1" applyProtection="1">
      <alignment horizontal="center" vertical="center" wrapText="1"/>
    </xf>
    <xf numFmtId="2" fontId="0" fillId="34" borderId="57" xfId="0" applyNumberFormat="1" applyFill="1" applyBorder="1" applyAlignment="1" applyProtection="1">
      <alignment horizontal="center" vertical="center" wrapText="1"/>
    </xf>
    <xf numFmtId="0" fontId="0" fillId="21" borderId="77" xfId="0" applyFont="1" applyFill="1" applyBorder="1" applyAlignment="1" applyProtection="1">
      <alignment horizontal="center" vertical="center" wrapText="1"/>
    </xf>
    <xf numFmtId="0" fontId="39" fillId="21" borderId="77" xfId="0" applyFont="1" applyFill="1" applyBorder="1" applyAlignment="1" applyProtection="1">
      <alignment horizontal="center" wrapText="1"/>
    </xf>
    <xf numFmtId="164" fontId="69" fillId="21" borderId="100" xfId="439" applyNumberFormat="1" applyFont="1" applyFill="1" applyBorder="1" applyAlignment="1" applyProtection="1">
      <alignment horizontal="center" wrapText="1"/>
    </xf>
    <xf numFmtId="0" fontId="0" fillId="29" borderId="0" xfId="0" applyFont="1" applyFill="1" applyAlignment="1" applyProtection="1">
      <alignment horizontal="center" vertical="center" wrapText="1"/>
    </xf>
    <xf numFmtId="0" fontId="44" fillId="29" borderId="0" xfId="0" applyFont="1" applyFill="1" applyAlignment="1" applyProtection="1">
      <alignment horizontal="center" vertical="center" wrapText="1"/>
    </xf>
    <xf numFmtId="0" fontId="44" fillId="29" borderId="45" xfId="0" applyFont="1" applyFill="1" applyBorder="1" applyAlignment="1" applyProtection="1">
      <alignment horizontal="center" vertical="center" wrapText="1"/>
    </xf>
    <xf numFmtId="0" fontId="0" fillId="29" borderId="0" xfId="0" applyFill="1" applyAlignment="1">
      <alignment horizontal="center" vertical="center" wrapText="1"/>
    </xf>
    <xf numFmtId="0" fontId="0" fillId="29" borderId="45" xfId="0" applyFont="1" applyFill="1" applyBorder="1" applyAlignment="1" applyProtection="1">
      <alignment horizontal="center" vertical="center" wrapText="1"/>
    </xf>
    <xf numFmtId="0" fontId="0" fillId="29" borderId="36" xfId="0" applyNumberFormat="1" applyFont="1" applyFill="1" applyBorder="1" applyAlignment="1" applyProtection="1">
      <alignment horizontal="center" vertical="center" wrapText="1"/>
    </xf>
    <xf numFmtId="10" fontId="0" fillId="0" borderId="57" xfId="0" applyNumberFormat="1" applyFill="1" applyBorder="1" applyAlignment="1" applyProtection="1">
      <alignment horizontal="center" vertical="center" wrapText="1"/>
    </xf>
    <xf numFmtId="2" fontId="0" fillId="0" borderId="68" xfId="0" applyNumberFormat="1" applyFill="1" applyBorder="1" applyAlignment="1" applyProtection="1">
      <alignment horizontal="center" vertical="center"/>
    </xf>
    <xf numFmtId="5" fontId="0" fillId="0" borderId="57" xfId="0" applyNumberFormat="1" applyFill="1" applyBorder="1" applyAlignment="1" applyProtection="1">
      <alignment horizontal="center" vertical="center"/>
    </xf>
    <xf numFmtId="10" fontId="0" fillId="0" borderId="57" xfId="0" applyNumberFormat="1" applyFill="1" applyBorder="1" applyAlignment="1" applyProtection="1">
      <alignment horizontal="center" vertical="center"/>
    </xf>
    <xf numFmtId="2" fontId="0" fillId="0" borderId="57" xfId="0" applyNumberFormat="1" applyFill="1" applyBorder="1" applyAlignment="1" applyProtection="1">
      <alignment horizontal="center" vertical="center" wrapText="1"/>
    </xf>
    <xf numFmtId="6" fontId="0" fillId="0" borderId="57" xfId="0" applyNumberFormat="1" applyFill="1" applyBorder="1" applyAlignment="1" applyProtection="1">
      <alignment horizontal="center" vertical="center"/>
    </xf>
    <xf numFmtId="0" fontId="44" fillId="0" borderId="0" xfId="0" quotePrefix="1" applyFont="1" applyProtection="1"/>
    <xf numFmtId="168" fontId="44" fillId="0" borderId="104" xfId="0" applyNumberFormat="1" applyFont="1" applyBorder="1" applyProtection="1"/>
    <xf numFmtId="168" fontId="44" fillId="0" borderId="105" xfId="0" applyNumberFormat="1" applyFont="1" applyBorder="1" applyProtection="1"/>
    <xf numFmtId="0" fontId="44" fillId="0" borderId="106" xfId="0" applyFont="1" applyBorder="1" applyProtection="1"/>
    <xf numFmtId="0" fontId="44" fillId="0" borderId="79" xfId="0" applyFont="1" applyBorder="1" applyProtection="1"/>
    <xf numFmtId="0" fontId="44" fillId="29" borderId="10" xfId="0" applyFont="1" applyFill="1" applyBorder="1" applyProtection="1"/>
    <xf numFmtId="2" fontId="44" fillId="73" borderId="0" xfId="4688" applyNumberFormat="1" applyFont="1" applyFill="1" applyAlignment="1" applyProtection="1">
      <alignment wrapText="1"/>
    </xf>
    <xf numFmtId="2" fontId="44" fillId="24" borderId="0" xfId="4688" quotePrefix="1" applyNumberFormat="1" applyFont="1" applyFill="1" applyProtection="1"/>
    <xf numFmtId="0" fontId="44" fillId="73" borderId="10" xfId="0" applyFont="1" applyFill="1" applyBorder="1" applyProtection="1"/>
    <xf numFmtId="2" fontId="0" fillId="36" borderId="0" xfId="0" applyNumberFormat="1" applyFill="1"/>
    <xf numFmtId="43" fontId="0" fillId="0" borderId="0" xfId="0" applyNumberFormat="1"/>
    <xf numFmtId="0" fontId="0" fillId="0" borderId="57" xfId="0" applyNumberFormat="1" applyFill="1" applyBorder="1" applyAlignment="1" applyProtection="1">
      <alignment horizontal="center" vertical="center" wrapText="1"/>
    </xf>
    <xf numFmtId="0" fontId="185" fillId="34" borderId="57" xfId="0" applyFont="1" applyFill="1" applyBorder="1" applyAlignment="1">
      <alignment horizontal="left" vertical="center" wrapText="1"/>
    </xf>
    <xf numFmtId="10" fontId="39" fillId="34" borderId="57" xfId="0" applyNumberFormat="1" applyFont="1" applyFill="1" applyBorder="1" applyAlignment="1" applyProtection="1">
      <alignment horizontal="center" vertical="center" wrapText="1"/>
    </xf>
    <xf numFmtId="0" fontId="40" fillId="34" borderId="57" xfId="0" applyFont="1" applyFill="1" applyBorder="1" applyAlignment="1" applyProtection="1">
      <alignment vertical="center" wrapText="1"/>
    </xf>
    <xf numFmtId="164" fontId="44" fillId="73" borderId="0" xfId="439" applyNumberFormat="1" applyFont="1" applyFill="1" applyAlignment="1" applyProtection="1">
      <alignment wrapText="1"/>
    </xf>
    <xf numFmtId="3" fontId="0" fillId="73" borderId="0" xfId="0" applyNumberFormat="1" applyFill="1" applyAlignment="1" applyProtection="1">
      <alignment wrapText="1"/>
    </xf>
    <xf numFmtId="10" fontId="0" fillId="73" borderId="0" xfId="4688" applyNumberFormat="1" applyFont="1" applyFill="1" applyAlignment="1" applyProtection="1">
      <alignment wrapText="1"/>
    </xf>
    <xf numFmtId="1" fontId="0" fillId="36" borderId="0" xfId="0" applyNumberFormat="1" applyFill="1" applyAlignment="1">
      <alignment horizontal="center" vertical="center"/>
    </xf>
    <xf numFmtId="181" fontId="0" fillId="36" borderId="0" xfId="0" applyNumberFormat="1" applyFill="1" applyAlignment="1">
      <alignment vertical="center" wrapText="1"/>
    </xf>
    <xf numFmtId="10" fontId="44" fillId="73" borderId="0" xfId="4688" applyNumberFormat="1" applyFont="1" applyFill="1" applyAlignment="1" applyProtection="1">
      <alignment wrapText="1"/>
    </xf>
    <xf numFmtId="181" fontId="0" fillId="36" borderId="0" xfId="0" applyNumberFormat="1" applyFill="1" applyAlignment="1">
      <alignment vertical="center"/>
    </xf>
    <xf numFmtId="0" fontId="0" fillId="36" borderId="0" xfId="0" applyFill="1" applyAlignment="1">
      <alignment vertical="center"/>
    </xf>
    <xf numFmtId="1" fontId="0" fillId="0" borderId="25" xfId="0" applyNumberFormat="1" applyFont="1" applyFill="1" applyBorder="1" applyAlignment="1" applyProtection="1">
      <alignment horizontal="center" vertical="center" wrapText="1"/>
    </xf>
    <xf numFmtId="166" fontId="0" fillId="34" borderId="29"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37" fillId="34" borderId="16" xfId="0" applyFont="1" applyFill="1" applyBorder="1" applyAlignment="1" applyProtection="1">
      <alignment horizontal="justify" vertical="center" wrapText="1"/>
    </xf>
    <xf numFmtId="0" fontId="0" fillId="0" borderId="10" xfId="0" applyBorder="1" applyAlignment="1">
      <alignment horizontal="center" vertical="center"/>
    </xf>
    <xf numFmtId="0" fontId="0" fillId="86" borderId="10" xfId="0" applyFill="1" applyBorder="1" applyAlignment="1">
      <alignment vertical="center" wrapText="1"/>
    </xf>
    <xf numFmtId="0" fontId="69" fillId="86" borderId="76" xfId="0" applyFont="1" applyFill="1" applyBorder="1" applyAlignment="1">
      <alignment vertical="center" wrapText="1"/>
    </xf>
    <xf numFmtId="0" fontId="68" fillId="0" borderId="76" xfId="0" applyFont="1" applyBorder="1" applyAlignment="1">
      <alignment vertical="center" wrapText="1"/>
    </xf>
    <xf numFmtId="0" fontId="39" fillId="0" borderId="57" xfId="0" quotePrefix="1" applyFont="1" applyBorder="1" applyAlignment="1">
      <alignment horizontal="center" vertical="center"/>
    </xf>
    <xf numFmtId="0" fontId="39" fillId="34" borderId="57" xfId="0" quotePrefix="1" applyFont="1" applyFill="1" applyBorder="1" applyAlignment="1">
      <alignment horizontal="center" vertical="center"/>
    </xf>
    <xf numFmtId="0" fontId="39" fillId="0" borderId="57" xfId="0" applyFont="1" applyBorder="1" applyAlignment="1">
      <alignment horizontal="center" vertical="center"/>
    </xf>
    <xf numFmtId="14" fontId="44" fillId="0" borderId="69" xfId="0" applyNumberFormat="1" applyFont="1" applyBorder="1"/>
    <xf numFmtId="14" fontId="44" fillId="34" borderId="70" xfId="0" applyNumberFormat="1" applyFont="1" applyFill="1" applyBorder="1"/>
    <xf numFmtId="14" fontId="44" fillId="34" borderId="71" xfId="0" applyNumberFormat="1" applyFont="1" applyFill="1" applyBorder="1"/>
    <xf numFmtId="0" fontId="44" fillId="0" borderId="22" xfId="0" applyFont="1" applyBorder="1"/>
    <xf numFmtId="0" fontId="44" fillId="0" borderId="56" xfId="0" applyFont="1" applyBorder="1"/>
    <xf numFmtId="14" fontId="44" fillId="0" borderId="0" xfId="0" applyNumberFormat="1" applyFont="1"/>
    <xf numFmtId="14" fontId="44" fillId="0" borderId="56" xfId="0" applyNumberFormat="1" applyFont="1" applyBorder="1"/>
    <xf numFmtId="0" fontId="44" fillId="0" borderId="72" xfId="0" applyFont="1" applyBorder="1"/>
    <xf numFmtId="14" fontId="44" fillId="0" borderId="17" xfId="0" applyNumberFormat="1" applyFont="1" applyBorder="1"/>
    <xf numFmtId="14" fontId="44" fillId="0" borderId="73" xfId="0" applyNumberFormat="1" applyFont="1" applyBorder="1"/>
    <xf numFmtId="49" fontId="39" fillId="0" borderId="57" xfId="0" quotePrefix="1" applyNumberFormat="1" applyFont="1" applyBorder="1" applyAlignment="1">
      <alignment horizontal="center" vertical="center"/>
    </xf>
    <xf numFmtId="14" fontId="0" fillId="0" borderId="57" xfId="0" applyNumberFormat="1" applyBorder="1" applyAlignment="1">
      <alignment horizontal="center" vertical="center" wrapText="1"/>
    </xf>
    <xf numFmtId="0" fontId="0" fillId="1" borderId="57" xfId="0" applyFill="1" applyBorder="1" applyAlignment="1">
      <alignment horizontal="center" vertical="center" wrapText="1"/>
    </xf>
    <xf numFmtId="0" fontId="37" fillId="78" borderId="57" xfId="0" applyFont="1" applyFill="1" applyBorder="1" applyAlignment="1">
      <alignment horizontal="justify" vertical="center"/>
    </xf>
    <xf numFmtId="0" fontId="45" fillId="34" borderId="13" xfId="0" applyFont="1" applyFill="1" applyBorder="1" applyAlignment="1">
      <alignment horizontal="center" vertical="center" wrapText="1"/>
    </xf>
    <xf numFmtId="0" fontId="41" fillId="34" borderId="25" xfId="0" applyFont="1" applyFill="1" applyBorder="1" applyAlignment="1">
      <alignment horizontal="left" vertical="center" wrapText="1"/>
    </xf>
    <xf numFmtId="14" fontId="0" fillId="0" borderId="0" xfId="0" applyNumberFormat="1" applyAlignment="1">
      <alignment horizontal="center" vertical="center"/>
    </xf>
    <xf numFmtId="49" fontId="0" fillId="78" borderId="0" xfId="0" applyNumberFormat="1" applyFill="1" applyAlignment="1">
      <alignment horizontal="center" vertical="center" wrapText="1"/>
    </xf>
    <xf numFmtId="0" fontId="0" fillId="22" borderId="0" xfId="0" applyFill="1" applyAlignment="1">
      <alignment vertical="center"/>
    </xf>
    <xf numFmtId="0" fontId="39" fillId="78" borderId="64" xfId="0" applyFont="1" applyFill="1" applyBorder="1" applyAlignment="1">
      <alignment horizontal="center" vertical="center"/>
    </xf>
    <xf numFmtId="0" fontId="41" fillId="78" borderId="23" xfId="0" applyFont="1" applyFill="1" applyBorder="1" applyAlignment="1">
      <alignment horizontal="left" vertical="center" wrapText="1"/>
    </xf>
    <xf numFmtId="14" fontId="0" fillId="78" borderId="64" xfId="439" applyNumberFormat="1" applyFont="1" applyFill="1" applyBorder="1" applyAlignment="1" applyProtection="1">
      <alignment horizontal="center" vertical="center" wrapText="1"/>
    </xf>
    <xf numFmtId="0" fontId="0" fillId="0" borderId="0" xfId="0" applyAlignment="1">
      <alignment horizontal="center" vertical="center" wrapText="1"/>
    </xf>
    <xf numFmtId="0" fontId="39" fillId="0" borderId="57" xfId="0" quotePrefix="1" applyFont="1" applyBorder="1" applyAlignment="1">
      <alignment horizontal="center"/>
    </xf>
    <xf numFmtId="0" fontId="39" fillId="0" borderId="57" xfId="0" applyFont="1" applyBorder="1" applyAlignment="1">
      <alignment horizontal="center"/>
    </xf>
    <xf numFmtId="0" fontId="0" fillId="0" borderId="75" xfId="0" applyBorder="1"/>
    <xf numFmtId="0" fontId="0" fillId="0" borderId="57" xfId="0" applyBorder="1"/>
    <xf numFmtId="0" fontId="0" fillId="0" borderId="57" xfId="0" quotePrefix="1" applyBorder="1"/>
    <xf numFmtId="0" fontId="0" fillId="0" borderId="77" xfId="0" applyFill="1" applyBorder="1" applyAlignment="1">
      <alignment vertical="center" wrapText="1"/>
    </xf>
    <xf numFmtId="0" fontId="0" fillId="29" borderId="77" xfId="0" applyFill="1" applyBorder="1" applyAlignment="1" applyProtection="1">
      <alignment horizontal="center" vertical="center"/>
      <protection locked="0"/>
    </xf>
    <xf numFmtId="0" fontId="68" fillId="0" borderId="69" xfId="0" applyFont="1" applyFill="1" applyBorder="1" applyAlignment="1">
      <alignment vertical="center" wrapText="1"/>
    </xf>
    <xf numFmtId="0" fontId="0" fillId="34" borderId="12" xfId="0" applyFill="1" applyBorder="1" applyAlignment="1">
      <alignment vertical="center" wrapText="1"/>
    </xf>
    <xf numFmtId="0" fontId="0" fillId="29" borderId="12" xfId="0" applyFill="1" applyBorder="1" applyAlignment="1" applyProtection="1">
      <alignment horizontal="center" vertical="center"/>
      <protection locked="0"/>
    </xf>
    <xf numFmtId="0" fontId="0" fillId="78" borderId="76" xfId="0" applyFill="1" applyBorder="1" applyAlignment="1">
      <alignment vertical="center" wrapText="1"/>
    </xf>
    <xf numFmtId="0" fontId="68" fillId="78" borderId="21" xfId="0" applyFont="1" applyFill="1" applyBorder="1" applyAlignment="1">
      <alignment vertical="center" wrapText="1"/>
    </xf>
    <xf numFmtId="0" fontId="0" fillId="78" borderId="14" xfId="0" applyFill="1" applyBorder="1"/>
    <xf numFmtId="0" fontId="0" fillId="0" borderId="10" xfId="0" applyFill="1" applyBorder="1" applyAlignment="1" applyProtection="1">
      <alignment vertical="center"/>
      <protection locked="0"/>
    </xf>
    <xf numFmtId="0" fontId="0" fillId="0" borderId="10" xfId="0" applyFill="1" applyBorder="1" applyProtection="1">
      <protection locked="0"/>
    </xf>
    <xf numFmtId="0" fontId="0" fillId="0" borderId="10" xfId="0" applyBorder="1" applyProtection="1">
      <protection locked="0"/>
    </xf>
    <xf numFmtId="0" fontId="0" fillId="78" borderId="68" xfId="0" applyFill="1" applyBorder="1" applyAlignment="1" applyProtection="1">
      <alignment horizontal="left" vertical="center" wrapText="1"/>
      <protection locked="0"/>
    </xf>
    <xf numFmtId="0" fontId="45" fillId="78" borderId="57" xfId="0" quotePrefix="1" applyFont="1" applyFill="1" applyBorder="1" applyAlignment="1" applyProtection="1">
      <alignment horizontal="left" vertical="center" wrapText="1"/>
      <protection locked="0"/>
    </xf>
    <xf numFmtId="0" fontId="57" fillId="78" borderId="57" xfId="0" applyFont="1" applyFill="1" applyBorder="1" applyAlignment="1" applyProtection="1">
      <alignment horizontal="left" vertical="center" wrapText="1"/>
      <protection locked="0"/>
    </xf>
    <xf numFmtId="0" fontId="0" fillId="0" borderId="86" xfId="0" applyBorder="1" applyProtection="1">
      <protection locked="0"/>
    </xf>
    <xf numFmtId="0" fontId="57" fillId="78" borderId="57" xfId="0" applyFont="1" applyFill="1" applyBorder="1" applyAlignment="1" applyProtection="1">
      <alignment horizontal="left" wrapText="1"/>
      <protection locked="0"/>
    </xf>
    <xf numFmtId="0" fontId="0" fillId="78" borderId="57" xfId="0" applyFill="1" applyBorder="1" applyAlignment="1" applyProtection="1">
      <alignment horizontal="left" vertical="center" wrapText="1"/>
      <protection locked="0"/>
    </xf>
    <xf numFmtId="0" fontId="39" fillId="78" borderId="67" xfId="0" applyFont="1" applyFill="1" applyBorder="1" applyAlignment="1" applyProtection="1">
      <alignment horizontal="left"/>
      <protection locked="0"/>
    </xf>
    <xf numFmtId="0" fontId="0" fillId="78" borderId="87" xfId="0" applyFill="1" applyBorder="1" applyAlignment="1" applyProtection="1">
      <alignment horizontal="left"/>
      <protection locked="0"/>
    </xf>
    <xf numFmtId="0" fontId="69" fillId="20" borderId="0" xfId="0" applyFont="1" applyFill="1" applyAlignment="1" applyProtection="1">
      <alignment vertical="center" wrapText="1"/>
    </xf>
    <xf numFmtId="38" fontId="68" fillId="20" borderId="0" xfId="0" applyNumberFormat="1" applyFont="1" applyFill="1" applyAlignment="1" applyProtection="1">
      <alignment vertical="center" wrapText="1"/>
    </xf>
    <xf numFmtId="0" fontId="68" fillId="20" borderId="0" xfId="0" applyFont="1" applyFill="1" applyAlignment="1" applyProtection="1">
      <alignment vertical="center" wrapText="1"/>
    </xf>
    <xf numFmtId="0" fontId="0" fillId="0" borderId="0" xfId="0" applyProtection="1">
      <protection locked="0"/>
    </xf>
    <xf numFmtId="168" fontId="0" fillId="0" borderId="0" xfId="0" applyNumberFormat="1" applyFont="1" applyFill="1" applyAlignment="1" applyProtection="1">
      <alignment wrapText="1"/>
      <protection locked="0"/>
    </xf>
    <xf numFmtId="168" fontId="0" fillId="0" borderId="0" xfId="0" applyNumberFormat="1" applyFont="1" applyProtection="1">
      <protection locked="0"/>
    </xf>
    <xf numFmtId="0" fontId="0" fillId="0" borderId="0" xfId="0" applyNumberFormat="1" applyFont="1" applyFill="1" applyAlignment="1" applyProtection="1">
      <alignment horizontal="center" vertical="center"/>
      <protection locked="0"/>
    </xf>
    <xf numFmtId="37" fontId="0" fillId="0" borderId="0" xfId="0" applyNumberFormat="1" applyFont="1" applyFill="1" applyAlignment="1" applyProtection="1">
      <alignment horizontal="center" vertical="center"/>
      <protection locked="0"/>
    </xf>
    <xf numFmtId="14" fontId="0" fillId="0" borderId="0" xfId="0" applyNumberFormat="1" applyFont="1" applyProtection="1">
      <protection locked="0"/>
    </xf>
    <xf numFmtId="14" fontId="0" fillId="0" borderId="0" xfId="0" applyNumberFormat="1" applyFont="1" applyFill="1" applyAlignment="1" applyProtection="1">
      <alignment horizontal="center" vertical="center"/>
      <protection locked="0"/>
    </xf>
    <xf numFmtId="0" fontId="39" fillId="85" borderId="0" xfId="0" applyFont="1" applyFill="1" applyAlignment="1" applyProtection="1">
      <alignment horizontal="center" vertical="center" wrapText="1"/>
    </xf>
    <xf numFmtId="171" fontId="0" fillId="0" borderId="0" xfId="0" applyNumberFormat="1" applyFont="1" applyFill="1" applyAlignment="1" applyProtection="1">
      <alignment vertical="center" wrapText="1"/>
    </xf>
    <xf numFmtId="49" fontId="0" fillId="31" borderId="13" xfId="0" applyNumberFormat="1" applyFont="1" applyFill="1" applyBorder="1" applyAlignment="1" applyProtection="1">
      <alignment horizontal="left"/>
      <protection locked="0"/>
    </xf>
    <xf numFmtId="14" fontId="0" fillId="31" borderId="13" xfId="0" applyNumberFormat="1" applyFont="1" applyFill="1" applyBorder="1" applyAlignment="1" applyProtection="1">
      <alignment horizontal="left"/>
      <protection locked="0"/>
    </xf>
    <xf numFmtId="184" fontId="0" fillId="31" borderId="13" xfId="0" applyNumberFormat="1" applyFont="1" applyFill="1" applyBorder="1" applyAlignment="1" applyProtection="1">
      <alignment horizontal="left"/>
      <protection locked="0"/>
    </xf>
    <xf numFmtId="49" fontId="35" fillId="31" borderId="13" xfId="611" applyNumberFormat="1" applyFill="1" applyBorder="1" applyAlignment="1" applyProtection="1">
      <alignment horizontal="left"/>
      <protection locked="0"/>
    </xf>
    <xf numFmtId="0" fontId="68" fillId="0" borderId="12" xfId="0" applyFont="1" applyFill="1" applyBorder="1" applyAlignment="1">
      <alignment vertical="center" wrapText="1"/>
    </xf>
    <xf numFmtId="0" fontId="39" fillId="78" borderId="0" xfId="0" applyFont="1" applyFill="1" applyAlignment="1">
      <alignment horizontal="left" vertical="center"/>
    </xf>
    <xf numFmtId="10" fontId="44" fillId="73" borderId="0" xfId="0" applyNumberFormat="1" applyFont="1" applyFill="1" applyAlignment="1" applyProtection="1">
      <alignment horizontal="center"/>
    </xf>
    <xf numFmtId="10" fontId="0" fillId="24" borderId="0" xfId="4688" applyNumberFormat="1" applyFont="1" applyFill="1" applyProtection="1"/>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196" fillId="34" borderId="13" xfId="0" applyFont="1" applyFill="1" applyBorder="1" applyAlignment="1">
      <alignment horizontal="center" vertical="center" wrapText="1"/>
    </xf>
    <xf numFmtId="0" fontId="196" fillId="34" borderId="16" xfId="0" applyFont="1" applyFill="1" applyBorder="1" applyAlignment="1">
      <alignment horizontal="center" vertical="center" wrapText="1"/>
    </xf>
    <xf numFmtId="0" fontId="196" fillId="34" borderId="11" xfId="0" applyFont="1" applyFill="1" applyBorder="1" applyAlignment="1">
      <alignment horizontal="center" vertical="center" wrapText="1"/>
    </xf>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69" fillId="34" borderId="67" xfId="0" applyFont="1" applyFill="1" applyBorder="1" applyAlignment="1">
      <alignment horizontal="center" wrapText="1"/>
    </xf>
    <xf numFmtId="0" fontId="69" fillId="34" borderId="107" xfId="0" applyFont="1" applyFill="1" applyBorder="1" applyAlignment="1">
      <alignment horizontal="center"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40" fillId="26" borderId="11" xfId="0" applyFont="1" applyFill="1" applyBorder="1" applyAlignment="1">
      <alignment horizontal="center" vertical="top" wrapText="1"/>
    </xf>
    <xf numFmtId="0" fontId="180" fillId="85" borderId="13" xfId="0" applyFont="1" applyFill="1" applyBorder="1" applyAlignment="1">
      <alignment horizontal="center" vertical="center"/>
    </xf>
    <xf numFmtId="0" fontId="180" fillId="85" borderId="16" xfId="0" applyFont="1" applyFill="1" applyBorder="1" applyAlignment="1">
      <alignment horizontal="center" vertical="center"/>
    </xf>
    <xf numFmtId="0" fontId="180" fillId="85" borderId="11" xfId="0" applyFont="1" applyFill="1" applyBorder="1" applyAlignment="1">
      <alignment horizontal="center" vertical="center"/>
    </xf>
    <xf numFmtId="0" fontId="51" fillId="26" borderId="13" xfId="0" applyFont="1" applyFill="1" applyBorder="1" applyAlignment="1">
      <alignment horizontal="center" vertical="center"/>
    </xf>
    <xf numFmtId="0" fontId="51" fillId="26" borderId="16" xfId="0" applyFont="1" applyFill="1" applyBorder="1" applyAlignment="1">
      <alignment horizontal="center" vertical="center"/>
    </xf>
    <xf numFmtId="0" fontId="51" fillId="26" borderId="11" xfId="0" applyFont="1" applyFill="1" applyBorder="1" applyAlignment="1">
      <alignment horizontal="center" vertical="center"/>
    </xf>
    <xf numFmtId="0" fontId="196" fillId="34" borderId="13" xfId="0" applyFont="1" applyFill="1" applyBorder="1" applyAlignment="1">
      <alignment horizontal="center" wrapText="1"/>
    </xf>
    <xf numFmtId="0" fontId="196" fillId="34" borderId="16" xfId="0" applyFont="1" applyFill="1" applyBorder="1" applyAlignment="1">
      <alignment horizontal="center" wrapText="1"/>
    </xf>
    <xf numFmtId="0" fontId="196" fillId="34" borderId="11" xfId="0" applyFont="1" applyFill="1" applyBorder="1" applyAlignment="1">
      <alignment horizontal="center" wrapText="1"/>
    </xf>
    <xf numFmtId="0" fontId="57" fillId="34" borderId="16" xfId="0" applyFont="1" applyFill="1" applyBorder="1" applyAlignment="1" applyProtection="1">
      <alignment horizontal="justify" vertical="center" wrapText="1"/>
    </xf>
    <xf numFmtId="0" fontId="57" fillId="34" borderId="11" xfId="0" applyFont="1" applyFill="1" applyBorder="1" applyAlignment="1" applyProtection="1">
      <alignment horizontal="justify" vertical="center" wrapText="1"/>
    </xf>
    <xf numFmtId="0" fontId="39" fillId="0" borderId="13" xfId="0" applyFont="1" applyBorder="1" applyAlignment="1" applyProtection="1">
      <alignment horizontal="left" wrapText="1"/>
    </xf>
    <xf numFmtId="0" fontId="39" fillId="0" borderId="16" xfId="0" applyFont="1" applyBorder="1" applyAlignment="1" applyProtection="1">
      <alignment horizontal="left" wrapText="1"/>
    </xf>
    <xf numFmtId="0" fontId="39" fillId="0" borderId="11" xfId="0" applyFont="1" applyBorder="1" applyAlignment="1" applyProtection="1">
      <alignment horizontal="left" wrapText="1"/>
    </xf>
    <xf numFmtId="0" fontId="39" fillId="0" borderId="13" xfId="0" applyFont="1" applyBorder="1" applyAlignment="1" applyProtection="1">
      <alignment horizontal="left" vertical="center" wrapText="1"/>
    </xf>
    <xf numFmtId="0" fontId="39" fillId="0" borderId="16" xfId="0" applyFont="1" applyBorder="1" applyAlignment="1" applyProtection="1">
      <alignment horizontal="left" vertical="center" wrapText="1"/>
    </xf>
    <xf numFmtId="0" fontId="39" fillId="0" borderId="11" xfId="0" applyFont="1" applyBorder="1" applyAlignment="1" applyProtection="1">
      <alignment horizontal="left" vertical="center" wrapText="1"/>
    </xf>
    <xf numFmtId="0" fontId="57" fillId="78" borderId="11" xfId="0" applyFont="1" applyFill="1" applyBorder="1" applyAlignment="1" applyProtection="1">
      <alignment horizontal="left" vertical="center" wrapText="1"/>
    </xf>
    <xf numFmtId="0" fontId="57" fillId="78" borderId="57" xfId="0" applyFont="1" applyFill="1" applyBorder="1" applyAlignment="1" applyProtection="1">
      <alignment horizontal="left" vertical="center" wrapText="1"/>
    </xf>
    <xf numFmtId="0" fontId="39" fillId="78" borderId="16" xfId="0" applyFont="1" applyFill="1" applyBorder="1" applyAlignment="1" applyProtection="1">
      <alignment horizontal="center" wrapText="1"/>
    </xf>
    <xf numFmtId="0" fontId="39" fillId="78" borderId="11" xfId="0" applyFont="1" applyFill="1" applyBorder="1" applyAlignment="1" applyProtection="1">
      <alignment horizontal="center" wrapText="1"/>
    </xf>
    <xf numFmtId="0" fontId="57"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justify" vertical="center" wrapText="1"/>
    </xf>
    <xf numFmtId="0" fontId="0" fillId="78" borderId="16" xfId="0" applyFill="1" applyBorder="1" applyAlignment="1" applyProtection="1">
      <alignment horizontal="center"/>
    </xf>
    <xf numFmtId="0" fontId="0" fillId="78" borderId="11" xfId="0" applyFill="1" applyBorder="1" applyAlignment="1" applyProtection="1">
      <alignment horizontal="center"/>
    </xf>
    <xf numFmtId="0" fontId="57" fillId="34" borderId="13" xfId="0" applyFont="1" applyFill="1" applyBorder="1" applyAlignment="1" applyProtection="1">
      <alignment horizontal="left" vertical="center" wrapText="1"/>
    </xf>
    <xf numFmtId="0" fontId="57" fillId="34" borderId="16" xfId="0" applyFont="1" applyFill="1" applyBorder="1" applyAlignment="1" applyProtection="1">
      <alignment horizontal="left" vertical="center" wrapText="1"/>
    </xf>
    <xf numFmtId="0" fontId="57" fillId="34" borderId="11" xfId="0" applyFont="1" applyFill="1" applyBorder="1" applyAlignment="1" applyProtection="1">
      <alignment horizontal="left" vertical="center" wrapText="1"/>
    </xf>
    <xf numFmtId="0" fontId="57" fillId="78" borderId="16" xfId="0" applyFont="1" applyFill="1" applyBorder="1" applyAlignment="1" applyProtection="1">
      <alignment horizontal="left" wrapText="1"/>
    </xf>
    <xf numFmtId="0" fontId="57" fillId="78" borderId="90" xfId="0" applyFont="1" applyFill="1" applyBorder="1" applyAlignment="1" applyProtection="1">
      <alignment horizontal="left" wrapText="1"/>
    </xf>
    <xf numFmtId="0" fontId="39" fillId="78" borderId="16" xfId="0" applyFont="1" applyFill="1" applyBorder="1" applyAlignment="1" applyProtection="1">
      <alignment horizontal="justify" vertical="center" wrapText="1"/>
    </xf>
    <xf numFmtId="0" fontId="39" fillId="78" borderId="11" xfId="0" applyFont="1" applyFill="1" applyBorder="1" applyAlignment="1" applyProtection="1">
      <alignment horizontal="justify" vertical="center" wrapText="1"/>
    </xf>
    <xf numFmtId="0" fontId="57" fillId="0" borderId="38" xfId="0" applyFont="1" applyBorder="1" applyAlignment="1" applyProtection="1">
      <alignment horizontal="center" wrapText="1"/>
    </xf>
    <xf numFmtId="0" fontId="57" fillId="0" borderId="39" xfId="0" applyFont="1" applyBorder="1" applyAlignment="1" applyProtection="1">
      <alignment horizontal="center" wrapText="1"/>
    </xf>
    <xf numFmtId="0" fontId="57" fillId="0" borderId="0" xfId="0" applyFont="1" applyAlignment="1" applyProtection="1">
      <alignment horizontal="center" wrapText="1"/>
    </xf>
    <xf numFmtId="0" fontId="57" fillId="0" borderId="60" xfId="0" applyFont="1" applyBorder="1" applyAlignment="1" applyProtection="1">
      <alignment horizontal="center" wrapText="1"/>
    </xf>
    <xf numFmtId="0" fontId="57" fillId="34" borderId="57" xfId="0" applyFont="1" applyFill="1" applyBorder="1" applyAlignment="1" applyProtection="1">
      <alignment horizontal="left" vertical="center" wrapText="1"/>
    </xf>
    <xf numFmtId="0" fontId="57" fillId="78" borderId="11" xfId="0" applyFont="1" applyFill="1" applyBorder="1" applyAlignment="1" applyProtection="1">
      <alignment horizontal="left" wrapText="1"/>
    </xf>
    <xf numFmtId="0" fontId="57" fillId="78" borderId="57" xfId="0" applyFont="1" applyFill="1" applyBorder="1" applyAlignment="1" applyProtection="1">
      <alignment horizontal="left" wrapText="1"/>
    </xf>
    <xf numFmtId="0" fontId="161" fillId="0" borderId="40" xfId="0" applyFont="1" applyBorder="1" applyAlignment="1" applyProtection="1">
      <alignment horizontal="center" vertical="center"/>
    </xf>
    <xf numFmtId="0" fontId="161" fillId="0" borderId="41" xfId="0" applyFont="1" applyBorder="1" applyAlignment="1" applyProtection="1">
      <alignment horizontal="center" vertical="center"/>
    </xf>
    <xf numFmtId="0" fontId="161" fillId="0" borderId="16" xfId="0" applyFont="1" applyBorder="1" applyAlignment="1" applyProtection="1">
      <alignment horizontal="center" vertical="center"/>
    </xf>
    <xf numFmtId="0" fontId="161" fillId="0" borderId="11" xfId="0" applyFont="1" applyBorder="1" applyAlignment="1" applyProtection="1">
      <alignment horizontal="center" vertical="center"/>
    </xf>
    <xf numFmtId="0" fontId="57" fillId="34" borderId="13" xfId="0" applyFont="1" applyFill="1" applyBorder="1" applyAlignment="1" applyProtection="1">
      <alignment horizontal="justify" vertical="center" wrapText="1"/>
    </xf>
    <xf numFmtId="0" fontId="48" fillId="0" borderId="95" xfId="0" applyFont="1" applyBorder="1" applyAlignment="1" applyProtection="1">
      <alignment horizontal="center" vertical="center" wrapText="1"/>
    </xf>
    <xf numFmtId="0" fontId="48" fillId="0" borderId="96" xfId="0" applyFont="1" applyBorder="1" applyAlignment="1" applyProtection="1">
      <alignment horizontal="center" vertical="center" wrapText="1"/>
    </xf>
    <xf numFmtId="0" fontId="48" fillId="0" borderId="92" xfId="0" applyFont="1" applyBorder="1" applyAlignment="1" applyProtection="1">
      <alignment horizontal="center" vertical="center" wrapText="1"/>
    </xf>
    <xf numFmtId="0" fontId="39" fillId="0" borderId="15" xfId="0" applyFont="1" applyBorder="1" applyAlignment="1" applyProtection="1">
      <alignment horizontal="center" vertical="center"/>
    </xf>
    <xf numFmtId="0" fontId="39" fillId="0" borderId="60" xfId="0" applyFont="1" applyBorder="1" applyAlignment="1" applyProtection="1">
      <alignment horizontal="center" vertical="center"/>
    </xf>
    <xf numFmtId="0" fontId="39" fillId="0" borderId="40" xfId="0" applyFont="1" applyBorder="1" applyAlignment="1" applyProtection="1">
      <alignment horizontal="center" vertical="center"/>
    </xf>
    <xf numFmtId="0" fontId="39" fillId="0" borderId="42" xfId="0" applyFont="1" applyBorder="1" applyAlignment="1" applyProtection="1">
      <alignment horizontal="center" vertical="center"/>
    </xf>
    <xf numFmtId="0" fontId="39" fillId="0" borderId="87" xfId="0" applyFont="1" applyBorder="1" applyAlignment="1" applyProtection="1">
      <alignment horizontal="center" wrapText="1"/>
    </xf>
    <xf numFmtId="0" fontId="39" fillId="0" borderId="68" xfId="0" applyFont="1" applyBorder="1" applyAlignment="1" applyProtection="1">
      <alignment horizontal="center"/>
    </xf>
    <xf numFmtId="0" fontId="48" fillId="0" borderId="97" xfId="0" applyFont="1" applyBorder="1" applyAlignment="1" applyProtection="1">
      <alignment horizontal="center" vertical="center"/>
    </xf>
    <xf numFmtId="0" fontId="48" fillId="0" borderId="98" xfId="0" applyFont="1" applyBorder="1" applyAlignment="1" applyProtection="1">
      <alignment horizontal="center" vertical="center"/>
    </xf>
    <xf numFmtId="0" fontId="48" fillId="0" borderId="99" xfId="0" applyFont="1" applyBorder="1" applyAlignment="1" applyProtection="1">
      <alignment horizontal="center" vertical="center"/>
    </xf>
    <xf numFmtId="0" fontId="130" fillId="73" borderId="67" xfId="0" applyFont="1" applyFill="1" applyBorder="1" applyAlignment="1" applyProtection="1">
      <alignment horizontal="center" vertical="center" wrapText="1"/>
    </xf>
    <xf numFmtId="0" fontId="130" fillId="73" borderId="87" xfId="0" applyFont="1" applyFill="1" applyBorder="1" applyAlignment="1" applyProtection="1">
      <alignment horizontal="center" vertical="center" wrapText="1"/>
    </xf>
    <xf numFmtId="0" fontId="130" fillId="73" borderId="68" xfId="0" applyFont="1" applyFill="1" applyBorder="1" applyAlignment="1" applyProtection="1">
      <alignment horizontal="center" vertical="center" wrapText="1"/>
    </xf>
    <xf numFmtId="0" fontId="57" fillId="78" borderId="67" xfId="0" applyFont="1" applyFill="1" applyBorder="1" applyAlignment="1" applyProtection="1">
      <alignment horizontal="center" vertical="center" wrapText="1"/>
    </xf>
    <xf numFmtId="0" fontId="57" fillId="78" borderId="87" xfId="0" applyFont="1" applyFill="1" applyBorder="1" applyAlignment="1" applyProtection="1">
      <alignment horizontal="center" vertical="center" wrapText="1"/>
    </xf>
    <xf numFmtId="0" fontId="57" fillId="78" borderId="68" xfId="0" applyFont="1" applyFill="1" applyBorder="1" applyAlignment="1" applyProtection="1">
      <alignment horizontal="center" vertical="center" wrapText="1"/>
    </xf>
    <xf numFmtId="0" fontId="40" fillId="0" borderId="38" xfId="682" applyFont="1" applyBorder="1" applyAlignment="1" applyProtection="1">
      <alignment horizontal="justify" vertical="justify" wrapText="1"/>
    </xf>
    <xf numFmtId="0" fontId="40" fillId="0" borderId="39" xfId="682" applyFont="1" applyBorder="1" applyAlignment="1" applyProtection="1">
      <alignment horizontal="justify" vertical="justify" wrapText="1"/>
    </xf>
    <xf numFmtId="0" fontId="40" fillId="0" borderId="41" xfId="682" applyFont="1" applyBorder="1" applyAlignment="1" applyProtection="1">
      <alignment horizontal="justify" vertical="justify" wrapText="1"/>
    </xf>
    <xf numFmtId="0" fontId="40" fillId="0" borderId="42" xfId="682" applyFont="1" applyBorder="1" applyAlignment="1" applyProtection="1">
      <alignment horizontal="justify" vertical="justify" wrapText="1"/>
    </xf>
    <xf numFmtId="0" fontId="0" fillId="0" borderId="67" xfId="0" applyBorder="1" applyAlignment="1" applyProtection="1">
      <alignment horizontal="left" vertical="center" wrapText="1"/>
      <protection locked="0"/>
    </xf>
    <xf numFmtId="0" fontId="0" fillId="0" borderId="68" xfId="0" applyBorder="1" applyAlignment="1" applyProtection="1">
      <alignment horizontal="left" vertical="center" wrapText="1"/>
      <protection locked="0"/>
    </xf>
    <xf numFmtId="0" fontId="39" fillId="78" borderId="57" xfId="0" applyFont="1" applyFill="1" applyBorder="1" applyAlignment="1" applyProtection="1">
      <alignment horizontal="justify" vertical="center" wrapText="1"/>
    </xf>
    <xf numFmtId="0" fontId="39" fillId="0" borderId="16" xfId="0" applyFont="1" applyBorder="1" applyAlignment="1" applyProtection="1">
      <alignment horizontal="center" wrapText="1"/>
    </xf>
    <xf numFmtId="0" fontId="39" fillId="0" borderId="11" xfId="0" applyFont="1" applyBorder="1" applyAlignment="1" applyProtection="1">
      <alignment horizontal="center" wrapText="1"/>
    </xf>
    <xf numFmtId="0" fontId="37" fillId="78" borderId="67" xfId="0" applyFont="1" applyFill="1" applyBorder="1" applyAlignment="1" applyProtection="1">
      <alignment horizontal="justify" vertical="center" wrapText="1"/>
    </xf>
    <xf numFmtId="0" fontId="37" fillId="78" borderId="68" xfId="0" applyFont="1" applyFill="1" applyBorder="1" applyAlignment="1" applyProtection="1">
      <alignment horizontal="justify" vertical="center" wrapText="1"/>
    </xf>
    <xf numFmtId="0" fontId="57" fillId="34" borderId="11" xfId="0" applyFont="1" applyFill="1" applyBorder="1" applyAlignment="1">
      <alignment horizontal="justify" vertical="center" wrapText="1"/>
    </xf>
    <xf numFmtId="0" fontId="57" fillId="34" borderId="57" xfId="0" applyFont="1" applyFill="1" applyBorder="1" applyAlignment="1">
      <alignment horizontal="justify" vertical="center"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pplyProtection="1">
      <alignment horizontal="left" vertical="top" wrapText="1"/>
      <protection locked="0"/>
    </xf>
    <xf numFmtId="0" fontId="44" fillId="0" borderId="38" xfId="26000" applyFont="1" applyBorder="1" applyAlignment="1" applyProtection="1">
      <alignment horizontal="left" vertical="top" wrapText="1"/>
      <protection locked="0"/>
    </xf>
    <xf numFmtId="0" fontId="44" fillId="0" borderId="39" xfId="26000" applyFont="1" applyBorder="1" applyAlignment="1" applyProtection="1">
      <alignment horizontal="left" vertical="top" wrapText="1"/>
      <protection locked="0"/>
    </xf>
    <xf numFmtId="0" fontId="44" fillId="0" borderId="15" xfId="26000" applyFont="1" applyBorder="1" applyAlignment="1" applyProtection="1">
      <alignment horizontal="left" vertical="top" wrapText="1"/>
      <protection locked="0"/>
    </xf>
    <xf numFmtId="0" fontId="44" fillId="0" borderId="0" xfId="26000" applyFont="1" applyAlignment="1" applyProtection="1">
      <alignment horizontal="left" vertical="top" wrapText="1"/>
      <protection locked="0"/>
    </xf>
    <xf numFmtId="0" fontId="44" fillId="0" borderId="60" xfId="26000" applyFont="1" applyBorder="1" applyAlignment="1" applyProtection="1">
      <alignment horizontal="left" vertical="top" wrapText="1"/>
      <protection locked="0"/>
    </xf>
    <xf numFmtId="0" fontId="44" fillId="0" borderId="40" xfId="26000" applyFont="1" applyBorder="1" applyAlignment="1" applyProtection="1">
      <alignment horizontal="left" vertical="top" wrapText="1"/>
      <protection locked="0"/>
    </xf>
    <xf numFmtId="0" fontId="44" fillId="0" borderId="41" xfId="26000" applyFont="1" applyBorder="1" applyAlignment="1" applyProtection="1">
      <alignment horizontal="left" vertical="top" wrapText="1"/>
      <protection locked="0"/>
    </xf>
    <xf numFmtId="0" fontId="44" fillId="0" borderId="42" xfId="26000" applyFont="1" applyBorder="1" applyAlignment="1" applyProtection="1">
      <alignment horizontal="left" vertical="top" wrapText="1"/>
      <protection locked="0"/>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2026">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18 2" xfId="32023" xr:uid="{AA8B7EEC-41A8-47AC-B764-E6867CEAAA1F}"/>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1 2" xfId="32024" xr:uid="{6BE0BF21-9BDE-45C1-AC91-84D8CFBDE3FE}"/>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5 5" xfId="32004" xr:uid="{8377B691-2AFC-443B-8FCA-8EB296436BAE}"/>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7 8" xfId="31987" xr:uid="{B489DFF5-F3EE-4CCC-A360-9EC5DC833894}"/>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2 2" xfId="32021" xr:uid="{765B09F7-C3B9-41DD-9C24-5666249D136A}"/>
    <cellStyle name="Normal 23 3" xfId="31722" xr:uid="{23061F0C-4409-4E5F-A960-26EABC21E703}"/>
    <cellStyle name="Normal 23 4" xfId="32017" xr:uid="{468AB7C1-4BEE-44C9-8B86-5065562C55FA}"/>
    <cellStyle name="Normal 24" xfId="31724" xr:uid="{4AD80940-F9FE-4312-92C2-BB9034C34D3B}"/>
    <cellStyle name="Normal 24 2" xfId="32022" xr:uid="{89DE89C1-34EC-490A-8341-093FB1E461B4}"/>
    <cellStyle name="Normal 25" xfId="30098" xr:uid="{07506169-A6FD-44A0-8C52-1A1EF451F172}"/>
    <cellStyle name="Normal 26" xfId="30103" xr:uid="{7027CCDA-B9FD-43DE-A40A-182DF76F28F4}"/>
    <cellStyle name="Normal 27" xfId="31723" xr:uid="{4196B5BA-5EA7-4D8D-9D66-857889BD5159}"/>
    <cellStyle name="Normal 28" xfId="32025" xr:uid="{F9D2FC86-2EC0-4BC4-9CA1-1693550E0CE1}"/>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4 3 5" xfId="31870" xr:uid="{C61C880B-D90D-409E-986D-7EFE86A94CD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3 3 5" xfId="31871" xr:uid="{36337922-F1B8-43FE-89D9-33A4E0A700EA}"/>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5 5" xfId="31809" xr:uid="{7A8BF9CE-A0AF-4AF4-91F4-02CA6D3FC1D7}"/>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6 5" xfId="31931" xr:uid="{9B487A6D-6B05-4F07-839D-A99EB2D5F8AC}"/>
    <cellStyle name="Normal 3 2 3 3 2 3 7" xfId="30118" xr:uid="{3A8EA0EB-6553-4DE0-BA6D-E554B6EEBC52}"/>
    <cellStyle name="Normal 3 2 3 3 2 3 7 2" xfId="30479" xr:uid="{12261BA5-6EBE-49C8-858C-4433B97E2B8F}"/>
    <cellStyle name="Normal 3 2 3 3 2 3 8" xfId="31752" xr:uid="{69E5398B-AE39-4ABD-B746-7A6A37786D71}"/>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3 5" xfId="32005" xr:uid="{AF9F9127-55D5-4F95-9D50-B99CB789E817}"/>
    <cellStyle name="Normal 3 2 3 3 2 4 3 4" xfId="30354" xr:uid="{93657840-58F4-4379-9A8A-0046F497FB51}"/>
    <cellStyle name="Normal 3 2 3 3 2 4 3 4 2" xfId="31696" xr:uid="{A40DE0E8-AD45-4E9B-94C0-51490D3093FE}"/>
    <cellStyle name="Normal 3 2 3 3 2 4 3 5" xfId="31988" xr:uid="{15D7EF1A-FCD0-454A-B1AA-E84DD50EE774}"/>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5 5" xfId="31808" xr:uid="{178690E6-34A2-4393-B592-31E0DF3C1227}"/>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6 5" xfId="31930" xr:uid="{B73035D1-2067-401B-A00F-AFA787D13CFA}"/>
    <cellStyle name="Normal 3 2 3 3 2 7" xfId="30117" xr:uid="{019B4B8F-7996-40B8-8487-A11E7446390C}"/>
    <cellStyle name="Normal 3 2 3 3 2 7 2" xfId="30478" xr:uid="{A9A1F17C-F870-4AC2-99F8-4C92612CB29A}"/>
    <cellStyle name="Normal 3 2 3 3 2 8" xfId="31751" xr:uid="{225D7D5A-C0D2-4CCD-9EFC-161282D45CC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3 5" xfId="31872" xr:uid="{16662624-3757-45D7-917F-C0AB933E36AC}"/>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4 5" xfId="31811" xr:uid="{6DDB7F6F-104A-41B1-A645-952E20BC8075}"/>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5 5" xfId="31810" xr:uid="{0135E4C7-4A36-4A8B-A0C0-D404DF1C677A}"/>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6 5" xfId="31932" xr:uid="{7DD74C05-B182-49F2-B496-B67D994D90D1}"/>
    <cellStyle name="Normal 3 2 3 3 4 7" xfId="30119" xr:uid="{21708935-4338-4B04-A5B4-2B12A5C766F5}"/>
    <cellStyle name="Normal 3 2 3 3 4 7 2" xfId="30480" xr:uid="{F378E57F-2EEC-4F55-AB97-A5FA15FB5A75}"/>
    <cellStyle name="Normal 3 2 3 3 4 8" xfId="31753" xr:uid="{B6B99ECF-27B7-4452-8592-01D11A877DA9}"/>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3 6" xfId="31873" xr:uid="{285638F6-359F-43E0-B0FA-229C700DA1DE}"/>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3 3 5" xfId="31874" xr:uid="{383A3E76-D426-4C8C-924F-5A95A0836014}"/>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5 5" xfId="31813" xr:uid="{C0EC41AE-F027-4EAC-B2AF-195D477BE1A7}"/>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6 5" xfId="31934" xr:uid="{E03EEF01-1839-44E6-AD63-1C456D0962DD}"/>
    <cellStyle name="Normal 3 2 3 4 3 7" xfId="30121" xr:uid="{B13A17FC-0920-42D9-BFD0-704A408A0A4C}"/>
    <cellStyle name="Normal 3 2 3 4 3 7 2" xfId="30482" xr:uid="{10C38449-8AAA-4472-A41E-21A90DBA3EF1}"/>
    <cellStyle name="Normal 3 2 3 4 3 8" xfId="31755" xr:uid="{9272ABCD-863B-4473-80D4-56123FB3553F}"/>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4 3 5" xfId="31875" xr:uid="{D1969DFF-FD25-47BB-8FE0-91FB97DD3A5E}"/>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5 5" xfId="31812" xr:uid="{5460A817-A72C-4666-9CEA-0FD1254CA438}"/>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6 5" xfId="31933" xr:uid="{DA36F331-6C62-4D5F-BA3C-170EE4CAD920}"/>
    <cellStyle name="Normal 3 2 3 4 7" xfId="30120" xr:uid="{2902EA16-525C-4490-96D7-08F0557F0425}"/>
    <cellStyle name="Normal 3 2 3 4 7 2" xfId="30481" xr:uid="{DF6E23B2-6945-41B0-8306-2F702DBA91A9}"/>
    <cellStyle name="Normal 3 2 3 4 8" xfId="31754" xr:uid="{B4D2B4EA-080E-4556-BD60-5C1D2BE5D3E3}"/>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5 5" xfId="31800" xr:uid="{4C93E45A-7811-489F-9771-78A6D448C1C8}"/>
    <cellStyle name="Normal 3 2 3 6" xfId="30112" xr:uid="{2DA27080-57C7-488E-9E66-228C66F3BB6F}"/>
    <cellStyle name="Normal 3 2 3 6 2" xfId="30471" xr:uid="{CBE48B84-9220-4165-B20B-487010328F48}"/>
    <cellStyle name="Normal 3 2 3 7" xfId="31744" xr:uid="{0824D4CF-5757-4ADE-8178-DAAE89865E41}"/>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3 3 5" xfId="31876" xr:uid="{4CC266E9-1346-48DA-90DE-94B12A5F54AD}"/>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5 5" xfId="31815" xr:uid="{EE17CC6F-D84C-454B-B3FF-8CA0A03963CA}"/>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6 5" xfId="31936" xr:uid="{32A90817-92D4-4099-B7D3-7EACDE6715B3}"/>
    <cellStyle name="Normal 3 2 4 3 7" xfId="30123" xr:uid="{2FC8C8CB-77C8-4CE3-9500-8BBF0E8D3D67}"/>
    <cellStyle name="Normal 3 2 4 3 7 2" xfId="30485" xr:uid="{FF9CD143-3DC5-4E78-9669-CDD5E69991DD}"/>
    <cellStyle name="Normal 3 2 4 3 8" xfId="31757" xr:uid="{3D3B0868-6B1D-44B7-9E63-7E2F85B968DE}"/>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3 5" xfId="32006" xr:uid="{4C578D2D-4D41-4FBF-B8DD-3CC7AFC62900}"/>
    <cellStyle name="Normal 3 2 4 4 2 4" xfId="30355" xr:uid="{C34059E2-DD63-4FD3-8EEB-54B190A38F45}"/>
    <cellStyle name="Normal 3 2 4 4 2 4 2" xfId="31697" xr:uid="{6DCD7FB8-B5FD-4C77-BBC6-EAED650E4CF3}"/>
    <cellStyle name="Normal 3 2 4 4 2 5" xfId="31989" xr:uid="{1497EB42-67E3-4B2E-B704-ABF78EAC0BFC}"/>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5 5" xfId="31814" xr:uid="{73C662E3-E227-488D-BAA7-C2861390EA9D}"/>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6 5" xfId="31935" xr:uid="{EE327EAE-2786-41D7-AAC9-789B35ED027F}"/>
    <cellStyle name="Normal 3 2 4 7" xfId="30122" xr:uid="{2CF31ED3-BF8A-4420-A35A-63A9374EE9CB}"/>
    <cellStyle name="Normal 3 2 4 7 2" xfId="30484" xr:uid="{E8D1DD0B-859F-4702-9615-4F14D8E78C95}"/>
    <cellStyle name="Normal 3 2 4 8" xfId="31756" xr:uid="{3BD5DD47-EE0D-4D26-9979-B292E5AEB09B}"/>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3 5" xfId="32007" xr:uid="{605697BD-0C7F-4E7F-9D2A-0112DEFD24E5}"/>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5 6" xfId="31990" xr:uid="{1A6030CE-991E-4462-A676-1578F405406D}"/>
    <cellStyle name="Normal 3 2 6" xfId="30109" xr:uid="{E75C1CB2-D09F-4E20-9707-91B0AD896C89}"/>
    <cellStyle name="Normal 3 2 6 2" xfId="31495" xr:uid="{75618FDA-0DC1-449E-A37B-B4C7EE151DBA}"/>
    <cellStyle name="Normal 3 2 7" xfId="31737" xr:uid="{DAF1D4CE-0E25-49CE-8219-6D8D988E1EAC}"/>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10" xfId="31740" xr:uid="{735DA6F3-F532-43DB-9D29-5AABCEFFA1CE}"/>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3 3 5" xfId="31877" xr:uid="{2E43C4F1-5209-48AA-B572-DA2C3C124CB7}"/>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5 5" xfId="31817" xr:uid="{2E1920E5-CEDA-4880-814E-F3E326863B8F}"/>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6 5" xfId="31938" xr:uid="{87A054C9-EC04-4351-9EF1-9720A2A3B28F}"/>
    <cellStyle name="Normal 5 2 2 3 3 2 3 7" xfId="30125" xr:uid="{DAC80EA3-45F7-49F1-A349-239CC3856162}"/>
    <cellStyle name="Normal 5 2 2 3 3 2 3 7 2" xfId="30487" xr:uid="{207BB286-D44A-4530-97B5-78C32E75393D}"/>
    <cellStyle name="Normal 5 2 2 3 3 2 3 8" xfId="31759" xr:uid="{16374957-CF05-4205-977D-4B969739F384}"/>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3 5" xfId="32008" xr:uid="{BD7CA334-159E-4D42-B581-D27959C79388}"/>
    <cellStyle name="Normal 5 2 2 3 3 2 4 3 4" xfId="30357" xr:uid="{1C60EA9A-684E-4679-89C8-749CEAB253C5}"/>
    <cellStyle name="Normal 5 2 2 3 3 2 4 3 4 2" xfId="31699" xr:uid="{AD204089-4C71-4050-991D-38E2B324F7EB}"/>
    <cellStyle name="Normal 5 2 2 3 3 2 4 3 5" xfId="31991" xr:uid="{E0EC5735-4AE9-421B-99FB-C0381648EAE9}"/>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5 5" xfId="31816" xr:uid="{5E6DBADF-3E3F-472B-A3E7-13C93AE10668}"/>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6 5" xfId="31937" xr:uid="{9240F838-1B68-40D6-9ACE-917497A6D1C1}"/>
    <cellStyle name="Normal 5 2 2 3 3 2 7" xfId="30124" xr:uid="{16F6B502-50DE-40DF-90B1-0876CC1A1C94}"/>
    <cellStyle name="Normal 5 2 2 3 3 2 7 2" xfId="30486" xr:uid="{32F471BB-0723-4682-B1A0-F64159294218}"/>
    <cellStyle name="Normal 5 2 2 3 3 2 8" xfId="31758" xr:uid="{E5504B10-F7AF-4EC8-8FCB-5A92B398FBE4}"/>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3 5" xfId="31878" xr:uid="{BD64AEE5-6CA3-4187-8B37-E6F4870A7130}"/>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4 5" xfId="31819" xr:uid="{E4474D66-FE38-48E2-86FD-353F0A7837A7}"/>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5 5" xfId="31818" xr:uid="{2BBCE6A9-B46F-4B5D-A278-A5920307EB44}"/>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6 5" xfId="31939" xr:uid="{1A1C441C-30CE-4CB9-9C92-EDE4E3FAE21E}"/>
    <cellStyle name="Normal 5 2 2 3 3 4 7" xfId="30126" xr:uid="{703E38E7-8BA4-47CE-A103-8E02D7643E7A}"/>
    <cellStyle name="Normal 5 2 2 3 3 4 7 2" xfId="30488" xr:uid="{2C6C969A-844E-4616-8573-0FAFBA4D69CF}"/>
    <cellStyle name="Normal 5 2 2 3 3 4 8" xfId="31760" xr:uid="{53B414DA-F311-48B0-8473-61548E75524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3 6" xfId="31879" xr:uid="{AD299762-D62E-48F2-A298-0EEAB8649842}"/>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3 3 5" xfId="31880" xr:uid="{5F368C6F-F5CF-461F-BA3C-C5A7BC3D79FB}"/>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5 5" xfId="31821" xr:uid="{89504CC9-B044-4538-8115-79848BE3552E}"/>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6 5" xfId="31941" xr:uid="{E5DBA7E2-3A44-4CEE-965A-A75BF716B893}"/>
    <cellStyle name="Normal 5 2 2 3 4 3 7" xfId="30128" xr:uid="{902DB47F-C143-433C-8E02-ECCFBB8FA346}"/>
    <cellStyle name="Normal 5 2 2 3 4 3 7 2" xfId="30490" xr:uid="{56017849-602A-438E-96E0-4DE9B6F02764}"/>
    <cellStyle name="Normal 5 2 2 3 4 3 8" xfId="31762" xr:uid="{9D0AC439-C11C-4287-A27F-BAB9C894D3AA}"/>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4 3 5" xfId="31881" xr:uid="{4C41FAD7-5C7A-4589-B282-2779030A99DE}"/>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5 5" xfId="31820" xr:uid="{8DF821CB-A78C-498E-B597-1C93D93AFD4C}"/>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6 5" xfId="31940" xr:uid="{D2C4F953-1B75-4008-AE6F-38C4170A0D30}"/>
    <cellStyle name="Normal 5 2 2 3 4 7" xfId="30127" xr:uid="{920D9317-59AD-4444-9F3B-B0AB3DA1419C}"/>
    <cellStyle name="Normal 5 2 2 3 4 7 2" xfId="30489" xr:uid="{2D2D5388-0491-48DD-9BA0-7F231209010E}"/>
    <cellStyle name="Normal 5 2 2 3 4 8" xfId="31761" xr:uid="{921242F0-2EDD-4524-BA41-55813294BF21}"/>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5 5" xfId="31801" xr:uid="{6BE66918-6C91-4F9F-A5D2-EF2F1294EF6E}"/>
    <cellStyle name="Normal 5 2 2 3 6" xfId="30104" xr:uid="{93BD7124-346B-4FA7-9E75-822A18739E86}"/>
    <cellStyle name="Normal 5 2 2 3 6 2" xfId="30472" xr:uid="{B7FC6D84-3823-4E1F-9CD2-CD3763CCF30A}"/>
    <cellStyle name="Normal 5 2 2 3 7" xfId="31745" xr:uid="{057B4325-5EC6-42D9-9B2D-E352BE37FCC4}"/>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3 3 5" xfId="31882" xr:uid="{46E5480F-E29D-460A-9999-9AAA3602A104}"/>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5 5" xfId="31823" xr:uid="{B74CAEC4-3C70-4398-9709-39AFEC9236D9}"/>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6 5" xfId="31943" xr:uid="{C04D5001-5F62-4BB5-AD2B-507BC7A6138C}"/>
    <cellStyle name="Normal 5 2 2 4 3 7" xfId="30130" xr:uid="{BDE27110-9B13-48B7-8653-B497F720F538}"/>
    <cellStyle name="Normal 5 2 2 4 3 7 2" xfId="30493" xr:uid="{FD9D9EF5-F197-45A3-BC3A-5650DE888412}"/>
    <cellStyle name="Normal 5 2 2 4 3 8" xfId="31764" xr:uid="{8D74E39C-E9F8-4494-970C-42D42ACBF958}"/>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4 3 5" xfId="31883" xr:uid="{5A636884-E186-43AF-848D-40533DDDB79C}"/>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5 5" xfId="31822" xr:uid="{BAE36E74-43C4-4028-BD44-347BA43D80DD}"/>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6 5" xfId="31942" xr:uid="{241402A0-EC53-4140-B3CB-5A2E0E265C3E}"/>
    <cellStyle name="Normal 5 2 2 4 7" xfId="30129" xr:uid="{2236E3FF-3A86-4CD1-98F1-1886F111A065}"/>
    <cellStyle name="Normal 5 2 2 4 7 2" xfId="30492" xr:uid="{45FC10F0-4741-45B2-BDBE-913619A599F3}"/>
    <cellStyle name="Normal 5 2 2 4 8" xfId="31763" xr:uid="{AA7EB73C-BBDE-4608-9B4C-41CDE22B31DF}"/>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5 4" xfId="31992" xr:uid="{120DEC9F-9354-4688-A037-C84E42C97F21}"/>
    <cellStyle name="Normal 5 2 2 6" xfId="31499" xr:uid="{2BB411DD-5D15-4B7F-BAEC-F1A8EC41C4E3}"/>
    <cellStyle name="Normal 5 2 2 7" xfId="31741" xr:uid="{29AF3C1D-838A-492E-90FB-251697FC5BB9}"/>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3 3 5" xfId="31884" xr:uid="{F987242A-7FC3-4269-978F-5DE82990D9E8}"/>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5 5" xfId="31825" xr:uid="{FA92CFA6-C212-4156-99EE-6A03BE725958}"/>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6 5" xfId="31945" xr:uid="{10DE5A57-AF9B-426F-8DAA-58948AA20097}"/>
    <cellStyle name="Normal 5 2 4 3 2 3 7" xfId="30132" xr:uid="{83341974-E50B-44D0-9696-9A6A4FF79FC7}"/>
    <cellStyle name="Normal 5 2 4 3 2 3 7 2" xfId="30496" xr:uid="{62A7FCD7-3DD3-460C-A526-2E072EA83AC6}"/>
    <cellStyle name="Normal 5 2 4 3 2 3 8" xfId="31766" xr:uid="{85D1DC84-2E84-4DAD-9A80-773144FA5BFA}"/>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3 5" xfId="32009" xr:uid="{A4A8B685-D2B9-4A9C-9FD7-90A499EB24BA}"/>
    <cellStyle name="Normal 5 2 4 3 2 4 3 4" xfId="30359" xr:uid="{BB7BBCD9-B969-4973-A8B6-6CB722F841E4}"/>
    <cellStyle name="Normal 5 2 4 3 2 4 3 4 2" xfId="31700" xr:uid="{F60ECDD6-7D39-47D2-80B0-FE4508F286D8}"/>
    <cellStyle name="Normal 5 2 4 3 2 4 3 5" xfId="31993" xr:uid="{44EF1CE0-41C2-405F-BA2E-FBB0AC73B3B5}"/>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5 5" xfId="31824" xr:uid="{A53769D7-EEF3-4E8F-8C88-562622BAD983}"/>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6 5" xfId="31944" xr:uid="{E00381A7-CF8F-4507-89A3-9D785BAE9134}"/>
    <cellStyle name="Normal 5 2 4 3 2 7" xfId="30131" xr:uid="{C81275DE-CA30-40D7-AD33-FAB62E0FACED}"/>
    <cellStyle name="Normal 5 2 4 3 2 7 2" xfId="30495" xr:uid="{8AAC8AE9-2926-47D6-87B5-9E837B1CDB4A}"/>
    <cellStyle name="Normal 5 2 4 3 2 8" xfId="31765" xr:uid="{5C4116CA-E0C6-4C1D-80BF-DAC6885F3B1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3 5" xfId="31885" xr:uid="{7507EE1C-BDCB-4744-ADE7-CAC7706233C1}"/>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4 5" xfId="31827" xr:uid="{4F60F246-F3AD-40E1-8F70-60FF2A30D287}"/>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5 5" xfId="31826" xr:uid="{32E8BD59-8262-43DD-B34C-28EC0BEFDACF}"/>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6 5" xfId="31946" xr:uid="{68EDFAD8-C96B-486B-8E30-969D04F2E6F6}"/>
    <cellStyle name="Normal 5 2 4 3 4 7" xfId="30133" xr:uid="{0FF9C2E0-D12A-4ABC-95BB-3755B3F83C84}"/>
    <cellStyle name="Normal 5 2 4 3 4 7 2" xfId="30497" xr:uid="{FC91A448-0B30-4A6D-BA82-B1E29BB27650}"/>
    <cellStyle name="Normal 5 2 4 3 4 8" xfId="31767" xr:uid="{F4BF3ECB-B673-4B2C-AC1B-3B48C6349E47}"/>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3 6" xfId="31886" xr:uid="{2F28F5E8-258E-478C-8BD3-1ED379DFE28E}"/>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3 3 5" xfId="31887" xr:uid="{56119B9C-9AF5-4D49-928D-3177A4C0EEFB}"/>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5 5" xfId="31829" xr:uid="{64CA30EE-76C5-46A8-9618-CDFE91B3A122}"/>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6 5" xfId="31948" xr:uid="{D3BCC432-12BF-496A-92F6-084C1DDB2D60}"/>
    <cellStyle name="Normal 5 2 4 4 3 7" xfId="30135" xr:uid="{043D8D7C-0FB5-4B99-8C37-48CD2D0D46E8}"/>
    <cellStyle name="Normal 5 2 4 4 3 7 2" xfId="30499" xr:uid="{530030F0-59D0-4660-8567-AD5B7CB24B9B}"/>
    <cellStyle name="Normal 5 2 4 4 3 8" xfId="31769" xr:uid="{F5D64472-8EAE-483F-A781-BB3B5AF1E001}"/>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4 3 5" xfId="31888" xr:uid="{758C3C2E-DAD9-4A6D-BD67-598EA8A8BA3F}"/>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2 5" xfId="31986" xr:uid="{2C09AC3E-6949-405F-8308-BB0E9F0A6D8D}"/>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6 5" xfId="31828" xr:uid="{5AD8C2B0-DF03-4ECA-A5A4-2A4C3C4AF1D2}"/>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7 5" xfId="31947" xr:uid="{ECE19079-B873-4FBA-8B3F-B63A66B9D28F}"/>
    <cellStyle name="Normal 5 2 4 4 8" xfId="30134" xr:uid="{2E70D3D9-38AE-4F46-AE0C-D4B00782AB6B}"/>
    <cellStyle name="Normal 5 2 4 4 8 2" xfId="30498" xr:uid="{FF04236F-3AE0-4DDD-A3DA-183F84BE2F5D}"/>
    <cellStyle name="Normal 5 2 4 4 9" xfId="31768" xr:uid="{BA437488-0F82-4D3B-9F1C-1ECAB06CE8B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3 5" xfId="31889" xr:uid="{3CC5A012-FD9E-4C52-B3A6-39056DA0991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6 5" xfId="31802" xr:uid="{FACD236D-9B3C-4890-AFA9-563684DE12DB}"/>
    <cellStyle name="Normal 5 2 4 7" xfId="30113" xr:uid="{342BA205-8867-43D9-9B72-B399D3F5B164}"/>
    <cellStyle name="Normal 5 2 4 7 2" xfId="30473" xr:uid="{BD37669B-A0D9-4854-A41E-C8C8D8D8F3B6}"/>
    <cellStyle name="Normal 5 2 4 8" xfId="31746" xr:uid="{292E00EC-C766-4114-9DE1-CF0907AC02E3}"/>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3 3 5" xfId="31890" xr:uid="{916A65CD-70EB-43D7-9F02-B5C5CEE20509}"/>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5 5" xfId="31831" xr:uid="{1FCB7D3F-2561-44CB-A382-DCAF279AC409}"/>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6 5" xfId="31950" xr:uid="{8D59E135-AC2F-4C8D-95DF-E196267D41D7}"/>
    <cellStyle name="Normal 5 2 6 3 7" xfId="30137" xr:uid="{42B1072C-8B2A-4FA2-81EC-269C4E84A3A5}"/>
    <cellStyle name="Normal 5 2 6 3 7 2" xfId="30502" xr:uid="{54FBF52F-2716-45C2-84B6-D21E6196F530}"/>
    <cellStyle name="Normal 5 2 6 3 8" xfId="31771" xr:uid="{49C18D4C-1DD1-4E80-8DDA-1F158696D3FF}"/>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3 5" xfId="32010" xr:uid="{F29DABD2-FC4D-473E-BE41-07C25D0C2543}"/>
    <cellStyle name="Normal 5 2 6 4 2 4" xfId="30360" xr:uid="{704420A6-BB13-4C4A-98E2-F5E54ACD7C79}"/>
    <cellStyle name="Normal 5 2 6 4 2 4 2" xfId="31701" xr:uid="{BFDDA610-75E9-4FB0-AECA-C28A0E3EE21C}"/>
    <cellStyle name="Normal 5 2 6 4 2 5" xfId="31994" xr:uid="{3A9D60D4-64F0-4D74-B1FD-EBEE743E818A}"/>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5 5" xfId="31830" xr:uid="{EAEDF0E9-F29A-40F7-8554-5D892D346481}"/>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6 5" xfId="31949" xr:uid="{87933E47-02C1-4815-A61E-BE0C8E7500DF}"/>
    <cellStyle name="Normal 5 2 6 7" xfId="30136" xr:uid="{E209EADA-9019-48FA-A3B0-FD7DD812FC2D}"/>
    <cellStyle name="Normal 5 2 6 7 2" xfId="30501" xr:uid="{806443B8-0098-40D3-A0A9-566A12CC2022}"/>
    <cellStyle name="Normal 5 2 6 8" xfId="31770" xr:uid="{F4650598-2D11-4F90-9C18-87487BE0A704}"/>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4 5" xfId="31891" xr:uid="{129F469F-E454-4933-9412-0089E4D39FEB}"/>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5 5" xfId="31995" xr:uid="{F55F42EB-AD84-4B0C-8D75-6C8D9561F7F2}"/>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3 3 5" xfId="31892" xr:uid="{5969C7B7-F3B5-4254-A1EC-D0935ADF6B29}"/>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5 5" xfId="31833" xr:uid="{3D4DEA08-86D4-4B52-BF8A-847A4DD64EA9}"/>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6 5" xfId="31952" xr:uid="{D954C6A4-79C8-4082-86B4-7D22EF1E1CC0}"/>
    <cellStyle name="Normal 5 3 3 2 3 7" xfId="30139" xr:uid="{CEEC2368-E04C-4884-B7E9-1C0EF9192CCC}"/>
    <cellStyle name="Normal 5 3 3 2 3 7 2" xfId="30505" xr:uid="{40091B9F-9A6C-4CD3-B1C9-52952B51C499}"/>
    <cellStyle name="Normal 5 3 3 2 3 8" xfId="31773" xr:uid="{2B25191E-3569-4896-A99F-795C742D64A0}"/>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4 4 5" xfId="31893" xr:uid="{AD32732D-EA7E-4E42-981B-6AFA5D8F4DA4}"/>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5 5" xfId="31832" xr:uid="{2CCDF7F2-B581-4E91-87A6-32687C0B44DC}"/>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6 5" xfId="31951" xr:uid="{B77F9C38-F2D4-4E32-89DF-E504BF652154}"/>
    <cellStyle name="Normal 5 3 3 2 7" xfId="30138" xr:uid="{D531B8A8-AA54-477A-BB5E-9C4205A9F66B}"/>
    <cellStyle name="Normal 5 3 3 2 7 2" xfId="30504" xr:uid="{F0BFF427-E566-43AB-88DF-26A10FC54877}"/>
    <cellStyle name="Normal 5 3 3 2 8" xfId="31772" xr:uid="{CAB2CF16-192A-4599-B2D4-457049C4418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3 3 5" xfId="31894" xr:uid="{20BB71C6-3BBD-4DFF-81E5-88B3AF49701C}"/>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3 5" xfId="31895" xr:uid="{42548376-0F5B-4503-9132-1B2C4A09D1C9}"/>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4 5" xfId="31835" xr:uid="{F88B0801-A0D0-4052-BD35-EC66AD5F8D82}"/>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5 5" xfId="31834" xr:uid="{2F36F886-931E-43DB-818A-AF5796AAE542}"/>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6 5" xfId="31953" xr:uid="{7782B158-FDC8-477A-B562-08B9DA719FCC}"/>
    <cellStyle name="Normal 5 3 3 4 7" xfId="30140" xr:uid="{347E797A-C3DA-48FE-923F-48D6C2483068}"/>
    <cellStyle name="Normal 5 3 3 4 7 2" xfId="30506" xr:uid="{2B8EC82B-053E-4181-83D9-DD6F2D19A0F7}"/>
    <cellStyle name="Normal 5 3 3 4 8" xfId="31774" xr:uid="{3C357966-CF74-4701-9B29-FFAAB496DA32}"/>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3 6" xfId="31896" xr:uid="{53B2FB37-56CF-4F63-99AA-2BA801C7D5A3}"/>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3 6 3 5" xfId="31897" xr:uid="{37D0F6FF-D028-4AB8-BF77-2760405DC5CD}"/>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3 3 5" xfId="31898" xr:uid="{F0275AAD-8718-4F58-8AC2-9639D9C6482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5 5" xfId="31837" xr:uid="{6DD0B63B-BCBC-4E53-8390-DC94257EB32A}"/>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6 5" xfId="31955" xr:uid="{4DCCB906-EBF2-438B-9E5A-B1694AF0EF53}"/>
    <cellStyle name="Normal 5 3 4 3 7" xfId="30142" xr:uid="{8464588B-FBC9-4AEB-8137-4B7B64E1AFE0}"/>
    <cellStyle name="Normal 5 3 4 3 7 2" xfId="30508" xr:uid="{0455E1FF-3A8B-40C3-BF3A-C60A750C7BEF}"/>
    <cellStyle name="Normal 5 3 4 3 8" xfId="31776" xr:uid="{DA682CD3-43EC-4ABB-AA79-9FFA4EABEA26}"/>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4 3 5" xfId="31899" xr:uid="{00D3E093-4587-41F0-AB4B-EA0F1CD4B1EF}"/>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5 5" xfId="31836" xr:uid="{91DDD679-5478-43FA-B8FB-E6B70348975D}"/>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6 5" xfId="31954" xr:uid="{85883DA4-F313-4189-9E07-0B7A1C73CF9A}"/>
    <cellStyle name="Normal 5 3 4 7" xfId="30141" xr:uid="{C5086DE0-3D25-4310-955C-9881B5375DBB}"/>
    <cellStyle name="Normal 5 3 4 7 2" xfId="30507" xr:uid="{0691E9B7-B979-49A9-82BB-8C389DE41776}"/>
    <cellStyle name="Normal 5 3 4 8" xfId="31775" xr:uid="{715FFDD6-6568-430B-981E-3E9264DED39F}"/>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5 5" xfId="31803" xr:uid="{316130DC-D2A6-4547-8B59-382E1EA1CF4F}"/>
    <cellStyle name="Normal 5 3 6" xfId="30114" xr:uid="{FF7EC34F-1D03-426F-944C-8DDEC9BD14BD}"/>
    <cellStyle name="Normal 5 3 6 2" xfId="30474" xr:uid="{C83318F6-E85A-4A71-88FC-A52912529995}"/>
    <cellStyle name="Normal 5 3 7" xfId="31747" xr:uid="{337C1941-D29F-4DFE-8FD7-B5C358B0C158}"/>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4 3 3 5" xfId="31900" xr:uid="{40F263E5-2734-4E01-AD2F-E4EBBFD5EC64}"/>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3 3 5" xfId="31901" xr:uid="{754658E2-73F9-40DD-B4CA-4C1722B5D59C}"/>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5 5" xfId="31839" xr:uid="{130F5C18-B1B8-4F58-8C05-BA4F984E60B2}"/>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6 5" xfId="31957" xr:uid="{7E2D0404-CD48-4B83-813F-1C109FF59CF1}"/>
    <cellStyle name="Normal 5 5 10 7" xfId="30144" xr:uid="{9EC4A54E-D459-477E-95C3-D8EED714DA54}"/>
    <cellStyle name="Normal 5 5 10 7 2" xfId="30510" xr:uid="{642D08F6-4146-4DCF-BE9E-E70107F064A1}"/>
    <cellStyle name="Normal 5 5 10 8" xfId="31778" xr:uid="{DE339D0D-60AE-4F49-9D53-282804968AB2}"/>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3 5" xfId="31929" xr:uid="{BD43FFDF-D321-49CF-8E57-FC0670884458}"/>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3 5" xfId="31902" xr:uid="{B49DDE4E-B474-4D82-8DE7-DE34D666ABD3}"/>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7 5" xfId="31849" xr:uid="{A34030C0-1ADE-4F6E-8588-709AA51B14BF}"/>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8 5" xfId="31966" xr:uid="{198FE584-0EBD-4846-9AFF-45C9E6F51FC7}"/>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3 6" xfId="31903" xr:uid="{7E62AF28-5138-45A1-B504-E13586E5ACC7}"/>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7 6" xfId="31838" xr:uid="{6A51634D-127A-4B22-AE22-86669FF3445A}"/>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8 5" xfId="31956" xr:uid="{6F225451-E1BB-4748-84E3-8090BB6BD0E2}"/>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23 2" xfId="32019" xr:uid="{81E550AD-9039-41F4-A2D5-02CB7EC9C075}"/>
    <cellStyle name="Normal 5 5 24" xfId="31777" xr:uid="{063500B0-5BCF-4689-9FF8-33FD7D7871A1}"/>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5 7" xfId="31904" xr:uid="{03741BC8-310A-4A53-AF2C-7496C15FEEE9}"/>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6 5" xfId="31840" xr:uid="{02E3CA20-CDCC-4EF9-A465-3AFA4DE6B0FA}"/>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7 7" xfId="31958" xr:uid="{26829776-719A-46BD-A258-5673071C5FD9}"/>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6 5" xfId="31996" xr:uid="{63D7B69F-D531-4296-933F-895FCFAC05FA}"/>
    <cellStyle name="Normal 5 7" xfId="30110" xr:uid="{B86EA2F7-3D8C-4453-9463-4535C564224A}"/>
    <cellStyle name="Normal 5 7 2" xfId="31496" xr:uid="{388D835E-8A46-47C8-B36E-97EC381E07D9}"/>
    <cellStyle name="Normal 5 8" xfId="31738" xr:uid="{2A11AEFC-1C32-45CA-8BBE-59875947677C}"/>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2 3 5" xfId="31905" xr:uid="{B4F14851-42A4-42D8-AD46-176C1F10B645}"/>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3 3 5" xfId="31906" xr:uid="{4DC8D91C-F9C0-4E7B-A88F-826CB688E59F}"/>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5 5" xfId="31842" xr:uid="{D0802F31-2ACA-4BC1-B9A9-A45C60546CFF}"/>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6 5" xfId="31960" xr:uid="{2E1EAF87-55A0-4572-8E1C-BFD5E308123D}"/>
    <cellStyle name="Normal 6 3 3 3 2 3 7" xfId="30146" xr:uid="{DC11676B-B130-4A24-B13D-A1AF24211213}"/>
    <cellStyle name="Normal 6 3 3 3 2 3 7 2" xfId="30513" xr:uid="{2A90FA8B-F176-40AB-B942-C645A0B2AC10}"/>
    <cellStyle name="Normal 6 3 3 3 2 3 8" xfId="31780" xr:uid="{AC73DE27-1D15-4E8C-90EF-DCE8A505F7A5}"/>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3 5" xfId="32011" xr:uid="{06FC7E84-62B2-4631-875C-E016AFD26780}"/>
    <cellStyle name="Normal 6 3 3 3 2 4 3 4" xfId="30363" xr:uid="{3A82768C-6B5D-4D32-86C4-08DE35B49E64}"/>
    <cellStyle name="Normal 6 3 3 3 2 4 3 4 2" xfId="31703" xr:uid="{7FCFC7B6-2244-4C07-99E2-5744C78CE1C6}"/>
    <cellStyle name="Normal 6 3 3 3 2 4 3 5" xfId="31997" xr:uid="{6BCD8F41-81B7-4A64-B6D4-6AE476FDC704}"/>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5 5" xfId="31841" xr:uid="{16E90C34-F0D9-4A4C-8F6D-4B650C3B357C}"/>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6 5" xfId="31959" xr:uid="{AFB3293D-1D1B-4E4B-BCC4-9F86F25FDAD0}"/>
    <cellStyle name="Normal 6 3 3 3 2 7" xfId="30145" xr:uid="{80BE168A-ACEA-40EE-BC12-1FF256FF1F93}"/>
    <cellStyle name="Normal 6 3 3 3 2 7 2" xfId="30512" xr:uid="{1E65CB5E-5F31-4857-9CD1-EB4B121E79A0}"/>
    <cellStyle name="Normal 6 3 3 3 2 8" xfId="31779" xr:uid="{4C8A44DD-8075-43F2-9BD9-C440A97796EC}"/>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3 5" xfId="31907" xr:uid="{64AE5BE2-C6F0-4593-AF10-CB08CD91C41C}"/>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4 5" xfId="31844" xr:uid="{FF44EAE1-CC4B-400F-A821-0D0892824B90}"/>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5 5" xfId="31843" xr:uid="{D1D22720-42CB-4E40-B482-92A31F5815B3}"/>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6 5" xfId="31961" xr:uid="{51857C86-AF84-4E98-9557-4094E2346B70}"/>
    <cellStyle name="Normal 6 3 3 3 4 7" xfId="30147" xr:uid="{C2411ACB-20F6-4EE0-8B84-B62097023916}"/>
    <cellStyle name="Normal 6 3 3 3 4 7 2" xfId="30514" xr:uid="{BAFE7101-FEEB-42B9-BA1E-81777797EAA5}"/>
    <cellStyle name="Normal 6 3 3 3 4 8" xfId="31781" xr:uid="{2E1ED63D-1216-41C8-809E-8C7973656B24}"/>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3 6" xfId="31908" xr:uid="{69BC04FC-FEA8-4E45-8752-A42C8361048B}"/>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3 3 5" xfId="31909" xr:uid="{66977EE9-6F4B-4C05-9F60-D1EDCBE9CD5E}"/>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5 5" xfId="31846" xr:uid="{2D22FBDD-9B81-407A-A5DF-3CE283B1CAA8}"/>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6 5" xfId="31963" xr:uid="{674A6D6C-A61D-4C55-B6BD-FC47C98FA7B6}"/>
    <cellStyle name="Normal 6 3 3 4 3 7" xfId="30149" xr:uid="{5DD134DE-7771-4AC1-A6C7-CAB182204804}"/>
    <cellStyle name="Normal 6 3 3 4 3 7 2" xfId="30516" xr:uid="{F5396644-8DAF-4937-A4F1-2401EBC3517A}"/>
    <cellStyle name="Normal 6 3 3 4 3 8" xfId="31783" xr:uid="{12048E24-3C43-4435-BE8C-D5069E93FC2F}"/>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4 3 5" xfId="31910" xr:uid="{951405C8-B7DD-4C08-BFB4-871217ABAC05}"/>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5 5" xfId="31845" xr:uid="{DB32A3B8-5C37-4356-AA3C-90F98EB93FA0}"/>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6 5" xfId="31962" xr:uid="{DC78F7B7-6B26-4AC5-984F-17C8FD986577}"/>
    <cellStyle name="Normal 6 3 3 4 7" xfId="30148" xr:uid="{838F89EF-1D7F-4065-8D4C-3A4DAF9BF3DA}"/>
    <cellStyle name="Normal 6 3 3 4 7 2" xfId="30515" xr:uid="{05F24ADF-AA50-4531-B604-5CFE29E6FEC6}"/>
    <cellStyle name="Normal 6 3 3 4 8" xfId="31782" xr:uid="{FEEE74F3-2B84-4E8F-BAB1-8AF14D10129F}"/>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5 5" xfId="31804" xr:uid="{B3748554-0B6A-4B8F-9DBC-D73F2A66DFC1}"/>
    <cellStyle name="Normal 6 3 3 6" xfId="30102" xr:uid="{39D311B1-3F99-4637-B6B6-3945F5B433CC}"/>
    <cellStyle name="Normal 6 3 3 6 2" xfId="30475" xr:uid="{F1B2B02C-F2EA-473E-AE49-8B217EFDE528}"/>
    <cellStyle name="Normal 6 3 3 7" xfId="31748" xr:uid="{4A82FE77-F13D-47E1-8718-69A66B938AB7}"/>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3 3 5" xfId="31911" xr:uid="{ED0A0047-CDC3-4569-847C-302E6CE1CE6E}"/>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5 5" xfId="31848" xr:uid="{BB170375-6210-4D6C-9888-71D334730DE6}"/>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6 5" xfId="31965" xr:uid="{0080A4F2-C314-4612-BF76-5FBC385C3736}"/>
    <cellStyle name="Normal 6 3 4 3 7" xfId="30151" xr:uid="{7EB70341-ADA0-4143-B80B-2417C60D5EFB}"/>
    <cellStyle name="Normal 6 3 4 3 7 2" xfId="30519" xr:uid="{35C90F93-35F2-4DF2-AF1A-E04B1075095B}"/>
    <cellStyle name="Normal 6 3 4 3 8" xfId="31785" xr:uid="{01430505-97F4-473B-8E56-9B7CA08BF22D}"/>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3 5" xfId="32012" xr:uid="{2A5DE39B-10E2-4CDF-9538-29E120C87514}"/>
    <cellStyle name="Normal 6 3 4 4 2 4" xfId="30364" xr:uid="{ED8C1BC9-242E-4E34-A350-F2FCEF2ABD52}"/>
    <cellStyle name="Normal 6 3 4 4 2 4 2" xfId="31704" xr:uid="{1508FF5D-6EE9-4924-B426-3723E8CF7E8F}"/>
    <cellStyle name="Normal 6 3 4 4 2 5" xfId="31998" xr:uid="{D2580A4E-D5D9-4858-8863-0FBC62EB80D7}"/>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5 5" xfId="31847" xr:uid="{6C5AA0DD-3468-4F0D-B57F-4A9120AFE14F}"/>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6 5" xfId="31964" xr:uid="{F27C1DC0-90DF-4120-8952-65B84C1CBB5C}"/>
    <cellStyle name="Normal 6 3 4 7" xfId="30150" xr:uid="{230E3327-1DCE-4021-B3F8-983D1A5A137A}"/>
    <cellStyle name="Normal 6 3 4 7 2" xfId="30518" xr:uid="{E88A4B4D-5E2F-4EF4-8F91-154A61DEACCE}"/>
    <cellStyle name="Normal 6 3 4 8" xfId="31784" xr:uid="{6D7E8ABB-FD7C-401F-A318-46987B373574}"/>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5 4" xfId="31999" xr:uid="{E0EBF805-1D6B-4701-B2D1-326C63ED6BE7}"/>
    <cellStyle name="Normal 6 3 6" xfId="31500" xr:uid="{DD156CEF-7EAB-43B9-BB83-25E20C183EA0}"/>
    <cellStyle name="Normal 6 3 7" xfId="31742" xr:uid="{B400B9E4-1355-4386-B647-8830266281C1}"/>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3 3 5" xfId="31912" xr:uid="{FA306F00-B841-4355-A066-EC66918A692E}"/>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5 5" xfId="31851" xr:uid="{67AA7A16-6D9A-4F6F-8C69-9779C128EF35}"/>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6 5" xfId="31968" xr:uid="{C3B81571-3093-4248-9DDA-B5D3C700E5CD}"/>
    <cellStyle name="Normal 6 5 3 2 3 7" xfId="30153" xr:uid="{49112585-27FD-43F2-BF44-AC831E47158C}"/>
    <cellStyle name="Normal 6 5 3 2 3 7 2" xfId="30522" xr:uid="{97E9803D-6432-444E-A890-68A0602A16F1}"/>
    <cellStyle name="Normal 6 5 3 2 3 8" xfId="31787" xr:uid="{92E4056A-0E55-450E-8180-8D324919DF75}"/>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3 5" xfId="32013" xr:uid="{ED42548C-FFC3-4356-B950-BF13D0FA1BF0}"/>
    <cellStyle name="Normal 6 5 3 2 4 3 4" xfId="30366" xr:uid="{ECE487CF-3F45-4A59-B530-7A43F95E48BF}"/>
    <cellStyle name="Normal 6 5 3 2 4 3 4 2" xfId="31705" xr:uid="{08509A36-70E6-4EBD-A46D-BFCD7652D951}"/>
    <cellStyle name="Normal 6 5 3 2 4 3 5" xfId="32000" xr:uid="{524D9E0C-D4F0-412A-85C7-DB233C7F4163}"/>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5 5" xfId="31850" xr:uid="{C249B8BB-7FA6-449E-90CB-9850ACEA77F4}"/>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6 5" xfId="31967" xr:uid="{3399695D-436F-4CC2-AF84-C02327CC6E8C}"/>
    <cellStyle name="Normal 6 5 3 2 7" xfId="30152" xr:uid="{940D94C0-6359-4490-BCCE-8FEBED747550}"/>
    <cellStyle name="Normal 6 5 3 2 7 2" xfId="30521" xr:uid="{AC08ED16-3FFE-4CEE-BEF0-0022C74CD6F4}"/>
    <cellStyle name="Normal 6 5 3 2 8" xfId="31786" xr:uid="{52842E78-08C4-4D93-B418-278B236D7F7D}"/>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3 5" xfId="31913" xr:uid="{A7805F84-0B74-416D-ADFD-01F71EC45096}"/>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4 5" xfId="31853" xr:uid="{37184B02-C537-4F3D-B29D-AC1AF1DF004A}"/>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5 5" xfId="31852" xr:uid="{69C82089-5492-414A-9DDA-ADF45843FE6D}"/>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6 5" xfId="31969" xr:uid="{37B21FB9-1290-4412-A9CE-92BD2AAF5C40}"/>
    <cellStyle name="Normal 6 5 3 4 7" xfId="30154" xr:uid="{B6B1B1A2-B731-440F-A283-79585C0A73B2}"/>
    <cellStyle name="Normal 6 5 3 4 7 2" xfId="30523" xr:uid="{8E1F6B5E-F917-4E06-A35E-B3F4B762C63D}"/>
    <cellStyle name="Normal 6 5 3 4 8" xfId="31788" xr:uid="{C0022AF3-683F-4822-9FDE-2D4825BB3CEB}"/>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3 6" xfId="31914" xr:uid="{9D47DEBD-EEFE-4E64-8C27-EA9C22AC519C}"/>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3 3 5" xfId="31915" xr:uid="{823605E1-DB5C-4F59-9EE6-AE17B1CDA6F4}"/>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5 5" xfId="31855" xr:uid="{4429D6D9-8CFE-407C-B71F-35EA55399D04}"/>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6 5" xfId="31971" xr:uid="{F0527D1F-273E-49D2-A24A-A75265A92AFF}"/>
    <cellStyle name="Normal 6 5 4 3 7" xfId="30156" xr:uid="{E689BF94-8089-4EDB-8A90-EC9DD05FAEB6}"/>
    <cellStyle name="Normal 6 5 4 3 7 2" xfId="30525" xr:uid="{EFBA4820-C840-4148-BF88-6BDF2F0347D9}"/>
    <cellStyle name="Normal 6 5 4 3 8" xfId="31790" xr:uid="{A00B5BF0-4630-4B27-BCA7-9409C3E3A23A}"/>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4 3 5" xfId="31916" xr:uid="{7A555C8D-B18E-4F02-8331-898A76BDA649}"/>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5 5" xfId="31854" xr:uid="{D28721DE-819F-43F9-A414-2BEC67C0122E}"/>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6 5" xfId="31970" xr:uid="{433CF912-D1A6-4A9F-8959-3B581688C430}"/>
    <cellStyle name="Normal 6 5 4 7" xfId="30155" xr:uid="{2552D7E3-E9B3-4241-AB50-FAF890DD8E42}"/>
    <cellStyle name="Normal 6 5 4 7 2" xfId="30524" xr:uid="{4C0D5AE6-EFC9-4BFA-B323-123CB782B2A7}"/>
    <cellStyle name="Normal 6 5 4 8" xfId="31789" xr:uid="{33361614-3A2D-4D7D-BAA2-A1E6B612CF9C}"/>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5 5" xfId="31805" xr:uid="{C050C015-E250-4559-AD66-78B8986C407A}"/>
    <cellStyle name="Normal 6 5 6" xfId="30115" xr:uid="{8D7A58C9-2680-41F9-B10A-5FB6EB00FD95}"/>
    <cellStyle name="Normal 6 5 6 2" xfId="30476" xr:uid="{6AC3E222-93E2-4ED5-A04F-8AD2183A95F8}"/>
    <cellStyle name="Normal 6 5 7" xfId="31749" xr:uid="{CB59BB16-5F38-4712-9C3A-9A00767CB6AD}"/>
    <cellStyle name="Normal 6 6" xfId="1313" xr:uid="{00000000-0005-0000-0000-0000F2060000}"/>
    <cellStyle name="Normal 6 6 10" xfId="30157" xr:uid="{52A1F13F-0078-432B-BBAA-5F6768E9F38E}"/>
    <cellStyle name="Normal 6 6 10 2" xfId="31504" xr:uid="{05AC218F-FBCD-4605-9DE7-01587C8CA6CF}"/>
    <cellStyle name="Normal 6 6 11" xfId="31791" xr:uid="{74FF6331-4671-4D2A-B271-7069687F8CA4}"/>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4 6" xfId="31857" xr:uid="{28903465-60C5-4A10-A8E8-F00A275D3F5A}"/>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3 4 3 5" xfId="31917" xr:uid="{3F146B55-5D43-4400-8F65-8489273F94A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3 3 5" xfId="31918" xr:uid="{960E59B8-C2E3-483C-ADDB-D1989A9218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5 5" xfId="31858" xr:uid="{173280EF-6653-42CB-8434-355231052529}"/>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6 5" xfId="31973" xr:uid="{342A6E5E-5D39-46FA-9E49-D50F18241D08}"/>
    <cellStyle name="Normal 6 6 4 7" xfId="30158" xr:uid="{5E7B4808-922D-4165-8936-0598A0A6DAFF}"/>
    <cellStyle name="Normal 6 6 4 7 2" xfId="30527" xr:uid="{D1390093-1061-4654-B29D-280509906CE5}"/>
    <cellStyle name="Normal 6 6 4 8" xfId="31792" xr:uid="{8DEA34C9-654F-4005-85CB-82FA7DFB213E}"/>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2 5" xfId="31984" xr:uid="{AF73F513-87D6-47D6-9646-C04065186AB3}"/>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4 5" xfId="31868" xr:uid="{03485721-D522-4C8E-B1BE-9731A263D2A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5 5" xfId="31982" xr:uid="{6B670D1B-72F8-476C-9820-687259F35253}"/>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7 3 5" xfId="31919" xr:uid="{16F026D2-0DB1-46A8-8FFA-BC5B09FC2223}"/>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8 5" xfId="31856" xr:uid="{7366CA6F-6EE2-4AEC-9452-BA6A62DD4FB2}"/>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6 9 5" xfId="31972" xr:uid="{10DB9F5C-EF7E-4FBA-9689-529FC0D984FB}"/>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3 5" xfId="32014" xr:uid="{E5B9F66D-6161-48B2-803E-6760CD70079F}"/>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7 6" xfId="32001" xr:uid="{21442EBC-428C-40AE-9CDB-EDF03BE8B984}"/>
    <cellStyle name="Normal 6 8" xfId="31497" xr:uid="{87BFBF72-39C8-449B-BCD7-58E40C532503}"/>
    <cellStyle name="Normal 6 9" xfId="31739" xr:uid="{76EECAB5-253D-4568-A8DF-AA4469B54760}"/>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6 5" xfId="32015" xr:uid="{46B3987C-F377-4BA8-88FD-DD093606B7D0}"/>
    <cellStyle name="Normal 7 14 3 7" xfId="29635" xr:uid="{34C97F94-45C7-4B15-9ED5-2C3B425DF668}"/>
    <cellStyle name="Normal 7 14 3 8" xfId="30368" xr:uid="{41672123-6C8D-4359-9C8E-48BF387564A2}"/>
    <cellStyle name="Normal 7 14 3 8 2" xfId="31707" xr:uid="{E814CD8D-8D5B-49AD-88A8-8E69D7486D14}"/>
    <cellStyle name="Normal 7 14 3 9" xfId="32002" xr:uid="{BCC042FB-75E0-4775-91B4-89B2F3EE376D}"/>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22 2" xfId="32018" xr:uid="{50E47BEF-A468-48F5-A420-3B199B9330CE}"/>
    <cellStyle name="Normal 7 23" xfId="31743" xr:uid="{CEF6573A-53EC-4ADF-A172-4A2371A008E9}"/>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3 3 5" xfId="31920" xr:uid="{55361E46-5E85-436F-A87E-13321082FEED}"/>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5 5" xfId="31860" xr:uid="{9CBCCE02-47FB-4AF6-ADDB-B464771E04F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6 5" xfId="31975" xr:uid="{97F602CD-4D32-4105-B0B3-757FFCD6EBFE}"/>
    <cellStyle name="Normal 7 3 3 2 3 7" xfId="30160" xr:uid="{780A71C4-DEF8-4E6E-ACC0-3655804A98B1}"/>
    <cellStyle name="Normal 7 3 3 2 3 7 2" xfId="30530" xr:uid="{0EEE45BB-0632-4849-9B3D-03E60AC02070}"/>
    <cellStyle name="Normal 7 3 3 2 3 8" xfId="31794" xr:uid="{C144B9C8-39BD-4E83-B5B7-593FF45276F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3 5" xfId="32016" xr:uid="{BAA84678-B9E5-44F0-AACB-BC984A455A5A}"/>
    <cellStyle name="Normal 7 3 3 2 4 3 4" xfId="30369" xr:uid="{51F68BB7-1CBC-471B-8C45-133EBC2770D2}"/>
    <cellStyle name="Normal 7 3 3 2 4 3 4 2" xfId="31708" xr:uid="{9A461396-9683-439E-A844-9F185B081F12}"/>
    <cellStyle name="Normal 7 3 3 2 4 3 5" xfId="32003" xr:uid="{8F72FC01-163A-4051-8EAF-8C05A91C2A2C}"/>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5 5" xfId="31859" xr:uid="{8A5C62B8-D4CC-4179-ADE7-B7BC4D8AF4B6}"/>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6 5" xfId="31974" xr:uid="{5153D389-8175-4598-B8CE-6C4EAFCC97B3}"/>
    <cellStyle name="Normal 7 3 3 2 7" xfId="30159" xr:uid="{FA8D9B86-1118-4618-BB6D-43B775B037D2}"/>
    <cellStyle name="Normal 7 3 3 2 7 2" xfId="30529" xr:uid="{5EDFF2C5-0B36-4BC0-9185-4FF885E1700E}"/>
    <cellStyle name="Normal 7 3 3 2 8" xfId="31793" xr:uid="{32B13723-F3E1-4DA7-85FD-F0F88921FADD}"/>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3 5" xfId="31921" xr:uid="{63301C97-B84A-4E7A-8688-742EB75815D0}"/>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4 5" xfId="31862" xr:uid="{2EC07911-05C0-4CAF-B202-5092EDBBF497}"/>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5 5" xfId="31861" xr:uid="{E88DA9FC-87BB-4143-BC53-9B2399968B3D}"/>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6 5" xfId="31976" xr:uid="{7977BF5F-CF9F-4A6A-8CB8-A7B643E6B27E}"/>
    <cellStyle name="Normal 7 3 3 4 7" xfId="30161" xr:uid="{52394549-E29E-4278-9C6A-6C4AFCC85D43}"/>
    <cellStyle name="Normal 7 3 3 4 7 2" xfId="30531" xr:uid="{79991904-AF5C-4236-8DCF-6C2BEDC43AA3}"/>
    <cellStyle name="Normal 7 3 3 4 8" xfId="31795" xr:uid="{47E5FB9E-D623-43B4-A4AD-A3D134ACD5E5}"/>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3 6" xfId="31922" xr:uid="{2C59FDC7-DB25-4F03-A12F-8B0B7DE4C225}"/>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3 3 5" xfId="31923" xr:uid="{38023B3C-A0A5-4432-BF8A-CF008C9C4100}"/>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5 5" xfId="31864" xr:uid="{4DC4F957-CC23-4812-BAE0-B7E016475ED7}"/>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6 5" xfId="31978" xr:uid="{9306CA6F-2E9E-481C-8EF0-FBCD946739C3}"/>
    <cellStyle name="Normal 7 3 4 3 7" xfId="30163" xr:uid="{8FB8729F-E256-4613-98CA-4EC4024F1636}"/>
    <cellStyle name="Normal 7 3 4 3 7 2" xfId="30533" xr:uid="{D8F8BCBD-9FA9-4694-BE0E-FA68B6A82F77}"/>
    <cellStyle name="Normal 7 3 4 3 8" xfId="31797" xr:uid="{631BC5F8-D753-4365-B5B2-C7BF0ADA5825}"/>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4 3 5" xfId="31924" xr:uid="{D7B6178E-619E-46EE-BDC2-A00B64BB6FB3}"/>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5 5" xfId="31863" xr:uid="{0473FE3B-B9AA-47DE-9BC9-F8D6FA07832C}"/>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6 5" xfId="31977" xr:uid="{36928D29-A131-4FEB-82EE-02A909264579}"/>
    <cellStyle name="Normal 7 3 4 7" xfId="30162" xr:uid="{547D83AB-00BA-499B-81A0-779EECACE4D6}"/>
    <cellStyle name="Normal 7 3 4 7 2" xfId="30532" xr:uid="{C34CEC2F-9910-42A5-A6D6-E9823FE39A10}"/>
    <cellStyle name="Normal 7 3 4 8" xfId="31796" xr:uid="{51DAE4A7-2976-4A42-88D1-2A39C979678A}"/>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5 5" xfId="31806" xr:uid="{11E33760-64EC-4568-9ABC-E16EE221B5DD}"/>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3 8" xfId="31750" xr:uid="{6F01602F-B9A8-4E34-928B-8B7B3FDA5091}"/>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3 3 5" xfId="31925" xr:uid="{5B5EBB68-0A11-442D-823C-B46CE6330393}"/>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5 5" xfId="31866" xr:uid="{3F49E6C2-1A90-4871-B579-033A0A0310AD}"/>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6 5" xfId="31980" xr:uid="{152DA5AE-C37F-47BF-B925-52D2A4AEDE56}"/>
    <cellStyle name="Normal 7 6 10 7" xfId="30165" xr:uid="{12C3815A-038F-484F-AD47-98D3CF0EAE5F}"/>
    <cellStyle name="Normal 7 6 10 7 2" xfId="30535" xr:uid="{0238211A-81EA-4FE4-8F6A-61EEA3D894FA}"/>
    <cellStyle name="Normal 7 6 10 8" xfId="31799" xr:uid="{8A9FC99B-6DCD-4262-BCF2-EB79CEDF5684}"/>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2 5" xfId="31985" xr:uid="{762A2D3A-6FC8-40AA-B98E-AB71505F9243}"/>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5 5" xfId="31869" xr:uid="{A8422BAC-31C8-453B-B096-90DBB72464BC}"/>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6 5" xfId="31983" xr:uid="{3942AF52-D4AD-45BF-A526-185D948791E2}"/>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3 6" xfId="31926" xr:uid="{2FE623C4-5C9B-4719-9236-574D991686ED}"/>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7 6" xfId="31865" xr:uid="{E55F823F-4A15-4C26-9344-B1D432761C2B}"/>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8 5" xfId="31979" xr:uid="{CE2C3E01-1D6B-4F77-AD4A-A2B7FE05F7FC}"/>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23 2" xfId="32020" xr:uid="{973872C4-0B51-4EC1-9087-44540FD2E4EB}"/>
    <cellStyle name="Normal 7 6 24" xfId="31798" xr:uid="{141CC0B2-AEC2-469D-8BE9-D5FE5F93FB89}"/>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5 7" xfId="31927" xr:uid="{0B7A38A3-D1DF-48EC-A2E6-D9E92519B97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6 5" xfId="31867" xr:uid="{ACF92A0E-985B-41DD-BC15-4DDAD94F98B9}"/>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7 7" xfId="31981" xr:uid="{8F3A3EFA-40F6-4219-A5AF-EC49E0730250}"/>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2 4 5" xfId="31928" xr:uid="{94C5323D-F7B6-4ECB-AD1E-3416C18ADF9C}"/>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4 5" xfId="31807" xr:uid="{64E24786-A0BE-4408-97F4-A4E6CCF6094A}"/>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22">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91" formatCode=";;;"/>
    </dxf>
    <dxf>
      <numFmt numFmtId="191" formatCode=";;;"/>
    </dxf>
    <dxf>
      <numFmt numFmtId="191" formatCode=";;;"/>
    </dxf>
    <dxf>
      <numFmt numFmtId="191" formatCode=";;;"/>
    </dxf>
    <dxf>
      <numFmt numFmtId="191"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FFCC"/>
        </patternFill>
      </fill>
    </dxf>
    <dxf>
      <font>
        <b/>
        <i val="0"/>
        <color rgb="FFFF0000"/>
      </font>
      <fill>
        <patternFill>
          <bgColor rgb="FFFFC7CE"/>
        </patternFill>
      </fill>
    </dxf>
    <dxf>
      <font>
        <color rgb="FFFF0000"/>
      </font>
      <fill>
        <patternFill>
          <bgColor rgb="FFFFFFCC"/>
        </patternFill>
      </fill>
    </dxf>
    <dxf>
      <font>
        <color rgb="FF9C0006"/>
      </font>
      <fill>
        <patternFill>
          <bgColor rgb="FFFFC7CE"/>
        </patternFill>
      </fill>
    </dxf>
    <dxf>
      <font>
        <color rgb="FFFF0000"/>
      </font>
      <fill>
        <patternFill>
          <bgColor rgb="FFFFFFCC"/>
        </patternFill>
      </fill>
    </dxf>
    <dxf>
      <font>
        <color rgb="FFFF0000"/>
      </font>
      <fill>
        <patternFill>
          <bgColor rgb="FFFFFFCC"/>
        </patternFill>
      </fill>
    </dxf>
    <dxf>
      <font>
        <b/>
        <i val="0"/>
        <color rgb="FFFF0000"/>
      </font>
      <fill>
        <patternFill>
          <bgColor rgb="FFFFC7CE"/>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ill>
        <patternFill>
          <bgColor theme="5" tint="0.79998168889431442"/>
        </patternFill>
      </fill>
    </dxf>
    <dxf>
      <font>
        <b/>
        <i val="0"/>
      </font>
      <fill>
        <patternFill>
          <bgColor rgb="FFFDC7D6"/>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21"/>
      <tableStyleElement type="headerRow" dxfId="120"/>
      <tableStyleElement type="firstRowStripe" dxfId="119"/>
    </tableStyle>
  </tableStyles>
  <colors>
    <mruColors>
      <color rgb="FFFFFFCC"/>
      <color rgb="FFFFC7CE"/>
      <color rgb="FFFFC4FF"/>
      <color rgb="FF0315BD"/>
      <color rgb="FFFFFFFF"/>
      <color rgb="FFCCFF66"/>
      <color rgb="FF99FF66"/>
      <color rgb="FFFDC7D6"/>
      <color rgb="FFFEE2EA"/>
      <color rgb="FFFDD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  as a % of Expenditures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9.7797185706470544E-2"/>
          <c:y val="0.15667699698037926"/>
          <c:w val="0.87753647349015773"/>
          <c:h val="0.70688706795084866"/>
        </c:manualLayout>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1948-4790-A7B9-1F8BA545F0C2}"/>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1948-4790-A7B9-1F8BA545F0C2}"/>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1948-4790-A7B9-1F8BA545F0C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Print'!$L$11:$N$11</c:f>
              <c:numCache>
                <c:formatCode>0.00%</c:formatCode>
                <c:ptCount val="3"/>
                <c:pt idx="0">
                  <c:v>#N/A</c:v>
                </c:pt>
                <c:pt idx="1">
                  <c:v>#N/A</c:v>
                </c:pt>
                <c:pt idx="2">
                  <c:v>0</c:v>
                </c:pt>
              </c:numCache>
            </c:numRef>
          </c:val>
          <c:extLst>
            <c:ext xmlns:c16="http://schemas.microsoft.com/office/drawing/2014/chart" uri="{C3380CC4-5D6E-409C-BE32-E72D297353CC}">
              <c16:uniqueId val="{00000000-A409-43D6-8C66-73522177D1BF}"/>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20-4E4A-9E55-9678AD123E46}"/>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20-4E4A-9E55-9678AD123E46}"/>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820-4E4A-9E55-9678AD123E4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Print'!$L$16:$N$16</c:f>
              <c:numCache>
                <c:formatCode>0.00</c:formatCode>
                <c:ptCount val="3"/>
                <c:pt idx="0">
                  <c:v>#N/A</c:v>
                </c:pt>
                <c:pt idx="1">
                  <c:v>#N/A</c:v>
                </c:pt>
                <c:pt idx="2">
                  <c:v>0</c:v>
                </c:pt>
              </c:numCache>
            </c:numRef>
          </c:val>
          <c:extLst>
            <c:ext xmlns:c16="http://schemas.microsoft.com/office/drawing/2014/chart" uri="{C3380CC4-5D6E-409C-BE32-E72D297353CC}">
              <c16:uniqueId val="{00000000-1CDB-4C76-BFFC-D1B465011A83}"/>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95-4FC6-84A4-7A5F1ECAFFDB}"/>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95-4FC6-84A4-7A5F1ECAFFDB}"/>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95-4FC6-84A4-7A5F1ECAFFDB}"/>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Print'!$L$25:$N$25</c:f>
              <c:numCache>
                <c:formatCode>0.00</c:formatCode>
                <c:ptCount val="3"/>
                <c:pt idx="0">
                  <c:v>#N/A</c:v>
                </c:pt>
                <c:pt idx="1">
                  <c:v>#N/A</c:v>
                </c:pt>
                <c:pt idx="2">
                  <c:v>0</c:v>
                </c:pt>
              </c:numCache>
            </c:numRef>
          </c:val>
          <c:extLst>
            <c:ext xmlns:c16="http://schemas.microsoft.com/office/drawing/2014/chart" uri="{C3380CC4-5D6E-409C-BE32-E72D297353CC}">
              <c16:uniqueId val="{00000000-3BE2-4478-82F0-97834E674CDE}"/>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206828</xdr:colOff>
      <xdr:row>10</xdr:row>
      <xdr:rowOff>190500</xdr:rowOff>
    </xdr:from>
    <xdr:to>
      <xdr:col>4</xdr:col>
      <xdr:colOff>849086</xdr:colOff>
      <xdr:row>10</xdr:row>
      <xdr:rowOff>2906486</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195942</xdr:colOff>
      <xdr:row>15</xdr:row>
      <xdr:rowOff>68036</xdr:rowOff>
    </xdr:from>
    <xdr:to>
      <xdr:col>4</xdr:col>
      <xdr:colOff>859972</xdr:colOff>
      <xdr:row>15</xdr:row>
      <xdr:rowOff>2408464</xdr:rowOff>
    </xdr:to>
    <xdr:graphicFrame macro="">
      <xdr:nvGraphicFramePr>
        <xdr:cNvPr id="3" name="Chart 1">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163287</xdr:colOff>
      <xdr:row>24</xdr:row>
      <xdr:rowOff>81643</xdr:rowOff>
    </xdr:from>
    <xdr:to>
      <xdr:col>4</xdr:col>
      <xdr:colOff>838201</xdr:colOff>
      <xdr:row>24</xdr:row>
      <xdr:rowOff>2449286</xdr:rowOff>
    </xdr:to>
    <xdr:graphicFrame macro="">
      <xdr:nvGraphicFramePr>
        <xdr:cNvPr id="4" name="Chart 1">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5</xdr:col>
          <xdr:colOff>1188720</xdr:colOff>
          <xdr:row>8</xdr:row>
          <xdr:rowOff>1531620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3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61"/>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16.44140625" style="180" customWidth="1"/>
    <col min="7" max="16384" width="9.109375" style="180"/>
  </cols>
  <sheetData>
    <row r="1" spans="2:14" ht="9.6" customHeight="1" thickBot="1" x14ac:dyDescent="0.35">
      <c r="B1" s="162"/>
    </row>
    <row r="2" spans="2:14" ht="91.95" customHeight="1" thickBot="1" x14ac:dyDescent="0.35">
      <c r="B2" s="534" t="s">
        <v>2618</v>
      </c>
      <c r="E2"/>
    </row>
    <row r="3" spans="2:14" ht="76.2" customHeight="1" thickBot="1" x14ac:dyDescent="0.35">
      <c r="B3" s="981" t="s">
        <v>1967</v>
      </c>
      <c r="C3" s="173"/>
      <c r="D3" s="173"/>
      <c r="E3"/>
      <c r="F3"/>
    </row>
    <row r="4" spans="2:14" ht="58.95" customHeight="1" thickBot="1" x14ac:dyDescent="0.35">
      <c r="B4" s="981" t="s">
        <v>1968</v>
      </c>
      <c r="C4" s="173"/>
      <c r="D4" s="173"/>
    </row>
    <row r="5" spans="2:14" ht="61.2" customHeight="1" x14ac:dyDescent="0.3">
      <c r="B5" s="173" t="s">
        <v>1931</v>
      </c>
    </row>
    <row r="6" spans="2:14" ht="83.4" customHeight="1" x14ac:dyDescent="0.4">
      <c r="B6" s="173" t="s">
        <v>878</v>
      </c>
      <c r="F6" s="535"/>
      <c r="G6" s="535"/>
      <c r="H6" s="535"/>
      <c r="I6" s="535"/>
      <c r="J6" s="535"/>
      <c r="K6" s="535"/>
      <c r="L6" s="535"/>
      <c r="M6" s="535"/>
      <c r="N6" s="535"/>
    </row>
    <row r="7" spans="2:14" ht="58.2" customHeight="1" x14ac:dyDescent="0.3">
      <c r="B7" s="173" t="s">
        <v>879</v>
      </c>
    </row>
    <row r="8" spans="2:14" ht="117.6" customHeight="1" x14ac:dyDescent="0.3">
      <c r="B8" s="163" t="s">
        <v>880</v>
      </c>
    </row>
    <row r="9" spans="2:14" ht="25.95" customHeight="1" x14ac:dyDescent="0.3">
      <c r="B9" s="175" t="s">
        <v>455</v>
      </c>
    </row>
    <row r="10" spans="2:14" ht="49.2" customHeight="1" x14ac:dyDescent="0.3">
      <c r="B10" s="536" t="s">
        <v>881</v>
      </c>
    </row>
    <row r="11" spans="2:14" ht="42.6" customHeight="1" x14ac:dyDescent="0.3">
      <c r="B11" s="536" t="s">
        <v>456</v>
      </c>
    </row>
    <row r="12" spans="2:14" s="538" customFormat="1" ht="34.200000000000003" customHeight="1" x14ac:dyDescent="0.3">
      <c r="B12" s="537" t="s">
        <v>2597</v>
      </c>
    </row>
    <row r="13" spans="2:14" s="538" customFormat="1" ht="55.95" customHeight="1" x14ac:dyDescent="0.3">
      <c r="B13" s="539" t="s">
        <v>882</v>
      </c>
    </row>
    <row r="14" spans="2:14" ht="36" customHeight="1" x14ac:dyDescent="0.3">
      <c r="B14" s="539" t="s">
        <v>883</v>
      </c>
    </row>
    <row r="15" spans="2:14" ht="39" customHeight="1" x14ac:dyDescent="0.3">
      <c r="B15" s="540" t="s">
        <v>884</v>
      </c>
    </row>
    <row r="16" spans="2:14" ht="25.95" customHeight="1" x14ac:dyDescent="0.3">
      <c r="B16" s="175" t="s">
        <v>457</v>
      </c>
    </row>
    <row r="17" spans="2:2" x14ac:dyDescent="0.3">
      <c r="B17" s="162"/>
    </row>
    <row r="18" spans="2:2" x14ac:dyDescent="0.3">
      <c r="B18" s="541" t="s">
        <v>36</v>
      </c>
    </row>
    <row r="19" spans="2:2" ht="15.6" customHeight="1" x14ac:dyDescent="0.3">
      <c r="B19" s="542" t="s">
        <v>885</v>
      </c>
    </row>
    <row r="20" spans="2:2" x14ac:dyDescent="0.3">
      <c r="B20" s="543"/>
    </row>
    <row r="21" spans="2:2" x14ac:dyDescent="0.3">
      <c r="B21" s="541" t="s">
        <v>37</v>
      </c>
    </row>
    <row r="22" spans="2:2" ht="15.6" customHeight="1" x14ac:dyDescent="0.3">
      <c r="B22" s="544" t="s">
        <v>337</v>
      </c>
    </row>
    <row r="23" spans="2:2" ht="13.2" customHeight="1" x14ac:dyDescent="0.3">
      <c r="B23" s="162"/>
    </row>
    <row r="24" spans="2:2" ht="25.95" customHeight="1" x14ac:dyDescent="0.3">
      <c r="B24" s="175" t="s">
        <v>458</v>
      </c>
    </row>
    <row r="25" spans="2:2" s="538" customFormat="1" ht="72.599999999999994" customHeight="1" x14ac:dyDescent="0.3">
      <c r="B25" s="536" t="s">
        <v>1558</v>
      </c>
    </row>
    <row r="26" spans="2:2" s="538" customFormat="1" ht="84.6" customHeight="1" x14ac:dyDescent="0.3">
      <c r="B26" s="536" t="s">
        <v>886</v>
      </c>
    </row>
    <row r="27" spans="2:2" s="538" customFormat="1" ht="78.599999999999994" customHeight="1" x14ac:dyDescent="0.3">
      <c r="B27" s="536" t="s">
        <v>459</v>
      </c>
    </row>
    <row r="28" spans="2:2" ht="15" x14ac:dyDescent="0.3">
      <c r="B28" s="165" t="s">
        <v>887</v>
      </c>
    </row>
    <row r="29" spans="2:2" ht="8.4" customHeight="1" x14ac:dyDescent="0.3">
      <c r="B29" s="164"/>
    </row>
    <row r="30" spans="2:2" ht="25.95" customHeight="1" x14ac:dyDescent="0.3">
      <c r="B30" s="175" t="s">
        <v>888</v>
      </c>
    </row>
    <row r="31" spans="2:2" ht="28.95" customHeight="1" x14ac:dyDescent="0.3">
      <c r="B31" s="176" t="s">
        <v>1630</v>
      </c>
    </row>
    <row r="32" spans="2:2" ht="31.95" customHeight="1" x14ac:dyDescent="0.3">
      <c r="B32" s="176" t="s">
        <v>1633</v>
      </c>
    </row>
    <row r="33" spans="2:7" ht="30.6" customHeight="1" x14ac:dyDescent="0.3">
      <c r="B33" s="545" t="s">
        <v>1632</v>
      </c>
    </row>
    <row r="34" spans="2:7" ht="25.2" customHeight="1" x14ac:dyDescent="0.3">
      <c r="B34" s="545" t="s">
        <v>1930</v>
      </c>
    </row>
    <row r="35" spans="2:7" ht="27.6" customHeight="1" x14ac:dyDescent="0.3">
      <c r="B35" s="545" t="s">
        <v>1631</v>
      </c>
    </row>
    <row r="36" spans="2:7" ht="31.95" customHeight="1" x14ac:dyDescent="0.3">
      <c r="B36" s="546" t="s">
        <v>889</v>
      </c>
    </row>
    <row r="37" spans="2:7" ht="60" customHeight="1" x14ac:dyDescent="0.3">
      <c r="B37" s="176" t="s">
        <v>1636</v>
      </c>
    </row>
    <row r="38" spans="2:7" ht="60" customHeight="1" x14ac:dyDescent="0.3">
      <c r="B38" s="672" t="s">
        <v>1637</v>
      </c>
    </row>
    <row r="39" spans="2:7" ht="25.95" customHeight="1" x14ac:dyDescent="0.3">
      <c r="B39" s="176" t="s">
        <v>890</v>
      </c>
    </row>
    <row r="40" spans="2:7" ht="12" customHeight="1" x14ac:dyDescent="0.3">
      <c r="B40" s="176"/>
    </row>
    <row r="41" spans="2:7" ht="25.95" customHeight="1" x14ac:dyDescent="0.3">
      <c r="B41" s="175" t="s">
        <v>1634</v>
      </c>
    </row>
    <row r="42" spans="2:7" x14ac:dyDescent="0.3">
      <c r="B42" s="174"/>
      <c r="G42" s="547"/>
    </row>
    <row r="43" spans="2:7" ht="43.2" customHeight="1" x14ac:dyDescent="0.3">
      <c r="B43" s="548" t="s">
        <v>891</v>
      </c>
    </row>
    <row r="44" spans="2:7" ht="19.95" customHeight="1" x14ac:dyDescent="0.3">
      <c r="B44" s="549" t="s">
        <v>884</v>
      </c>
    </row>
    <row r="45" spans="2:7" ht="11.4" customHeight="1" x14ac:dyDescent="0.3">
      <c r="B45" s="177"/>
    </row>
    <row r="46" spans="2:7" ht="15" x14ac:dyDescent="0.3">
      <c r="B46" s="178"/>
    </row>
    <row r="47" spans="2:7" ht="7.2" customHeight="1" x14ac:dyDescent="0.3">
      <c r="B47" s="176"/>
    </row>
    <row r="48" spans="2:7" ht="25.95" customHeight="1" x14ac:dyDescent="0.3">
      <c r="B48" s="175" t="s">
        <v>1635</v>
      </c>
    </row>
    <row r="49" spans="2:2" ht="35.4" customHeight="1" x14ac:dyDescent="0.3">
      <c r="B49" s="548" t="s">
        <v>1652</v>
      </c>
    </row>
    <row r="50" spans="2:2" ht="15" x14ac:dyDescent="0.3">
      <c r="B50" s="178"/>
    </row>
    <row r="61" spans="2:2" ht="44.25" customHeight="1" x14ac:dyDescent="0.3"/>
  </sheetData>
  <sheetProtection algorithmName="SHA-512" hashValue="6mCbF7ofHA9nK4xVpXE/2aRh/IglAwUSaZR/+SdGkINMGZC/fX8UoEZv9BB0kX09SJAdZ79JVKGY49wZouTDrA==" saltValue="c9PsqOr76TuBSmggZ8e0hg==" spinCount="100000" sheet="1" formatCells="0" formatColumns="0" formatRows="0"/>
  <hyperlinks>
    <hyperlink ref="B19" r:id="rId1" xr:uid="{C1F6514A-E8A6-43E5-A86A-05C7A391046B}"/>
    <hyperlink ref="B22" r:id="rId2" xr:uid="{B1541227-3D45-4870-904D-604AA0D245A4}"/>
    <hyperlink ref="B44" r:id="rId3" xr:uid="{4A9D302D-DF03-4083-B0C5-61ACF65C0239}"/>
    <hyperlink ref="B15"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sheetView>
  </sheetViews>
  <sheetFormatPr defaultColWidth="9.109375" defaultRowHeight="14.4" x14ac:dyDescent="0.3"/>
  <cols>
    <col min="1" max="1" width="45.109375" style="584" customWidth="1"/>
    <col min="2" max="2" width="36.44140625" style="584" customWidth="1"/>
    <col min="3" max="3" width="12.33203125" style="584" customWidth="1"/>
    <col min="4" max="4" width="1.33203125" style="584" customWidth="1"/>
    <col min="5" max="5" width="42.44140625" style="584" customWidth="1"/>
    <col min="6" max="6" width="19.88671875" style="584" customWidth="1"/>
    <col min="7" max="7" width="21.6640625" style="584" customWidth="1"/>
    <col min="8" max="8" width="6.6640625" style="584" customWidth="1"/>
    <col min="9" max="9" width="6.33203125" style="613" customWidth="1"/>
    <col min="10" max="10" width="11.6640625" style="613" hidden="1" customWidth="1"/>
    <col min="11" max="11" width="12" style="613" hidden="1" customWidth="1"/>
    <col min="12" max="12" width="17.109375" style="613" hidden="1" customWidth="1"/>
    <col min="13" max="13" width="15.109375" style="613" hidden="1" customWidth="1"/>
    <col min="14" max="14" width="15.5546875" style="613" hidden="1" customWidth="1"/>
    <col min="15" max="15" width="37.88671875" style="622" hidden="1" customWidth="1"/>
    <col min="16" max="16" width="15.109375" style="622" hidden="1" customWidth="1"/>
    <col min="17" max="17" width="26.6640625" style="613" customWidth="1"/>
    <col min="18" max="18" width="9.109375" style="613"/>
    <col min="19" max="19" width="11.44140625" style="613" customWidth="1"/>
    <col min="20" max="47" width="9.109375" style="613"/>
    <col min="48" max="16384" width="9.109375" style="584"/>
  </cols>
  <sheetData>
    <row r="1" spans="1:569" x14ac:dyDescent="0.3">
      <c r="A1" s="582"/>
      <c r="B1" s="596" t="str">
        <f>+'Unit Data from Audit Worksheet'!D2</f>
        <v>Select Unit Name from Drop Down List</v>
      </c>
      <c r="C1" s="583"/>
      <c r="D1" s="583"/>
      <c r="E1" s="639" t="s">
        <v>1526</v>
      </c>
      <c r="H1" s="583"/>
      <c r="J1" s="613" t="s">
        <v>1498</v>
      </c>
      <c r="K1" s="613" t="s">
        <v>1499</v>
      </c>
      <c r="M1" s="618" t="s">
        <v>1501</v>
      </c>
      <c r="N1" s="618" t="s">
        <v>1501</v>
      </c>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c r="DV1" s="180"/>
      <c r="DW1" s="180"/>
      <c r="DX1" s="180"/>
      <c r="DY1" s="180"/>
      <c r="DZ1" s="180"/>
      <c r="EA1" s="180"/>
      <c r="EB1" s="180"/>
      <c r="EC1" s="180"/>
      <c r="ED1" s="180"/>
      <c r="EE1" s="180"/>
      <c r="EF1" s="180"/>
      <c r="EG1" s="180"/>
      <c r="EH1" s="180"/>
      <c r="EI1" s="180"/>
      <c r="EJ1" s="180"/>
      <c r="EK1" s="180"/>
      <c r="EL1" s="180"/>
      <c r="EM1" s="180"/>
      <c r="EN1" s="180"/>
      <c r="EO1" s="180"/>
      <c r="EP1" s="180"/>
      <c r="EQ1" s="180"/>
      <c r="ER1" s="180"/>
      <c r="ES1" s="180"/>
      <c r="ET1" s="180"/>
      <c r="EU1" s="180"/>
      <c r="EV1" s="180"/>
      <c r="EW1" s="180"/>
      <c r="EX1" s="180"/>
      <c r="EY1" s="180"/>
      <c r="EZ1" s="180"/>
      <c r="FA1" s="180"/>
      <c r="FB1" s="180"/>
      <c r="FC1" s="180"/>
      <c r="FD1" s="180"/>
      <c r="FE1" s="180"/>
      <c r="FF1" s="180"/>
      <c r="FG1" s="180"/>
      <c r="FH1" s="180"/>
      <c r="FI1" s="180"/>
      <c r="FJ1" s="180"/>
      <c r="FK1" s="180"/>
      <c r="FL1" s="180"/>
      <c r="FM1" s="180"/>
      <c r="FN1" s="180"/>
      <c r="FO1" s="180"/>
      <c r="FP1" s="180"/>
      <c r="FQ1" s="180"/>
      <c r="FR1" s="180"/>
      <c r="FS1" s="180"/>
      <c r="FT1" s="180"/>
      <c r="FU1" s="180"/>
      <c r="FV1" s="180"/>
      <c r="FW1" s="180"/>
      <c r="FX1" s="180"/>
      <c r="FY1" s="180"/>
      <c r="FZ1" s="180"/>
      <c r="GA1" s="180"/>
      <c r="GB1" s="180"/>
      <c r="GC1" s="180"/>
      <c r="GD1" s="180"/>
      <c r="GE1" s="180"/>
      <c r="GF1" s="180"/>
      <c r="GG1" s="180"/>
      <c r="GH1" s="180"/>
      <c r="GI1" s="180"/>
      <c r="GJ1" s="180"/>
      <c r="GK1" s="180"/>
      <c r="GL1" s="180"/>
      <c r="GM1" s="180"/>
      <c r="GN1" s="180"/>
      <c r="GO1" s="180"/>
      <c r="GP1" s="180"/>
      <c r="GQ1" s="180"/>
      <c r="GR1" s="180"/>
      <c r="GS1" s="180"/>
      <c r="GT1" s="180"/>
      <c r="GU1" s="180"/>
      <c r="GV1" s="180"/>
      <c r="GW1" s="180"/>
      <c r="GX1" s="180"/>
      <c r="GY1" s="180"/>
      <c r="GZ1" s="180"/>
      <c r="HA1" s="180"/>
      <c r="HB1" s="180"/>
      <c r="HC1" s="180"/>
      <c r="HD1" s="180"/>
      <c r="HE1" s="180"/>
      <c r="HF1" s="180"/>
      <c r="HG1" s="180"/>
      <c r="HH1" s="180"/>
      <c r="HI1" s="180"/>
      <c r="HJ1" s="180"/>
      <c r="HK1" s="180"/>
      <c r="HL1" s="180"/>
      <c r="HM1" s="180"/>
      <c r="HN1" s="180"/>
      <c r="HO1" s="180"/>
      <c r="HP1" s="180"/>
      <c r="HQ1" s="180"/>
      <c r="HR1" s="180"/>
      <c r="HS1" s="180"/>
      <c r="HT1" s="180"/>
      <c r="HU1" s="180"/>
      <c r="HV1" s="180"/>
      <c r="HW1" s="180"/>
      <c r="HX1" s="180"/>
      <c r="HY1" s="180"/>
      <c r="HZ1" s="180"/>
      <c r="IA1" s="180"/>
      <c r="IB1" s="180"/>
      <c r="IC1" s="180"/>
      <c r="ID1" s="180"/>
      <c r="IE1" s="180"/>
      <c r="IF1" s="180"/>
      <c r="IG1" s="180"/>
      <c r="IH1" s="180"/>
      <c r="II1" s="180"/>
      <c r="IJ1" s="180"/>
      <c r="IK1" s="180"/>
      <c r="IL1" s="180"/>
      <c r="IM1" s="180"/>
      <c r="IN1" s="180"/>
      <c r="IO1" s="180"/>
      <c r="IP1" s="180"/>
      <c r="IQ1" s="180"/>
      <c r="IR1" s="180"/>
      <c r="IS1" s="180"/>
      <c r="IT1" s="180"/>
      <c r="IU1" s="180"/>
      <c r="IV1" s="180"/>
      <c r="IW1" s="180"/>
      <c r="IX1" s="180"/>
      <c r="IY1" s="180"/>
      <c r="IZ1" s="180"/>
      <c r="JA1" s="180"/>
      <c r="JB1" s="180"/>
      <c r="JC1" s="180"/>
      <c r="JD1" s="180"/>
      <c r="JE1" s="180"/>
      <c r="JF1" s="180"/>
      <c r="JG1" s="180"/>
      <c r="JH1" s="180"/>
      <c r="JI1" s="180"/>
      <c r="JJ1" s="180"/>
      <c r="JK1" s="180"/>
      <c r="JL1" s="180"/>
      <c r="JM1" s="180"/>
      <c r="JN1" s="180"/>
      <c r="JO1" s="180"/>
      <c r="JP1" s="180"/>
      <c r="JQ1" s="180"/>
      <c r="JR1" s="180"/>
      <c r="JS1" s="180"/>
      <c r="JT1" s="180"/>
      <c r="JU1" s="180"/>
      <c r="JV1" s="180"/>
      <c r="JW1" s="180"/>
      <c r="JX1" s="180"/>
      <c r="JY1" s="180"/>
      <c r="JZ1" s="180"/>
      <c r="KA1" s="180"/>
      <c r="KB1" s="180"/>
      <c r="KC1" s="180"/>
      <c r="KD1" s="180"/>
      <c r="KE1" s="180"/>
      <c r="KF1" s="180"/>
      <c r="KG1" s="180"/>
      <c r="KH1" s="180"/>
      <c r="KI1" s="180"/>
      <c r="KJ1" s="180"/>
      <c r="KK1" s="180"/>
      <c r="KL1" s="180"/>
      <c r="KM1" s="180"/>
      <c r="KN1" s="180"/>
      <c r="KO1" s="180"/>
      <c r="KP1" s="180"/>
      <c r="KQ1" s="180"/>
      <c r="KR1" s="180"/>
      <c r="KS1" s="180"/>
      <c r="KT1" s="180"/>
      <c r="KU1" s="180"/>
      <c r="KV1" s="180"/>
      <c r="KW1" s="180"/>
      <c r="KX1" s="180"/>
      <c r="KY1" s="180"/>
      <c r="KZ1" s="180"/>
      <c r="LA1" s="180"/>
      <c r="LB1" s="180"/>
      <c r="LC1" s="180"/>
      <c r="LD1" s="180"/>
      <c r="LE1" s="180"/>
      <c r="LF1" s="180"/>
      <c r="LG1" s="180"/>
      <c r="LH1" s="180"/>
      <c r="LI1" s="180"/>
      <c r="LJ1" s="180"/>
      <c r="LK1" s="180"/>
      <c r="LL1" s="180"/>
      <c r="LM1" s="180"/>
      <c r="LN1" s="180"/>
      <c r="LO1" s="180"/>
      <c r="LP1" s="180"/>
      <c r="LQ1" s="180"/>
      <c r="LR1" s="180"/>
      <c r="LS1" s="180"/>
      <c r="LT1" s="180"/>
      <c r="LU1" s="180"/>
      <c r="LV1" s="180"/>
      <c r="LW1" s="180"/>
      <c r="LX1" s="180"/>
      <c r="LY1" s="180"/>
      <c r="LZ1" s="180"/>
      <c r="MA1" s="180"/>
      <c r="MB1" s="180"/>
      <c r="MC1" s="180"/>
      <c r="MD1" s="180"/>
      <c r="ME1" s="180"/>
      <c r="MF1" s="180"/>
      <c r="MG1" s="180"/>
      <c r="MH1" s="180"/>
      <c r="MI1" s="180"/>
      <c r="MJ1" s="180"/>
      <c r="MK1" s="180"/>
      <c r="ML1" s="180"/>
      <c r="MM1" s="180"/>
      <c r="MN1" s="180"/>
      <c r="MO1" s="180"/>
      <c r="MP1" s="180"/>
      <c r="MQ1" s="180"/>
      <c r="MR1" s="180"/>
      <c r="MS1" s="180"/>
      <c r="MT1" s="180"/>
      <c r="MU1" s="180"/>
      <c r="MV1" s="180"/>
      <c r="MW1" s="180"/>
      <c r="MX1" s="180"/>
      <c r="MY1" s="180"/>
      <c r="MZ1" s="180"/>
      <c r="NA1" s="180"/>
      <c r="NB1" s="180"/>
      <c r="NC1" s="180"/>
      <c r="ND1" s="180"/>
      <c r="NE1" s="180"/>
      <c r="NF1" s="180"/>
      <c r="NG1" s="180"/>
      <c r="NH1" s="180"/>
      <c r="NI1" s="180"/>
      <c r="NJ1" s="180"/>
      <c r="NK1" s="180"/>
      <c r="NL1" s="180"/>
      <c r="NM1" s="180"/>
      <c r="NN1" s="180"/>
      <c r="NO1" s="180"/>
      <c r="NP1" s="180"/>
      <c r="NQ1" s="180"/>
      <c r="NR1" s="180"/>
      <c r="NS1" s="180"/>
      <c r="NT1" s="180"/>
      <c r="NU1" s="180"/>
      <c r="NV1" s="180"/>
      <c r="NW1" s="180"/>
      <c r="NX1" s="180"/>
      <c r="NY1" s="180"/>
      <c r="NZ1" s="180"/>
      <c r="OA1" s="180"/>
      <c r="OB1" s="180"/>
      <c r="OC1" s="180"/>
      <c r="OD1" s="180"/>
      <c r="OE1" s="180"/>
      <c r="OF1" s="180"/>
      <c r="OG1" s="180"/>
      <c r="OH1" s="180"/>
      <c r="OI1" s="180"/>
      <c r="OJ1" s="180"/>
      <c r="OK1" s="180"/>
      <c r="OL1" s="180"/>
      <c r="OM1" s="180"/>
      <c r="ON1" s="180"/>
      <c r="OO1" s="180"/>
      <c r="OP1" s="180"/>
      <c r="OQ1" s="180"/>
      <c r="OR1" s="180"/>
      <c r="OS1" s="180"/>
      <c r="OT1" s="180"/>
      <c r="OU1" s="180"/>
      <c r="OV1" s="180"/>
      <c r="OW1" s="180"/>
      <c r="OX1" s="180"/>
      <c r="OY1" s="180"/>
      <c r="OZ1" s="180"/>
      <c r="PA1" s="180"/>
      <c r="PB1" s="180"/>
      <c r="PC1" s="180"/>
      <c r="PD1" s="180"/>
      <c r="PE1" s="180"/>
      <c r="PF1" s="180"/>
      <c r="PG1" s="180"/>
      <c r="PH1" s="180"/>
      <c r="PI1" s="180"/>
      <c r="PJ1" s="180"/>
      <c r="PK1" s="180"/>
      <c r="PL1" s="180"/>
      <c r="PM1" s="180"/>
      <c r="PN1" s="180"/>
      <c r="PO1" s="180"/>
      <c r="PP1" s="180"/>
      <c r="PQ1" s="180"/>
      <c r="PR1" s="180"/>
      <c r="PS1" s="180"/>
      <c r="PT1" s="180"/>
      <c r="PU1" s="180"/>
      <c r="PV1" s="180"/>
      <c r="PW1" s="180"/>
      <c r="PX1" s="180"/>
      <c r="PY1" s="180"/>
      <c r="PZ1" s="180"/>
      <c r="QA1" s="180"/>
      <c r="QB1" s="180"/>
      <c r="QC1" s="180"/>
      <c r="QD1" s="180"/>
      <c r="QE1" s="180"/>
      <c r="QF1" s="180"/>
      <c r="QG1" s="180"/>
      <c r="QH1" s="180"/>
      <c r="QI1" s="180"/>
      <c r="QJ1" s="180"/>
      <c r="QK1" s="180"/>
      <c r="QL1" s="180"/>
      <c r="QM1" s="180"/>
      <c r="QN1" s="180"/>
      <c r="QO1" s="180"/>
      <c r="QP1" s="180"/>
      <c r="QQ1" s="180"/>
      <c r="QR1" s="180"/>
      <c r="QS1" s="180"/>
      <c r="QT1" s="180"/>
      <c r="QU1" s="180"/>
      <c r="QV1" s="180"/>
      <c r="QW1" s="180"/>
      <c r="QX1" s="180"/>
      <c r="QY1" s="180"/>
      <c r="QZ1" s="180"/>
      <c r="RA1" s="180"/>
      <c r="RB1" s="180"/>
      <c r="RC1" s="180"/>
      <c r="RD1" s="180"/>
      <c r="RE1" s="180"/>
      <c r="RF1" s="180"/>
      <c r="RG1" s="180"/>
      <c r="RH1" s="180"/>
      <c r="RI1" s="180"/>
      <c r="RJ1" s="180"/>
      <c r="RK1" s="180"/>
      <c r="RL1" s="180"/>
      <c r="RM1" s="180"/>
      <c r="RN1" s="180"/>
      <c r="RO1" s="180"/>
      <c r="RP1" s="180"/>
      <c r="RQ1" s="180"/>
      <c r="RR1" s="180"/>
      <c r="RS1" s="180"/>
      <c r="RT1" s="180"/>
      <c r="RU1" s="180"/>
      <c r="RV1" s="180"/>
      <c r="RW1" s="180"/>
      <c r="RX1" s="180"/>
      <c r="RY1" s="180"/>
      <c r="RZ1" s="180"/>
      <c r="SA1" s="180"/>
      <c r="SB1" s="180"/>
      <c r="SC1" s="180"/>
      <c r="SD1" s="180"/>
      <c r="SE1" s="180"/>
      <c r="SF1" s="180"/>
      <c r="SG1" s="180"/>
      <c r="SH1" s="180"/>
      <c r="SI1" s="180"/>
      <c r="SJ1" s="180"/>
      <c r="SK1" s="180"/>
      <c r="SL1" s="180"/>
      <c r="SM1" s="180"/>
      <c r="SN1" s="180"/>
      <c r="SO1" s="180"/>
      <c r="SP1" s="180"/>
      <c r="SQ1" s="180"/>
      <c r="SR1" s="180"/>
      <c r="SS1" s="180"/>
      <c r="ST1" s="180"/>
      <c r="SU1" s="180"/>
      <c r="SV1" s="180"/>
      <c r="SW1" s="180"/>
      <c r="SX1" s="180"/>
      <c r="SY1" s="180"/>
      <c r="SZ1" s="180"/>
      <c r="TA1" s="180"/>
      <c r="TB1" s="180"/>
      <c r="TC1" s="180"/>
      <c r="TD1" s="180"/>
      <c r="TE1" s="180"/>
      <c r="TF1" s="180"/>
      <c r="TG1" s="180"/>
      <c r="TH1" s="180"/>
      <c r="TI1" s="180"/>
      <c r="TJ1" s="180"/>
      <c r="TK1" s="180"/>
      <c r="TL1" s="180"/>
      <c r="TM1" s="180"/>
      <c r="TN1" s="180"/>
      <c r="TO1" s="180"/>
      <c r="TP1" s="180"/>
      <c r="TQ1" s="180"/>
      <c r="TR1" s="180"/>
      <c r="TS1" s="180"/>
      <c r="TT1" s="180"/>
      <c r="TU1" s="180"/>
      <c r="TV1" s="180"/>
      <c r="TW1" s="180"/>
      <c r="TX1" s="180"/>
      <c r="TY1" s="180"/>
      <c r="TZ1" s="180"/>
      <c r="UA1" s="180"/>
      <c r="UB1" s="180"/>
      <c r="UC1" s="180"/>
      <c r="UD1" s="180"/>
      <c r="UE1" s="180"/>
      <c r="UF1" s="180"/>
      <c r="UG1" s="180"/>
      <c r="UH1" s="180"/>
      <c r="UI1" s="180"/>
      <c r="UJ1" s="180"/>
      <c r="UK1" s="180"/>
      <c r="UL1" s="180"/>
      <c r="UM1" s="180"/>
      <c r="UN1" s="180"/>
      <c r="UO1" s="180"/>
      <c r="UP1" s="180"/>
      <c r="UQ1" s="180"/>
      <c r="UR1" s="180"/>
      <c r="US1" s="180"/>
      <c r="UT1" s="180"/>
      <c r="UU1" s="180"/>
      <c r="UV1" s="180"/>
      <c r="UW1" s="180"/>
    </row>
    <row r="2" spans="1:569" x14ac:dyDescent="0.3">
      <c r="A2" s="582" t="s">
        <v>1520</v>
      </c>
      <c r="B2" s="582" t="e">
        <f>+'Unit Data from Audit Worksheet'!D3</f>
        <v>#N/A</v>
      </c>
      <c r="C2" s="583"/>
      <c r="D2" s="583"/>
      <c r="E2" s="640" t="s">
        <v>1525</v>
      </c>
      <c r="H2" s="583"/>
      <c r="M2" s="619" t="s">
        <v>1502</v>
      </c>
      <c r="N2" s="619" t="s">
        <v>1506</v>
      </c>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c r="DP2" s="180"/>
      <c r="DQ2" s="180"/>
      <c r="DR2" s="180"/>
      <c r="DS2" s="180"/>
      <c r="DT2" s="180"/>
      <c r="DU2" s="180"/>
      <c r="DV2" s="180"/>
      <c r="DW2" s="180"/>
      <c r="DX2" s="180"/>
      <c r="DY2" s="180"/>
      <c r="DZ2" s="180"/>
      <c r="EA2" s="180"/>
      <c r="EB2" s="180"/>
      <c r="EC2" s="180"/>
      <c r="ED2" s="180"/>
      <c r="EE2" s="180"/>
      <c r="EF2" s="180"/>
      <c r="EG2" s="180"/>
      <c r="EH2" s="180"/>
      <c r="EI2" s="180"/>
      <c r="EJ2" s="180"/>
      <c r="EK2" s="180"/>
      <c r="EL2" s="180"/>
      <c r="EM2" s="180"/>
      <c r="EN2" s="180"/>
      <c r="EO2" s="180"/>
      <c r="EP2" s="180"/>
      <c r="EQ2" s="180"/>
      <c r="ER2" s="180"/>
      <c r="ES2" s="180"/>
      <c r="ET2" s="180"/>
      <c r="EU2" s="180"/>
      <c r="EV2" s="180"/>
      <c r="EW2" s="180"/>
      <c r="EX2" s="180"/>
      <c r="EY2" s="180"/>
      <c r="EZ2" s="180"/>
      <c r="FA2" s="180"/>
      <c r="FB2" s="180"/>
      <c r="FC2" s="180"/>
      <c r="FD2" s="180"/>
      <c r="FE2" s="180"/>
      <c r="FF2" s="180"/>
      <c r="FG2" s="180"/>
      <c r="FH2" s="180"/>
      <c r="FI2" s="180"/>
      <c r="FJ2" s="180"/>
      <c r="FK2" s="180"/>
      <c r="FL2" s="180"/>
      <c r="FM2" s="180"/>
      <c r="FN2" s="180"/>
      <c r="FO2" s="180"/>
      <c r="FP2" s="180"/>
      <c r="FQ2" s="180"/>
      <c r="FR2" s="180"/>
      <c r="FS2" s="180"/>
      <c r="FT2" s="180"/>
      <c r="FU2" s="180"/>
      <c r="FV2" s="180"/>
      <c r="FW2" s="180"/>
      <c r="FX2" s="180"/>
      <c r="FY2" s="180"/>
      <c r="FZ2" s="180"/>
      <c r="GA2" s="180"/>
      <c r="GB2" s="180"/>
      <c r="GC2" s="180"/>
      <c r="GD2" s="180"/>
      <c r="GE2" s="180"/>
      <c r="GF2" s="180"/>
      <c r="GG2" s="180"/>
      <c r="GH2" s="180"/>
      <c r="GI2" s="180"/>
      <c r="GJ2" s="180"/>
      <c r="GK2" s="180"/>
      <c r="GL2" s="180"/>
      <c r="GM2" s="180"/>
      <c r="GN2" s="180"/>
      <c r="GO2" s="180"/>
      <c r="GP2" s="180"/>
      <c r="GQ2" s="180"/>
      <c r="GR2" s="180"/>
      <c r="GS2" s="180"/>
      <c r="GT2" s="180"/>
      <c r="GU2" s="180"/>
      <c r="GV2" s="180"/>
      <c r="GW2" s="180"/>
      <c r="GX2" s="180"/>
      <c r="GY2" s="180"/>
      <c r="GZ2" s="180"/>
      <c r="HA2" s="180"/>
      <c r="HB2" s="180"/>
      <c r="HC2" s="180"/>
      <c r="HD2" s="180"/>
      <c r="HE2" s="180"/>
      <c r="HF2" s="180"/>
      <c r="HG2" s="180"/>
      <c r="HH2" s="180"/>
      <c r="HI2" s="180"/>
      <c r="HJ2" s="180"/>
      <c r="HK2" s="180"/>
      <c r="HL2" s="180"/>
      <c r="HM2" s="180"/>
      <c r="HN2" s="180"/>
      <c r="HO2" s="180"/>
      <c r="HP2" s="180"/>
      <c r="HQ2" s="180"/>
      <c r="HR2" s="180"/>
      <c r="HS2" s="180"/>
      <c r="HT2" s="180"/>
      <c r="HU2" s="180"/>
      <c r="HV2" s="180"/>
      <c r="HW2" s="180"/>
      <c r="HX2" s="180"/>
      <c r="HY2" s="180"/>
      <c r="HZ2" s="180"/>
      <c r="IA2" s="180"/>
      <c r="IB2" s="180"/>
      <c r="IC2" s="180"/>
      <c r="ID2" s="180"/>
      <c r="IE2" s="180"/>
      <c r="IF2" s="180"/>
      <c r="IG2" s="180"/>
      <c r="IH2" s="180"/>
      <c r="II2" s="180"/>
      <c r="IJ2" s="180"/>
      <c r="IK2" s="180"/>
      <c r="IL2" s="180"/>
      <c r="IM2" s="180"/>
      <c r="IN2" s="180"/>
      <c r="IO2" s="180"/>
      <c r="IP2" s="180"/>
      <c r="IQ2" s="180"/>
      <c r="IR2" s="180"/>
      <c r="IS2" s="180"/>
      <c r="IT2" s="180"/>
      <c r="IU2" s="180"/>
      <c r="IV2" s="180"/>
      <c r="IW2" s="180"/>
      <c r="IX2" s="180"/>
      <c r="IY2" s="180"/>
      <c r="IZ2" s="180"/>
      <c r="JA2" s="180"/>
      <c r="JB2" s="180"/>
      <c r="JC2" s="180"/>
      <c r="JD2" s="180"/>
      <c r="JE2" s="180"/>
      <c r="JF2" s="180"/>
      <c r="JG2" s="180"/>
      <c r="JH2" s="180"/>
      <c r="JI2" s="180"/>
      <c r="JJ2" s="180"/>
      <c r="JK2" s="180"/>
      <c r="JL2" s="180"/>
      <c r="JM2" s="180"/>
      <c r="JN2" s="180"/>
      <c r="JO2" s="180"/>
      <c r="JP2" s="180"/>
      <c r="JQ2" s="180"/>
      <c r="JR2" s="180"/>
      <c r="JS2" s="180"/>
      <c r="JT2" s="180"/>
      <c r="JU2" s="180"/>
      <c r="JV2" s="180"/>
      <c r="JW2" s="180"/>
      <c r="JX2" s="180"/>
      <c r="JY2" s="180"/>
      <c r="JZ2" s="180"/>
      <c r="KA2" s="180"/>
      <c r="KB2" s="180"/>
      <c r="KC2" s="180"/>
      <c r="KD2" s="180"/>
      <c r="KE2" s="180"/>
      <c r="KF2" s="180"/>
      <c r="KG2" s="180"/>
      <c r="KH2" s="180"/>
      <c r="KI2" s="180"/>
      <c r="KJ2" s="180"/>
      <c r="KK2" s="180"/>
      <c r="KL2" s="180"/>
      <c r="KM2" s="180"/>
      <c r="KN2" s="180"/>
      <c r="KO2" s="180"/>
      <c r="KP2" s="180"/>
      <c r="KQ2" s="180"/>
      <c r="KR2" s="180"/>
      <c r="KS2" s="180"/>
      <c r="KT2" s="180"/>
      <c r="KU2" s="180"/>
      <c r="KV2" s="180"/>
      <c r="KW2" s="180"/>
      <c r="KX2" s="180"/>
      <c r="KY2" s="180"/>
      <c r="KZ2" s="180"/>
      <c r="LA2" s="180"/>
      <c r="LB2" s="180"/>
      <c r="LC2" s="180"/>
      <c r="LD2" s="180"/>
      <c r="LE2" s="180"/>
      <c r="LF2" s="180"/>
      <c r="LG2" s="180"/>
      <c r="LH2" s="180"/>
      <c r="LI2" s="180"/>
      <c r="LJ2" s="180"/>
      <c r="LK2" s="180"/>
      <c r="LL2" s="180"/>
      <c r="LM2" s="180"/>
      <c r="LN2" s="180"/>
      <c r="LO2" s="180"/>
      <c r="LP2" s="180"/>
      <c r="LQ2" s="180"/>
      <c r="LR2" s="180"/>
      <c r="LS2" s="180"/>
      <c r="LT2" s="180"/>
      <c r="LU2" s="180"/>
      <c r="LV2" s="180"/>
      <c r="LW2" s="180"/>
      <c r="LX2" s="180"/>
      <c r="LY2" s="180"/>
      <c r="LZ2" s="180"/>
      <c r="MA2" s="180"/>
      <c r="MB2" s="180"/>
      <c r="MC2" s="180"/>
      <c r="MD2" s="180"/>
      <c r="ME2" s="180"/>
      <c r="MF2" s="180"/>
      <c r="MG2" s="180"/>
      <c r="MH2" s="180"/>
      <c r="MI2" s="180"/>
      <c r="MJ2" s="180"/>
      <c r="MK2" s="180"/>
      <c r="ML2" s="180"/>
      <c r="MM2" s="180"/>
      <c r="MN2" s="180"/>
      <c r="MO2" s="180"/>
      <c r="MP2" s="180"/>
      <c r="MQ2" s="180"/>
      <c r="MR2" s="180"/>
      <c r="MS2" s="180"/>
      <c r="MT2" s="180"/>
      <c r="MU2" s="180"/>
      <c r="MV2" s="180"/>
      <c r="MW2" s="180"/>
      <c r="MX2" s="180"/>
      <c r="MY2" s="180"/>
      <c r="MZ2" s="180"/>
      <c r="NA2" s="180"/>
      <c r="NB2" s="180"/>
      <c r="NC2" s="180"/>
      <c r="ND2" s="180"/>
      <c r="NE2" s="180"/>
      <c r="NF2" s="180"/>
      <c r="NG2" s="180"/>
      <c r="NH2" s="180"/>
      <c r="NI2" s="180"/>
      <c r="NJ2" s="180"/>
      <c r="NK2" s="180"/>
      <c r="NL2" s="180"/>
      <c r="NM2" s="180"/>
      <c r="NN2" s="180"/>
      <c r="NO2" s="180"/>
      <c r="NP2" s="180"/>
      <c r="NQ2" s="180"/>
      <c r="NR2" s="180"/>
      <c r="NS2" s="180"/>
      <c r="NT2" s="180"/>
      <c r="NU2" s="180"/>
      <c r="NV2" s="180"/>
      <c r="NW2" s="180"/>
      <c r="NX2" s="180"/>
      <c r="NY2" s="180"/>
      <c r="NZ2" s="180"/>
      <c r="OA2" s="180"/>
      <c r="OB2" s="180"/>
      <c r="OC2" s="180"/>
      <c r="OD2" s="180"/>
      <c r="OE2" s="180"/>
      <c r="OF2" s="180"/>
      <c r="OG2" s="180"/>
      <c r="OH2" s="180"/>
      <c r="OI2" s="180"/>
      <c r="OJ2" s="180"/>
      <c r="OK2" s="180"/>
      <c r="OL2" s="180"/>
      <c r="OM2" s="180"/>
      <c r="ON2" s="180"/>
      <c r="OO2" s="180"/>
      <c r="OP2" s="180"/>
      <c r="OQ2" s="180"/>
      <c r="OR2" s="180"/>
      <c r="OS2" s="180"/>
      <c r="OT2" s="180"/>
      <c r="OU2" s="180"/>
      <c r="OV2" s="180"/>
      <c r="OW2" s="180"/>
      <c r="OX2" s="180"/>
      <c r="OY2" s="180"/>
      <c r="OZ2" s="180"/>
      <c r="PA2" s="180"/>
      <c r="PB2" s="180"/>
      <c r="PC2" s="180"/>
      <c r="PD2" s="180"/>
      <c r="PE2" s="180"/>
      <c r="PF2" s="180"/>
      <c r="PG2" s="180"/>
      <c r="PH2" s="180"/>
      <c r="PI2" s="180"/>
      <c r="PJ2" s="180"/>
      <c r="PK2" s="180"/>
      <c r="PL2" s="180"/>
      <c r="PM2" s="180"/>
      <c r="PN2" s="180"/>
      <c r="PO2" s="180"/>
      <c r="PP2" s="180"/>
      <c r="PQ2" s="180"/>
      <c r="PR2" s="180"/>
      <c r="PS2" s="180"/>
      <c r="PT2" s="180"/>
      <c r="PU2" s="180"/>
      <c r="PV2" s="180"/>
      <c r="PW2" s="180"/>
      <c r="PX2" s="180"/>
      <c r="PY2" s="180"/>
      <c r="PZ2" s="180"/>
      <c r="QA2" s="180"/>
      <c r="QB2" s="180"/>
      <c r="QC2" s="180"/>
      <c r="QD2" s="180"/>
      <c r="QE2" s="180"/>
      <c r="QF2" s="180"/>
      <c r="QG2" s="180"/>
      <c r="QH2" s="180"/>
      <c r="QI2" s="180"/>
      <c r="QJ2" s="180"/>
      <c r="QK2" s="180"/>
      <c r="QL2" s="180"/>
      <c r="QM2" s="180"/>
      <c r="QN2" s="180"/>
      <c r="QO2" s="180"/>
      <c r="QP2" s="180"/>
      <c r="QQ2" s="180"/>
      <c r="QR2" s="180"/>
      <c r="QS2" s="180"/>
      <c r="QT2" s="180"/>
      <c r="QU2" s="180"/>
      <c r="QV2" s="180"/>
      <c r="QW2" s="180"/>
      <c r="QX2" s="180"/>
      <c r="QY2" s="180"/>
      <c r="QZ2" s="180"/>
      <c r="RA2" s="180"/>
      <c r="RB2" s="180"/>
      <c r="RC2" s="180"/>
      <c r="RD2" s="180"/>
      <c r="RE2" s="180"/>
      <c r="RF2" s="180"/>
      <c r="RG2" s="180"/>
      <c r="RH2" s="180"/>
      <c r="RI2" s="180"/>
      <c r="RJ2" s="180"/>
      <c r="RK2" s="180"/>
      <c r="RL2" s="180"/>
      <c r="RM2" s="180"/>
      <c r="RN2" s="180"/>
      <c r="RO2" s="180"/>
      <c r="RP2" s="180"/>
      <c r="RQ2" s="180"/>
      <c r="RR2" s="180"/>
      <c r="RS2" s="180"/>
      <c r="RT2" s="180"/>
      <c r="RU2" s="180"/>
      <c r="RV2" s="180"/>
      <c r="RW2" s="180"/>
      <c r="RX2" s="180"/>
      <c r="RY2" s="180"/>
      <c r="RZ2" s="180"/>
      <c r="SA2" s="180"/>
      <c r="SB2" s="180"/>
      <c r="SC2" s="180"/>
      <c r="SD2" s="180"/>
      <c r="SE2" s="180"/>
      <c r="SF2" s="180"/>
      <c r="SG2" s="180"/>
      <c r="SH2" s="180"/>
      <c r="SI2" s="180"/>
      <c r="SJ2" s="180"/>
      <c r="SK2" s="180"/>
      <c r="SL2" s="180"/>
      <c r="SM2" s="180"/>
      <c r="SN2" s="180"/>
      <c r="SO2" s="180"/>
      <c r="SP2" s="180"/>
      <c r="SQ2" s="180"/>
      <c r="SR2" s="180"/>
      <c r="SS2" s="180"/>
      <c r="ST2" s="180"/>
      <c r="SU2" s="180"/>
      <c r="SV2" s="180"/>
      <c r="SW2" s="180"/>
      <c r="SX2" s="180"/>
      <c r="SY2" s="180"/>
      <c r="SZ2" s="180"/>
      <c r="TA2" s="180"/>
      <c r="TB2" s="180"/>
      <c r="TC2" s="180"/>
      <c r="TD2" s="180"/>
      <c r="TE2" s="180"/>
      <c r="TF2" s="180"/>
      <c r="TG2" s="180"/>
      <c r="TH2" s="180"/>
      <c r="TI2" s="180"/>
      <c r="TJ2" s="180"/>
      <c r="TK2" s="180"/>
      <c r="TL2" s="180"/>
      <c r="TM2" s="180"/>
      <c r="TN2" s="180"/>
      <c r="TO2" s="180"/>
      <c r="TP2" s="180"/>
      <c r="TQ2" s="180"/>
      <c r="TR2" s="180"/>
      <c r="TS2" s="180"/>
      <c r="TT2" s="180"/>
      <c r="TU2" s="180"/>
      <c r="TV2" s="180"/>
      <c r="TW2" s="180"/>
      <c r="TX2" s="180"/>
      <c r="TY2" s="180"/>
      <c r="TZ2" s="180"/>
      <c r="UA2" s="180"/>
      <c r="UB2" s="180"/>
      <c r="UC2" s="180"/>
      <c r="UD2" s="180"/>
      <c r="UE2" s="180"/>
      <c r="UF2" s="180"/>
      <c r="UG2" s="180"/>
      <c r="UH2" s="180"/>
      <c r="UI2" s="180"/>
      <c r="UJ2" s="180"/>
      <c r="UK2" s="180"/>
      <c r="UL2" s="180"/>
      <c r="UM2" s="180"/>
      <c r="UN2" s="180"/>
      <c r="UO2" s="180"/>
      <c r="UP2" s="180"/>
      <c r="UQ2" s="180"/>
      <c r="UR2" s="180"/>
      <c r="US2" s="180"/>
      <c r="UT2" s="180"/>
      <c r="UU2" s="180"/>
      <c r="UV2" s="180"/>
      <c r="UW2" s="180"/>
    </row>
    <row r="3" spans="1:569" x14ac:dyDescent="0.3">
      <c r="A3" s="582" t="e">
        <f>IF(LEN(VLOOKUP(B1,$L$4:$O$555,4,FALSE))=0,"",(VLOOKUP(B1,$L$4:$O$555,4,FALSE)))</f>
        <v>#N/A</v>
      </c>
      <c r="B3" s="582" t="s">
        <v>1521</v>
      </c>
      <c r="C3" s="583"/>
      <c r="D3" s="583"/>
      <c r="H3" s="583"/>
      <c r="J3" s="613" t="s">
        <v>385</v>
      </c>
      <c r="K3" s="613" t="s">
        <v>385</v>
      </c>
      <c r="M3" s="620" t="s">
        <v>1503</v>
      </c>
      <c r="N3" s="620" t="s">
        <v>1505</v>
      </c>
    </row>
    <row r="4" spans="1:569" x14ac:dyDescent="0.3">
      <c r="A4" s="1182" t="s">
        <v>565</v>
      </c>
      <c r="B4" s="1182"/>
      <c r="C4" s="1182"/>
      <c r="D4" s="583"/>
      <c r="E4" s="1183" t="s">
        <v>566</v>
      </c>
      <c r="F4" s="1183"/>
      <c r="G4" s="583"/>
      <c r="H4" s="583"/>
      <c r="L4" s="613" t="s">
        <v>476</v>
      </c>
      <c r="M4" s="613" t="s">
        <v>464</v>
      </c>
      <c r="N4" s="613" t="s">
        <v>464</v>
      </c>
      <c r="O4" s="613"/>
    </row>
    <row r="5" spans="1:569" ht="15" thickBot="1" x14ac:dyDescent="0.35">
      <c r="A5" s="585"/>
      <c r="B5" s="586"/>
      <c r="C5" s="585"/>
      <c r="D5" s="587"/>
      <c r="E5" s="585"/>
      <c r="F5" s="586"/>
      <c r="G5" s="586"/>
      <c r="H5" s="583"/>
      <c r="K5" s="622"/>
      <c r="L5" s="613" t="s">
        <v>1154</v>
      </c>
      <c r="M5" s="613" t="s">
        <v>464</v>
      </c>
      <c r="N5" s="613" t="s">
        <v>464</v>
      </c>
      <c r="O5" s="613"/>
    </row>
    <row r="6" spans="1:569" ht="15" thickBot="1" x14ac:dyDescent="0.35">
      <c r="A6" s="588" t="s">
        <v>567</v>
      </c>
      <c r="B6" s="589" t="e">
        <f>VLOOKUP(B1,$L$4:$M$555,2,FALSE)</f>
        <v>#N/A</v>
      </c>
      <c r="C6" s="589"/>
      <c r="D6" s="589"/>
      <c r="H6" s="589"/>
      <c r="L6" s="613" t="s">
        <v>1155</v>
      </c>
      <c r="M6" s="613" t="s">
        <v>464</v>
      </c>
      <c r="N6" s="613" t="s">
        <v>464</v>
      </c>
      <c r="O6" s="613"/>
    </row>
    <row r="7" spans="1:569" ht="15" thickBot="1" x14ac:dyDescent="0.35">
      <c r="A7" s="583" t="s">
        <v>665</v>
      </c>
      <c r="B7" s="254" t="e">
        <f>HLOOKUP(B1,'PY1 Data(H)'!D1:CZ282,127,FALSE)+HLOOKUP(B1,'PY1 Data(H)'!D1:CZ282,70,FALSE)</f>
        <v>#N/A</v>
      </c>
      <c r="C7" s="255"/>
      <c r="D7" s="255"/>
      <c r="E7" s="583" t="s">
        <v>571</v>
      </c>
      <c r="F7" s="642">
        <f>Import!L135</f>
        <v>0</v>
      </c>
      <c r="G7" s="589"/>
      <c r="H7" s="583"/>
      <c r="J7" s="613">
        <v>527</v>
      </c>
      <c r="K7" s="622">
        <v>366</v>
      </c>
      <c r="L7" s="616" t="s">
        <v>1156</v>
      </c>
      <c r="M7" s="616" t="s">
        <v>464</v>
      </c>
      <c r="N7" s="616">
        <v>0.05</v>
      </c>
      <c r="O7" s="613" t="s">
        <v>1522</v>
      </c>
    </row>
    <row r="8" spans="1:569" ht="15" thickBot="1" x14ac:dyDescent="0.35">
      <c r="A8" s="583" t="s">
        <v>569</v>
      </c>
      <c r="B8" s="636" t="e">
        <f>IF(B6="N/A","N/A",B6*B7)</f>
        <v>#N/A</v>
      </c>
      <c r="C8" s="256"/>
      <c r="D8" s="256"/>
      <c r="E8" s="638" t="s">
        <v>1158</v>
      </c>
      <c r="F8" s="642">
        <f>Import!L195</f>
        <v>0</v>
      </c>
      <c r="G8" s="582"/>
      <c r="H8" s="583"/>
      <c r="J8" s="621">
        <v>356</v>
      </c>
      <c r="K8" s="613">
        <v>1051</v>
      </c>
      <c r="L8" s="613" t="s">
        <v>1157</v>
      </c>
      <c r="M8" s="613" t="s">
        <v>464</v>
      </c>
      <c r="N8" s="613" t="s">
        <v>464</v>
      </c>
      <c r="O8" s="613"/>
    </row>
    <row r="9" spans="1:569" ht="15" thickBot="1" x14ac:dyDescent="0.35">
      <c r="A9" s="583"/>
      <c r="B9" s="583"/>
      <c r="C9" s="583"/>
      <c r="D9" s="583"/>
      <c r="E9" s="583"/>
      <c r="F9" s="583"/>
      <c r="G9" s="583"/>
      <c r="H9" s="583"/>
      <c r="L9" s="613" t="s">
        <v>477</v>
      </c>
      <c r="M9" s="613" t="s">
        <v>464</v>
      </c>
      <c r="N9" s="613" t="s">
        <v>464</v>
      </c>
      <c r="O9" s="613"/>
    </row>
    <row r="10" spans="1:569" ht="15" thickBot="1" x14ac:dyDescent="0.35">
      <c r="A10" s="588" t="s">
        <v>570</v>
      </c>
      <c r="B10" s="589" t="e">
        <f>VLOOKUP(B1,$L$4:$N$555,3,FALSE)</f>
        <v>#N/A</v>
      </c>
      <c r="C10" s="589"/>
      <c r="D10" s="589"/>
      <c r="E10" s="589"/>
      <c r="F10" s="589"/>
      <c r="G10" s="589"/>
      <c r="H10" s="589"/>
      <c r="L10" s="613" t="s">
        <v>1159</v>
      </c>
      <c r="M10" s="613" t="s">
        <v>464</v>
      </c>
      <c r="N10" s="613" t="s">
        <v>464</v>
      </c>
      <c r="O10" s="613"/>
    </row>
    <row r="11" spans="1:569" ht="15" thickBot="1" x14ac:dyDescent="0.35">
      <c r="A11" s="583" t="s">
        <v>666</v>
      </c>
      <c r="B11" s="590" t="e">
        <f>HLOOKUP(B1,'PY1 Data(H)'!D1:CZ282,35,FALSE)</f>
        <v>#N/A</v>
      </c>
      <c r="C11" s="591"/>
      <c r="D11" s="591"/>
      <c r="E11" s="637" t="s">
        <v>1524</v>
      </c>
      <c r="F11" s="636">
        <f>F7-F8</f>
        <v>0</v>
      </c>
      <c r="G11" s="583"/>
      <c r="H11" s="583"/>
      <c r="J11" s="613">
        <v>93</v>
      </c>
      <c r="L11" s="613" t="s">
        <v>1160</v>
      </c>
      <c r="M11" s="613" t="s">
        <v>464</v>
      </c>
      <c r="N11" s="613" t="s">
        <v>464</v>
      </c>
      <c r="O11" s="613"/>
    </row>
    <row r="12" spans="1:569" ht="15" thickBot="1" x14ac:dyDescent="0.35">
      <c r="A12" s="583" t="s">
        <v>569</v>
      </c>
      <c r="B12" s="636" t="e">
        <f>IF(B10="N/A","N/A",B10*B11)</f>
        <v>#N/A</v>
      </c>
      <c r="C12" s="256"/>
      <c r="D12" s="256"/>
      <c r="G12" s="583"/>
      <c r="H12" s="583"/>
      <c r="L12" s="615" t="s">
        <v>1161</v>
      </c>
      <c r="M12" s="615">
        <v>0.03</v>
      </c>
      <c r="N12" s="615">
        <v>0.05</v>
      </c>
      <c r="O12" s="613" t="s">
        <v>1527</v>
      </c>
      <c r="P12" s="622" t="s">
        <v>1523</v>
      </c>
    </row>
    <row r="13" spans="1:569" x14ac:dyDescent="0.3">
      <c r="A13" s="583"/>
      <c r="B13" s="592"/>
      <c r="C13" s="583"/>
      <c r="D13" s="583"/>
      <c r="E13" s="583"/>
      <c r="F13" s="583"/>
      <c r="G13" s="583"/>
      <c r="H13" s="583"/>
      <c r="L13" s="613" t="s">
        <v>1162</v>
      </c>
      <c r="M13" s="613" t="s">
        <v>464</v>
      </c>
      <c r="N13" s="613" t="s">
        <v>464</v>
      </c>
      <c r="O13" s="613"/>
    </row>
    <row r="14" spans="1:569" x14ac:dyDescent="0.3">
      <c r="A14" s="585"/>
      <c r="B14" s="586"/>
      <c r="C14" s="585"/>
      <c r="D14" s="587"/>
      <c r="E14" s="585"/>
      <c r="F14" s="586"/>
      <c r="G14" s="586"/>
      <c r="H14" s="257"/>
      <c r="L14" s="613" t="s">
        <v>1163</v>
      </c>
      <c r="M14" s="613" t="s">
        <v>464</v>
      </c>
      <c r="N14" s="613" t="s">
        <v>464</v>
      </c>
      <c r="O14" s="613"/>
    </row>
    <row r="15" spans="1:569" ht="15" thickBot="1" x14ac:dyDescent="0.35">
      <c r="A15" s="593" t="s">
        <v>572</v>
      </c>
      <c r="B15" s="583"/>
      <c r="C15" s="583"/>
      <c r="D15" s="583"/>
      <c r="E15" s="593" t="s">
        <v>572</v>
      </c>
      <c r="F15" s="582" t="s">
        <v>573</v>
      </c>
      <c r="G15" s="582" t="s">
        <v>574</v>
      </c>
      <c r="H15" s="583"/>
      <c r="L15" s="613" t="s">
        <v>1164</v>
      </c>
      <c r="M15" s="613" t="s">
        <v>464</v>
      </c>
      <c r="N15" s="613" t="s">
        <v>464</v>
      </c>
      <c r="O15" s="613"/>
    </row>
    <row r="16" spans="1:569" ht="15" thickBot="1" x14ac:dyDescent="0.35">
      <c r="A16" s="583" t="s">
        <v>568</v>
      </c>
      <c r="B16" s="254" t="e">
        <f>+B7</f>
        <v>#N/A</v>
      </c>
      <c r="C16" s="255"/>
      <c r="D16" s="255"/>
      <c r="E16" s="583" t="s">
        <v>575</v>
      </c>
      <c r="F16" s="643">
        <f>Import!L194</f>
        <v>0</v>
      </c>
      <c r="G16" s="601" t="e">
        <f>+B18</f>
        <v>#N/A</v>
      </c>
      <c r="H16" s="583"/>
      <c r="K16" s="613">
        <v>990</v>
      </c>
      <c r="L16" s="613" t="s">
        <v>1165</v>
      </c>
      <c r="M16" s="613" t="s">
        <v>464</v>
      </c>
      <c r="N16" s="613" t="s">
        <v>464</v>
      </c>
      <c r="O16" s="613"/>
    </row>
    <row r="17" spans="1:16" ht="15" thickBot="1" x14ac:dyDescent="0.35">
      <c r="A17" s="583" t="s">
        <v>576</v>
      </c>
      <c r="B17" s="673">
        <f>Import!L209</f>
        <v>0</v>
      </c>
      <c r="C17" s="583"/>
      <c r="D17" s="583"/>
      <c r="E17" s="583"/>
      <c r="F17" s="602"/>
      <c r="G17" s="602"/>
      <c r="H17" s="583"/>
      <c r="J17" s="613">
        <v>648</v>
      </c>
      <c r="L17" s="613" t="s">
        <v>1166</v>
      </c>
      <c r="M17" s="613" t="s">
        <v>464</v>
      </c>
      <c r="N17" s="613" t="s">
        <v>464</v>
      </c>
      <c r="O17" s="613"/>
    </row>
    <row r="18" spans="1:16" ht="29.4" thickBot="1" x14ac:dyDescent="0.35">
      <c r="A18" s="583" t="s">
        <v>569</v>
      </c>
      <c r="B18" s="600" t="e">
        <f>ROUND((B16/100)*B17,0)</f>
        <v>#N/A</v>
      </c>
      <c r="C18" s="258"/>
      <c r="D18" s="256"/>
      <c r="E18" s="594" t="s">
        <v>1168</v>
      </c>
      <c r="F18" s="600">
        <f>IF(F16=0,F11-F16,F11-MAX(F16,G16))</f>
        <v>0</v>
      </c>
      <c r="G18" s="602"/>
      <c r="H18" s="583"/>
      <c r="L18" s="613" t="s">
        <v>479</v>
      </c>
      <c r="M18" s="613" t="s">
        <v>464</v>
      </c>
      <c r="N18" s="613" t="s">
        <v>464</v>
      </c>
      <c r="O18" s="613"/>
    </row>
    <row r="19" spans="1:16" x14ac:dyDescent="0.3">
      <c r="A19" s="583"/>
      <c r="B19" s="583"/>
      <c r="C19" s="583"/>
      <c r="D19" s="595"/>
      <c r="E19" s="583"/>
      <c r="F19" s="529"/>
      <c r="G19" s="258"/>
      <c r="H19" s="583"/>
      <c r="L19" s="613" t="s">
        <v>1167</v>
      </c>
      <c r="M19" s="613" t="s">
        <v>464</v>
      </c>
      <c r="N19" s="613" t="s">
        <v>464</v>
      </c>
      <c r="O19" s="613"/>
    </row>
    <row r="20" spans="1:16" x14ac:dyDescent="0.3">
      <c r="A20" s="585"/>
      <c r="B20" s="586"/>
      <c r="C20" s="585"/>
      <c r="D20" s="583"/>
      <c r="E20" s="585"/>
      <c r="F20" s="586"/>
      <c r="G20" s="586"/>
      <c r="H20" s="583"/>
      <c r="L20" s="613" t="s">
        <v>1169</v>
      </c>
      <c r="M20" s="613" t="s">
        <v>464</v>
      </c>
      <c r="N20" s="613" t="s">
        <v>464</v>
      </c>
      <c r="O20" s="613"/>
    </row>
    <row r="21" spans="1:16" ht="15" thickBot="1" x14ac:dyDescent="0.35">
      <c r="A21" s="583"/>
      <c r="B21" s="583"/>
      <c r="C21" s="583"/>
      <c r="D21" s="583"/>
      <c r="E21" s="593" t="s">
        <v>577</v>
      </c>
      <c r="F21" s="593"/>
      <c r="G21" s="593"/>
      <c r="H21" s="583"/>
      <c r="L21" s="613" t="s">
        <v>816</v>
      </c>
      <c r="M21" s="613" t="s">
        <v>464</v>
      </c>
      <c r="N21" s="613" t="s">
        <v>464</v>
      </c>
      <c r="O21" s="613"/>
    </row>
    <row r="22" spans="1:16" ht="15" thickBot="1" x14ac:dyDescent="0.35">
      <c r="A22" s="583"/>
      <c r="B22" s="644"/>
      <c r="C22" s="583"/>
      <c r="D22" s="587"/>
      <c r="E22" s="583" t="s">
        <v>578</v>
      </c>
      <c r="F22" s="603" t="e">
        <f>MAX(B8,B12)</f>
        <v>#N/A</v>
      </c>
      <c r="G22" s="595"/>
      <c r="H22" s="256"/>
      <c r="L22" s="613" t="s">
        <v>1170</v>
      </c>
      <c r="M22" s="613" t="s">
        <v>464</v>
      </c>
      <c r="N22" s="613" t="s">
        <v>464</v>
      </c>
      <c r="O22" s="613"/>
    </row>
    <row r="23" spans="1:16" ht="15" thickBot="1" x14ac:dyDescent="0.35">
      <c r="A23" s="583"/>
      <c r="B23" s="644"/>
      <c r="C23" s="583"/>
      <c r="D23" s="593"/>
      <c r="E23" s="583"/>
      <c r="F23" s="657"/>
      <c r="G23" s="595"/>
      <c r="H23" s="256"/>
      <c r="L23" s="613" t="s">
        <v>1171</v>
      </c>
      <c r="M23" s="613" t="s">
        <v>464</v>
      </c>
      <c r="N23" s="613" t="s">
        <v>464</v>
      </c>
      <c r="O23" s="613"/>
    </row>
    <row r="24" spans="1:16" ht="15" thickBot="1" x14ac:dyDescent="0.35">
      <c r="B24" s="641"/>
      <c r="D24" s="595"/>
      <c r="E24" s="583" t="s">
        <v>579</v>
      </c>
      <c r="F24" s="604">
        <f>IF(F7=0,0,IF(F18&lt;=F22,"Yes", "No, unit exceeds limit by:"))</f>
        <v>0</v>
      </c>
      <c r="G24" s="583"/>
      <c r="H24" s="583"/>
      <c r="L24" s="615" t="s">
        <v>817</v>
      </c>
      <c r="M24" s="615">
        <v>0.03</v>
      </c>
      <c r="N24" s="615">
        <v>0.05</v>
      </c>
      <c r="O24" s="613" t="s">
        <v>1527</v>
      </c>
      <c r="P24" s="622" t="s">
        <v>1523</v>
      </c>
    </row>
    <row r="25" spans="1:16" ht="15" thickBot="1" x14ac:dyDescent="0.35">
      <c r="B25" s="641"/>
      <c r="C25" s="583"/>
      <c r="D25" s="595"/>
      <c r="E25" s="583"/>
      <c r="F25" s="604" t="e">
        <f>IF(F18-F22&lt;=0,0,F18-F22)</f>
        <v>#N/A</v>
      </c>
      <c r="G25" s="259"/>
      <c r="H25" s="593"/>
      <c r="L25" s="613" t="s">
        <v>480</v>
      </c>
      <c r="M25" s="613" t="s">
        <v>464</v>
      </c>
      <c r="N25" s="613" t="s">
        <v>464</v>
      </c>
      <c r="O25" s="613"/>
    </row>
    <row r="26" spans="1:16" ht="15" thickBot="1" x14ac:dyDescent="0.35">
      <c r="B26" s="641"/>
      <c r="C26" s="583"/>
      <c r="D26" s="596"/>
      <c r="E26" s="583"/>
      <c r="F26" s="602"/>
      <c r="G26" s="583"/>
      <c r="H26" s="583"/>
      <c r="L26" s="613" t="s">
        <v>818</v>
      </c>
      <c r="M26" s="613" t="s">
        <v>464</v>
      </c>
      <c r="N26" s="613" t="s">
        <v>464</v>
      </c>
      <c r="O26" s="613"/>
    </row>
    <row r="27" spans="1:16" x14ac:dyDescent="0.3">
      <c r="A27" s="583"/>
      <c r="B27" s="644"/>
      <c r="C27" s="583"/>
      <c r="D27" s="596"/>
      <c r="E27" s="597" t="s">
        <v>580</v>
      </c>
      <c r="F27" s="605">
        <f>IF(F16=0,0,F16-G16)</f>
        <v>0</v>
      </c>
      <c r="G27" s="583"/>
      <c r="H27" s="583"/>
      <c r="L27" s="613" t="s">
        <v>1172</v>
      </c>
      <c r="M27" s="613" t="s">
        <v>464</v>
      </c>
      <c r="N27" s="613" t="s">
        <v>464</v>
      </c>
      <c r="O27" s="613"/>
    </row>
    <row r="28" spans="1:16" ht="33.75" customHeight="1" thickBot="1" x14ac:dyDescent="0.35">
      <c r="A28" s="583"/>
      <c r="B28" s="644"/>
      <c r="C28" s="583"/>
      <c r="D28" s="583"/>
      <c r="E28" s="583"/>
      <c r="F28" s="260" t="str">
        <f>IF(F27=0,"","Investigate")</f>
        <v/>
      </c>
      <c r="G28" s="583"/>
      <c r="H28" s="583"/>
      <c r="L28" s="613" t="s">
        <v>1173</v>
      </c>
      <c r="M28" s="613" t="s">
        <v>464</v>
      </c>
      <c r="N28" s="613" t="s">
        <v>464</v>
      </c>
      <c r="O28" s="613"/>
    </row>
    <row r="29" spans="1:16" x14ac:dyDescent="0.3">
      <c r="A29" s="587"/>
      <c r="B29" s="583"/>
      <c r="C29" s="583"/>
      <c r="D29" s="583"/>
      <c r="E29" s="587" t="s">
        <v>581</v>
      </c>
      <c r="F29" s="583"/>
      <c r="G29" s="583"/>
      <c r="H29" s="583"/>
      <c r="L29" s="613" t="s">
        <v>1174</v>
      </c>
      <c r="M29" s="613" t="s">
        <v>464</v>
      </c>
      <c r="N29" s="613" t="s">
        <v>464</v>
      </c>
      <c r="O29" s="613"/>
    </row>
    <row r="30" spans="1:16" ht="14.4" customHeight="1" x14ac:dyDescent="0.3">
      <c r="A30" s="598"/>
      <c r="B30" s="598"/>
      <c r="C30" s="598"/>
      <c r="D30" s="583"/>
      <c r="E30" s="1184" t="s">
        <v>1559</v>
      </c>
      <c r="F30" s="1185"/>
      <c r="G30" s="1186"/>
      <c r="H30" s="583"/>
      <c r="L30" s="613" t="s">
        <v>481</v>
      </c>
      <c r="M30" s="613" t="s">
        <v>464</v>
      </c>
      <c r="N30" s="613" t="s">
        <v>464</v>
      </c>
      <c r="O30" s="613"/>
    </row>
    <row r="31" spans="1:16" x14ac:dyDescent="0.3">
      <c r="A31" s="583"/>
      <c r="B31" s="583"/>
      <c r="C31" s="598"/>
      <c r="D31" s="583"/>
      <c r="E31" s="1187"/>
      <c r="F31" s="1188"/>
      <c r="G31" s="1189"/>
      <c r="H31" s="583"/>
      <c r="L31" s="613" t="s">
        <v>1175</v>
      </c>
      <c r="M31" s="613" t="s">
        <v>464</v>
      </c>
      <c r="N31" s="613" t="s">
        <v>464</v>
      </c>
      <c r="O31" s="613"/>
    </row>
    <row r="32" spans="1:16" x14ac:dyDescent="0.3">
      <c r="A32" s="598"/>
      <c r="B32" s="598"/>
      <c r="C32" s="598"/>
      <c r="D32" s="583"/>
      <c r="E32" s="1187"/>
      <c r="F32" s="1188"/>
      <c r="G32" s="1189"/>
      <c r="L32" s="613" t="s">
        <v>1176</v>
      </c>
      <c r="M32" s="613" t="s">
        <v>464</v>
      </c>
      <c r="N32" s="613" t="s">
        <v>464</v>
      </c>
      <c r="O32" s="613"/>
    </row>
    <row r="33" spans="1:16" ht="30" customHeight="1" x14ac:dyDescent="0.3">
      <c r="A33" s="598"/>
      <c r="B33" s="598"/>
      <c r="C33" s="598"/>
      <c r="D33" s="583"/>
      <c r="E33" s="1190"/>
      <c r="F33" s="1191"/>
      <c r="G33" s="1192"/>
      <c r="L33" s="613" t="s">
        <v>1177</v>
      </c>
      <c r="M33" s="613" t="s">
        <v>464</v>
      </c>
      <c r="N33" s="613" t="s">
        <v>464</v>
      </c>
      <c r="O33" s="613"/>
    </row>
    <row r="34" spans="1:16" x14ac:dyDescent="0.3">
      <c r="A34" s="598"/>
      <c r="B34" s="598"/>
      <c r="C34" s="598"/>
      <c r="D34" s="583"/>
      <c r="E34" s="599"/>
      <c r="F34" s="599"/>
      <c r="G34" s="599"/>
      <c r="L34" s="613" t="s">
        <v>1178</v>
      </c>
      <c r="M34" s="613" t="s">
        <v>464</v>
      </c>
      <c r="N34" s="613" t="s">
        <v>464</v>
      </c>
      <c r="O34" s="613"/>
    </row>
    <row r="35" spans="1:16" x14ac:dyDescent="0.3">
      <c r="A35" s="598"/>
      <c r="B35" s="598"/>
      <c r="C35" s="598"/>
      <c r="D35" s="583"/>
      <c r="E35" s="1184" t="s">
        <v>1490</v>
      </c>
      <c r="F35" s="1185"/>
      <c r="G35" s="1186"/>
      <c r="L35" s="615" t="s">
        <v>482</v>
      </c>
      <c r="M35" s="615">
        <v>0.03</v>
      </c>
      <c r="N35" s="615">
        <v>0.05</v>
      </c>
      <c r="O35" s="613" t="s">
        <v>1527</v>
      </c>
      <c r="P35" s="622" t="s">
        <v>1523</v>
      </c>
    </row>
    <row r="36" spans="1:16" x14ac:dyDescent="0.3">
      <c r="A36" s="583"/>
      <c r="B36" s="583"/>
      <c r="C36" s="583"/>
      <c r="D36" s="583"/>
      <c r="E36" s="1187"/>
      <c r="F36" s="1193"/>
      <c r="G36" s="1189"/>
      <c r="L36" s="613" t="s">
        <v>819</v>
      </c>
      <c r="M36" s="613" t="s">
        <v>464</v>
      </c>
      <c r="N36" s="613" t="s">
        <v>464</v>
      </c>
      <c r="O36" s="613"/>
    </row>
    <row r="37" spans="1:16" x14ac:dyDescent="0.3">
      <c r="A37" s="583"/>
      <c r="B37" s="583"/>
      <c r="C37" s="583"/>
      <c r="D37" s="583"/>
      <c r="E37" s="1190"/>
      <c r="F37" s="1191"/>
      <c r="G37" s="1192"/>
      <c r="L37" s="613" t="s">
        <v>483</v>
      </c>
      <c r="M37" s="613" t="s">
        <v>464</v>
      </c>
      <c r="N37" s="613" t="s">
        <v>464</v>
      </c>
      <c r="O37" s="613"/>
    </row>
    <row r="38" spans="1:16" x14ac:dyDescent="0.3">
      <c r="A38" s="583"/>
      <c r="B38" s="583"/>
      <c r="C38" s="583"/>
      <c r="D38" s="583"/>
      <c r="E38" s="583"/>
      <c r="F38" s="583"/>
      <c r="G38" s="583"/>
      <c r="L38" s="613" t="s">
        <v>1180</v>
      </c>
      <c r="M38" s="613" t="s">
        <v>464</v>
      </c>
      <c r="N38" s="613" t="s">
        <v>464</v>
      </c>
      <c r="O38" s="613"/>
    </row>
    <row r="39" spans="1:16" ht="15" thickBot="1" x14ac:dyDescent="0.35">
      <c r="C39" s="583"/>
      <c r="D39" s="583"/>
      <c r="E39" s="1194" t="s">
        <v>582</v>
      </c>
      <c r="F39" s="1194"/>
      <c r="G39" s="1194"/>
      <c r="L39" s="615" t="s">
        <v>1181</v>
      </c>
      <c r="M39" s="615">
        <v>0.03</v>
      </c>
      <c r="N39" s="615">
        <v>0.05</v>
      </c>
      <c r="O39" s="613" t="s">
        <v>1527</v>
      </c>
      <c r="P39" s="622" t="s">
        <v>1523</v>
      </c>
    </row>
    <row r="40" spans="1:16" x14ac:dyDescent="0.3">
      <c r="A40" s="583"/>
      <c r="B40" s="583"/>
      <c r="C40" s="583"/>
      <c r="D40" s="583"/>
      <c r="E40" s="1173"/>
      <c r="F40" s="1174"/>
      <c r="G40" s="1175"/>
      <c r="L40" s="613" t="s">
        <v>1182</v>
      </c>
      <c r="M40" s="613" t="s">
        <v>464</v>
      </c>
      <c r="N40" s="613" t="s">
        <v>464</v>
      </c>
      <c r="O40" s="613"/>
    </row>
    <row r="41" spans="1:16" x14ac:dyDescent="0.3">
      <c r="A41" s="583"/>
      <c r="B41" s="583"/>
      <c r="C41" s="583"/>
      <c r="D41" s="583"/>
      <c r="E41" s="1176"/>
      <c r="F41" s="1177"/>
      <c r="G41" s="1178"/>
      <c r="L41" s="613" t="s">
        <v>1183</v>
      </c>
      <c r="M41" s="613" t="s">
        <v>464</v>
      </c>
      <c r="N41" s="613" t="s">
        <v>464</v>
      </c>
      <c r="O41" s="613"/>
    </row>
    <row r="42" spans="1:16" x14ac:dyDescent="0.3">
      <c r="A42" s="583"/>
      <c r="B42" s="583"/>
      <c r="C42" s="583"/>
      <c r="D42" s="583"/>
      <c r="E42" s="1176"/>
      <c r="F42" s="1177"/>
      <c r="G42" s="1178"/>
      <c r="L42" s="613" t="s">
        <v>1179</v>
      </c>
      <c r="M42" s="613" t="s">
        <v>464</v>
      </c>
      <c r="N42" s="613" t="s">
        <v>464</v>
      </c>
      <c r="O42" s="613"/>
    </row>
    <row r="43" spans="1:16" x14ac:dyDescent="0.3">
      <c r="A43" s="583"/>
      <c r="B43" s="583"/>
      <c r="C43" s="583"/>
      <c r="D43" s="583"/>
      <c r="E43" s="1176"/>
      <c r="F43" s="1177"/>
      <c r="G43" s="1178"/>
      <c r="L43" s="613" t="s">
        <v>485</v>
      </c>
      <c r="M43" s="613" t="s">
        <v>464</v>
      </c>
      <c r="N43" s="613" t="s">
        <v>464</v>
      </c>
      <c r="O43" s="613"/>
    </row>
    <row r="44" spans="1:16" x14ac:dyDescent="0.3">
      <c r="D44" s="583"/>
      <c r="E44" s="1176"/>
      <c r="F44" s="1177"/>
      <c r="G44" s="1178"/>
      <c r="L44" s="613" t="s">
        <v>1184</v>
      </c>
      <c r="M44" s="613" t="s">
        <v>464</v>
      </c>
      <c r="N44" s="613" t="s">
        <v>464</v>
      </c>
      <c r="O44" s="613"/>
    </row>
    <row r="45" spans="1:16" x14ac:dyDescent="0.3">
      <c r="D45" s="583"/>
      <c r="E45" s="1176"/>
      <c r="F45" s="1177"/>
      <c r="G45" s="1178"/>
      <c r="L45" s="613" t="s">
        <v>1185</v>
      </c>
      <c r="M45" s="613" t="s">
        <v>464</v>
      </c>
      <c r="N45" s="613" t="s">
        <v>464</v>
      </c>
      <c r="O45" s="613"/>
    </row>
    <row r="46" spans="1:16" x14ac:dyDescent="0.3">
      <c r="E46" s="1176"/>
      <c r="F46" s="1177"/>
      <c r="G46" s="1178"/>
      <c r="L46" s="613" t="s">
        <v>1186</v>
      </c>
      <c r="M46" s="613" t="s">
        <v>464</v>
      </c>
      <c r="N46" s="613" t="s">
        <v>464</v>
      </c>
      <c r="O46" s="613"/>
    </row>
    <row r="47" spans="1:16" x14ac:dyDescent="0.3">
      <c r="E47" s="1176"/>
      <c r="F47" s="1177"/>
      <c r="G47" s="1178"/>
      <c r="L47" s="613" t="s">
        <v>486</v>
      </c>
      <c r="M47" s="613" t="s">
        <v>464</v>
      </c>
      <c r="N47" s="613" t="s">
        <v>464</v>
      </c>
      <c r="O47" s="613" t="s">
        <v>1621</v>
      </c>
    </row>
    <row r="48" spans="1:16" x14ac:dyDescent="0.3">
      <c r="E48" s="1176"/>
      <c r="F48" s="1177"/>
      <c r="G48" s="1178"/>
      <c r="L48" s="613" t="s">
        <v>1187</v>
      </c>
      <c r="M48" s="613" t="s">
        <v>464</v>
      </c>
      <c r="N48" s="613" t="s">
        <v>464</v>
      </c>
      <c r="O48" s="613"/>
    </row>
    <row r="49" spans="5:15" x14ac:dyDescent="0.3">
      <c r="E49" s="1176"/>
      <c r="F49" s="1177"/>
      <c r="G49" s="1178"/>
      <c r="L49" s="613" t="s">
        <v>1188</v>
      </c>
      <c r="M49" s="613" t="s">
        <v>464</v>
      </c>
      <c r="N49" s="613" t="s">
        <v>464</v>
      </c>
      <c r="O49" s="613"/>
    </row>
    <row r="50" spans="5:15" x14ac:dyDescent="0.3">
      <c r="E50" s="1176"/>
      <c r="F50" s="1177"/>
      <c r="G50" s="1178"/>
      <c r="L50" s="613" t="s">
        <v>1189</v>
      </c>
      <c r="M50" s="613" t="s">
        <v>464</v>
      </c>
      <c r="N50" s="613" t="s">
        <v>464</v>
      </c>
      <c r="O50" s="613"/>
    </row>
    <row r="51" spans="5:15" ht="15" thickBot="1" x14ac:dyDescent="0.35">
      <c r="E51" s="1179"/>
      <c r="F51" s="1180"/>
      <c r="G51" s="1181"/>
      <c r="L51" s="613" t="s">
        <v>487</v>
      </c>
      <c r="M51" s="613" t="s">
        <v>464</v>
      </c>
      <c r="N51" s="613" t="s">
        <v>464</v>
      </c>
      <c r="O51" s="613"/>
    </row>
    <row r="52" spans="5:15" x14ac:dyDescent="0.3">
      <c r="L52" s="613" t="s">
        <v>1190</v>
      </c>
      <c r="M52" s="613" t="s">
        <v>464</v>
      </c>
      <c r="N52" s="613" t="s">
        <v>464</v>
      </c>
      <c r="O52" s="613"/>
    </row>
    <row r="53" spans="5:15" x14ac:dyDescent="0.3">
      <c r="L53" s="613" t="s">
        <v>1192</v>
      </c>
      <c r="M53" s="613" t="s">
        <v>464</v>
      </c>
      <c r="N53" s="613" t="s">
        <v>464</v>
      </c>
      <c r="O53" s="613"/>
    </row>
    <row r="54" spans="5:15" x14ac:dyDescent="0.3">
      <c r="L54" s="613" t="s">
        <v>1191</v>
      </c>
      <c r="M54" s="613" t="s">
        <v>464</v>
      </c>
      <c r="N54" s="613" t="s">
        <v>464</v>
      </c>
      <c r="O54" s="613"/>
    </row>
    <row r="55" spans="5:15" x14ac:dyDescent="0.3">
      <c r="L55" s="613" t="s">
        <v>1193</v>
      </c>
      <c r="M55" s="613" t="s">
        <v>464</v>
      </c>
      <c r="N55" s="613" t="s">
        <v>464</v>
      </c>
      <c r="O55" s="613"/>
    </row>
    <row r="56" spans="5:15" x14ac:dyDescent="0.3">
      <c r="L56" s="613" t="s">
        <v>488</v>
      </c>
      <c r="M56" s="613" t="s">
        <v>464</v>
      </c>
      <c r="N56" s="613" t="s">
        <v>464</v>
      </c>
      <c r="O56" s="613"/>
    </row>
    <row r="57" spans="5:15" x14ac:dyDescent="0.3">
      <c r="L57" s="613" t="s">
        <v>1194</v>
      </c>
      <c r="M57" s="613" t="s">
        <v>464</v>
      </c>
      <c r="N57" s="613" t="s">
        <v>464</v>
      </c>
      <c r="O57" s="613"/>
    </row>
    <row r="58" spans="5:15" x14ac:dyDescent="0.3">
      <c r="L58" s="613" t="s">
        <v>1195</v>
      </c>
      <c r="M58" s="613" t="s">
        <v>464</v>
      </c>
      <c r="N58" s="613" t="s">
        <v>464</v>
      </c>
      <c r="O58" s="613"/>
    </row>
    <row r="59" spans="5:15" x14ac:dyDescent="0.3">
      <c r="L59" s="616" t="s">
        <v>1196</v>
      </c>
      <c r="M59" s="616">
        <v>0.15</v>
      </c>
      <c r="N59" s="616" t="s">
        <v>464</v>
      </c>
      <c r="O59" s="613" t="s">
        <v>1522</v>
      </c>
    </row>
    <row r="60" spans="5:15" x14ac:dyDescent="0.3">
      <c r="L60" s="613" t="s">
        <v>489</v>
      </c>
      <c r="M60" s="613" t="s">
        <v>464</v>
      </c>
      <c r="N60" s="613" t="s">
        <v>464</v>
      </c>
      <c r="O60" s="613"/>
    </row>
    <row r="61" spans="5:15" x14ac:dyDescent="0.3">
      <c r="L61" s="613" t="s">
        <v>1197</v>
      </c>
      <c r="M61" s="613" t="s">
        <v>464</v>
      </c>
      <c r="N61" s="613" t="s">
        <v>464</v>
      </c>
      <c r="O61" s="613"/>
    </row>
    <row r="62" spans="5:15" x14ac:dyDescent="0.3">
      <c r="L62" s="613" t="s">
        <v>1198</v>
      </c>
      <c r="M62" s="613" t="s">
        <v>464</v>
      </c>
      <c r="N62" s="613" t="s">
        <v>464</v>
      </c>
      <c r="O62" s="613"/>
    </row>
    <row r="63" spans="5:15" x14ac:dyDescent="0.3">
      <c r="L63" s="613" t="s">
        <v>1199</v>
      </c>
      <c r="M63" s="613" t="s">
        <v>464</v>
      </c>
      <c r="N63" s="613" t="s">
        <v>464</v>
      </c>
      <c r="O63" s="613"/>
    </row>
    <row r="64" spans="5:15" x14ac:dyDescent="0.3">
      <c r="L64" s="613" t="s">
        <v>1200</v>
      </c>
      <c r="M64" s="613" t="s">
        <v>464</v>
      </c>
      <c r="N64" s="613" t="s">
        <v>464</v>
      </c>
      <c r="O64" s="613"/>
    </row>
    <row r="65" spans="12:15" x14ac:dyDescent="0.3">
      <c r="L65" s="613" t="s">
        <v>1201</v>
      </c>
      <c r="M65" s="613" t="s">
        <v>464</v>
      </c>
      <c r="N65" s="613" t="s">
        <v>464</v>
      </c>
      <c r="O65" s="613"/>
    </row>
    <row r="66" spans="12:15" x14ac:dyDescent="0.3">
      <c r="L66" s="613" t="s">
        <v>820</v>
      </c>
      <c r="M66" s="613" t="s">
        <v>464</v>
      </c>
      <c r="N66" s="613" t="s">
        <v>464</v>
      </c>
      <c r="O66" s="613"/>
    </row>
    <row r="67" spans="12:15" x14ac:dyDescent="0.3">
      <c r="L67" s="613" t="s">
        <v>1202</v>
      </c>
      <c r="M67" s="613" t="s">
        <v>464</v>
      </c>
      <c r="N67" s="613" t="s">
        <v>464</v>
      </c>
      <c r="O67" s="613"/>
    </row>
    <row r="68" spans="12:15" x14ac:dyDescent="0.3">
      <c r="L68" s="613" t="s">
        <v>1203</v>
      </c>
      <c r="M68" s="613" t="s">
        <v>464</v>
      </c>
      <c r="N68" s="613" t="s">
        <v>464</v>
      </c>
      <c r="O68" s="613"/>
    </row>
    <row r="69" spans="12:15" x14ac:dyDescent="0.3">
      <c r="L69" s="613" t="s">
        <v>1204</v>
      </c>
      <c r="M69" s="613" t="s">
        <v>464</v>
      </c>
      <c r="N69" s="613" t="s">
        <v>464</v>
      </c>
      <c r="O69" s="613"/>
    </row>
    <row r="70" spans="12:15" x14ac:dyDescent="0.3">
      <c r="L70" s="613" t="s">
        <v>1205</v>
      </c>
      <c r="M70" s="613" t="s">
        <v>464</v>
      </c>
      <c r="N70" s="613" t="s">
        <v>464</v>
      </c>
      <c r="O70" s="613"/>
    </row>
    <row r="71" spans="12:15" x14ac:dyDescent="0.3">
      <c r="L71" s="613" t="s">
        <v>1206</v>
      </c>
      <c r="M71" s="613" t="s">
        <v>464</v>
      </c>
      <c r="N71" s="613" t="s">
        <v>464</v>
      </c>
      <c r="O71" s="613"/>
    </row>
    <row r="72" spans="12:15" x14ac:dyDescent="0.3">
      <c r="L72" s="613" t="s">
        <v>1207</v>
      </c>
      <c r="M72" s="613" t="s">
        <v>464</v>
      </c>
      <c r="N72" s="613" t="s">
        <v>464</v>
      </c>
      <c r="O72" s="613"/>
    </row>
    <row r="73" spans="12:15" x14ac:dyDescent="0.3">
      <c r="L73" s="613" t="s">
        <v>1208</v>
      </c>
      <c r="M73" s="613" t="s">
        <v>464</v>
      </c>
      <c r="N73" s="613" t="s">
        <v>464</v>
      </c>
      <c r="O73" s="613"/>
    </row>
    <row r="74" spans="12:15" x14ac:dyDescent="0.3">
      <c r="L74" s="613" t="s">
        <v>1209</v>
      </c>
      <c r="M74" s="613" t="s">
        <v>464</v>
      </c>
      <c r="N74" s="613" t="s">
        <v>464</v>
      </c>
      <c r="O74" s="613"/>
    </row>
    <row r="75" spans="12:15" x14ac:dyDescent="0.3">
      <c r="L75" s="613" t="s">
        <v>1210</v>
      </c>
      <c r="M75" s="613" t="s">
        <v>464</v>
      </c>
      <c r="N75" s="613" t="s">
        <v>464</v>
      </c>
      <c r="O75" s="613"/>
    </row>
    <row r="76" spans="12:15" x14ac:dyDescent="0.3">
      <c r="L76" s="613" t="s">
        <v>1211</v>
      </c>
      <c r="M76" s="613" t="s">
        <v>464</v>
      </c>
      <c r="N76" s="613" t="s">
        <v>464</v>
      </c>
      <c r="O76" s="613"/>
    </row>
    <row r="77" spans="12:15" x14ac:dyDescent="0.3">
      <c r="L77" s="613" t="s">
        <v>1212</v>
      </c>
      <c r="M77" s="613" t="s">
        <v>464</v>
      </c>
      <c r="N77" s="613" t="s">
        <v>464</v>
      </c>
      <c r="O77" s="613"/>
    </row>
    <row r="78" spans="12:15" x14ac:dyDescent="0.3">
      <c r="L78" s="613" t="s">
        <v>1213</v>
      </c>
      <c r="M78" s="613" t="s">
        <v>464</v>
      </c>
      <c r="N78" s="613" t="s">
        <v>464</v>
      </c>
      <c r="O78" s="613"/>
    </row>
    <row r="79" spans="12:15" x14ac:dyDescent="0.3">
      <c r="L79" s="613" t="s">
        <v>1214</v>
      </c>
      <c r="M79" s="613" t="s">
        <v>464</v>
      </c>
      <c r="N79" s="613" t="s">
        <v>464</v>
      </c>
      <c r="O79" s="613"/>
    </row>
    <row r="80" spans="12:15" x14ac:dyDescent="0.3">
      <c r="L80" s="613" t="s">
        <v>1215</v>
      </c>
      <c r="M80" s="613" t="s">
        <v>464</v>
      </c>
      <c r="N80" s="613" t="s">
        <v>464</v>
      </c>
      <c r="O80" s="613"/>
    </row>
    <row r="81" spans="12:15" x14ac:dyDescent="0.3">
      <c r="L81" s="613" t="s">
        <v>1216</v>
      </c>
      <c r="M81" s="613" t="s">
        <v>464</v>
      </c>
      <c r="N81" s="613" t="s">
        <v>464</v>
      </c>
      <c r="O81" s="613"/>
    </row>
    <row r="82" spans="12:15" x14ac:dyDescent="0.3">
      <c r="L82" s="613" t="s">
        <v>1217</v>
      </c>
      <c r="M82" s="613" t="s">
        <v>464</v>
      </c>
      <c r="N82" s="613" t="s">
        <v>464</v>
      </c>
      <c r="O82" s="613"/>
    </row>
    <row r="83" spans="12:15" x14ac:dyDescent="0.3">
      <c r="L83" s="613" t="s">
        <v>821</v>
      </c>
      <c r="M83" s="613" t="s">
        <v>464</v>
      </c>
      <c r="N83" s="613" t="s">
        <v>464</v>
      </c>
      <c r="O83" s="613"/>
    </row>
    <row r="84" spans="12:15" x14ac:dyDescent="0.3">
      <c r="L84" s="613" t="s">
        <v>490</v>
      </c>
      <c r="M84" s="613" t="s">
        <v>464</v>
      </c>
      <c r="N84" s="613" t="s">
        <v>464</v>
      </c>
      <c r="O84" s="613"/>
    </row>
    <row r="85" spans="12:15" x14ac:dyDescent="0.3">
      <c r="L85" s="613" t="s">
        <v>1218</v>
      </c>
      <c r="M85" s="613" t="s">
        <v>464</v>
      </c>
      <c r="N85" s="613" t="s">
        <v>464</v>
      </c>
      <c r="O85" s="613"/>
    </row>
    <row r="86" spans="12:15" x14ac:dyDescent="0.3">
      <c r="L86" s="613" t="s">
        <v>1219</v>
      </c>
      <c r="M86" s="613" t="s">
        <v>464</v>
      </c>
      <c r="N86" s="613" t="s">
        <v>464</v>
      </c>
      <c r="O86" s="613"/>
    </row>
    <row r="87" spans="12:15" x14ac:dyDescent="0.3">
      <c r="L87" s="613" t="s">
        <v>1220</v>
      </c>
      <c r="M87" s="613" t="s">
        <v>464</v>
      </c>
      <c r="N87" s="613" t="s">
        <v>464</v>
      </c>
      <c r="O87" s="613"/>
    </row>
    <row r="88" spans="12:15" x14ac:dyDescent="0.3">
      <c r="L88" s="613" t="s">
        <v>1221</v>
      </c>
      <c r="M88" s="613" t="s">
        <v>464</v>
      </c>
      <c r="N88" s="613" t="s">
        <v>464</v>
      </c>
      <c r="O88" s="613"/>
    </row>
    <row r="89" spans="12:15" x14ac:dyDescent="0.3">
      <c r="L89" s="613" t="s">
        <v>491</v>
      </c>
      <c r="M89" s="613" t="s">
        <v>464</v>
      </c>
      <c r="N89" s="613" t="s">
        <v>464</v>
      </c>
      <c r="O89" s="613"/>
    </row>
    <row r="90" spans="12:15" x14ac:dyDescent="0.3">
      <c r="L90" s="613" t="s">
        <v>1222</v>
      </c>
      <c r="M90" s="613" t="s">
        <v>464</v>
      </c>
      <c r="N90" s="613" t="s">
        <v>464</v>
      </c>
      <c r="O90" s="613"/>
    </row>
    <row r="91" spans="12:15" x14ac:dyDescent="0.3">
      <c r="L91" s="613" t="s">
        <v>394</v>
      </c>
      <c r="M91" s="613" t="s">
        <v>464</v>
      </c>
      <c r="N91" s="613" t="s">
        <v>464</v>
      </c>
      <c r="O91" s="613"/>
    </row>
    <row r="92" spans="12:15" x14ac:dyDescent="0.3">
      <c r="L92" s="613" t="s">
        <v>395</v>
      </c>
      <c r="M92" s="613" t="s">
        <v>464</v>
      </c>
      <c r="N92" s="613" t="s">
        <v>464</v>
      </c>
      <c r="O92" s="613"/>
    </row>
    <row r="93" spans="12:15" x14ac:dyDescent="0.3">
      <c r="L93" s="616" t="s">
        <v>1223</v>
      </c>
      <c r="M93" s="616">
        <v>0.05</v>
      </c>
      <c r="N93" s="616" t="s">
        <v>464</v>
      </c>
      <c r="O93" s="613" t="s">
        <v>1522</v>
      </c>
    </row>
    <row r="94" spans="12:15" x14ac:dyDescent="0.3">
      <c r="L94" s="613" t="s">
        <v>492</v>
      </c>
      <c r="M94" s="613" t="s">
        <v>464</v>
      </c>
      <c r="N94" s="613" t="s">
        <v>464</v>
      </c>
      <c r="O94" s="613"/>
    </row>
    <row r="95" spans="12:15" x14ac:dyDescent="0.3">
      <c r="L95" s="613" t="s">
        <v>1224</v>
      </c>
      <c r="M95" s="613" t="s">
        <v>464</v>
      </c>
      <c r="N95" s="613" t="s">
        <v>464</v>
      </c>
      <c r="O95" s="613"/>
    </row>
    <row r="96" spans="12:15" x14ac:dyDescent="0.3">
      <c r="L96" s="613" t="s">
        <v>822</v>
      </c>
      <c r="M96" s="613" t="s">
        <v>464</v>
      </c>
      <c r="N96" s="613" t="s">
        <v>464</v>
      </c>
      <c r="O96" s="613"/>
    </row>
    <row r="97" spans="12:16" x14ac:dyDescent="0.3">
      <c r="L97" s="613" t="s">
        <v>1225</v>
      </c>
      <c r="M97" s="613" t="s">
        <v>464</v>
      </c>
      <c r="N97" s="613" t="s">
        <v>464</v>
      </c>
      <c r="O97" s="613"/>
    </row>
    <row r="98" spans="12:16" x14ac:dyDescent="0.3">
      <c r="L98" s="613" t="s">
        <v>823</v>
      </c>
      <c r="M98" s="613" t="s">
        <v>464</v>
      </c>
      <c r="N98" s="613" t="s">
        <v>464</v>
      </c>
      <c r="O98" s="613"/>
    </row>
    <row r="99" spans="12:16" x14ac:dyDescent="0.3">
      <c r="L99" s="615" t="s">
        <v>1226</v>
      </c>
      <c r="M99" s="615">
        <v>0.03</v>
      </c>
      <c r="N99" s="615">
        <v>0.05</v>
      </c>
      <c r="O99" s="613" t="s">
        <v>1527</v>
      </c>
      <c r="P99" s="622" t="s">
        <v>1523</v>
      </c>
    </row>
    <row r="100" spans="12:16" x14ac:dyDescent="0.3">
      <c r="L100" s="613" t="s">
        <v>1227</v>
      </c>
      <c r="M100" s="613" t="s">
        <v>464</v>
      </c>
      <c r="N100" s="613" t="s">
        <v>464</v>
      </c>
      <c r="O100" s="613"/>
    </row>
    <row r="101" spans="12:16" x14ac:dyDescent="0.3">
      <c r="L101" s="613" t="s">
        <v>1228</v>
      </c>
      <c r="M101" s="613" t="s">
        <v>464</v>
      </c>
      <c r="N101" s="613" t="s">
        <v>464</v>
      </c>
      <c r="O101" s="613"/>
    </row>
    <row r="102" spans="12:16" x14ac:dyDescent="0.3">
      <c r="L102" s="613" t="s">
        <v>1229</v>
      </c>
      <c r="M102" s="613" t="s">
        <v>464</v>
      </c>
      <c r="N102" s="613" t="s">
        <v>464</v>
      </c>
      <c r="O102" s="613"/>
    </row>
    <row r="103" spans="12:16" x14ac:dyDescent="0.3">
      <c r="L103" s="613" t="s">
        <v>1230</v>
      </c>
      <c r="M103" s="613" t="s">
        <v>464</v>
      </c>
      <c r="N103" s="613" t="s">
        <v>464</v>
      </c>
      <c r="O103" s="613"/>
    </row>
    <row r="104" spans="12:16" x14ac:dyDescent="0.3">
      <c r="L104" s="613" t="s">
        <v>1231</v>
      </c>
      <c r="M104" s="613" t="s">
        <v>464</v>
      </c>
      <c r="N104" s="613" t="s">
        <v>464</v>
      </c>
      <c r="O104" s="613"/>
    </row>
    <row r="105" spans="12:16" x14ac:dyDescent="0.3">
      <c r="L105" s="613" t="s">
        <v>824</v>
      </c>
      <c r="M105" s="613" t="s">
        <v>464</v>
      </c>
      <c r="N105" s="613" t="s">
        <v>464</v>
      </c>
      <c r="O105" s="613"/>
    </row>
    <row r="106" spans="12:16" x14ac:dyDescent="0.3">
      <c r="L106" s="613" t="s">
        <v>494</v>
      </c>
      <c r="M106" s="613" t="s">
        <v>464</v>
      </c>
      <c r="N106" s="613" t="s">
        <v>464</v>
      </c>
      <c r="O106" s="613"/>
    </row>
    <row r="107" spans="12:16" x14ac:dyDescent="0.3">
      <c r="L107" s="613" t="s">
        <v>495</v>
      </c>
      <c r="M107" s="613" t="s">
        <v>464</v>
      </c>
      <c r="N107" s="613" t="s">
        <v>464</v>
      </c>
      <c r="O107" s="613"/>
    </row>
    <row r="108" spans="12:16" x14ac:dyDescent="0.3">
      <c r="L108" s="613" t="s">
        <v>1232</v>
      </c>
      <c r="M108" s="613" t="s">
        <v>464</v>
      </c>
      <c r="N108" s="613" t="s">
        <v>464</v>
      </c>
      <c r="O108" s="613"/>
    </row>
    <row r="109" spans="12:16" x14ac:dyDescent="0.3">
      <c r="L109" s="613" t="s">
        <v>1233</v>
      </c>
      <c r="M109" s="613" t="s">
        <v>464</v>
      </c>
      <c r="N109" s="613" t="s">
        <v>464</v>
      </c>
      <c r="O109" s="613"/>
    </row>
    <row r="110" spans="12:16" x14ac:dyDescent="0.3">
      <c r="L110" s="613" t="s">
        <v>1234</v>
      </c>
      <c r="M110" s="613" t="s">
        <v>464</v>
      </c>
      <c r="N110" s="613" t="s">
        <v>464</v>
      </c>
      <c r="O110" s="613" t="s">
        <v>1621</v>
      </c>
    </row>
    <row r="111" spans="12:16" x14ac:dyDescent="0.3">
      <c r="L111" s="613" t="s">
        <v>825</v>
      </c>
      <c r="M111" s="613" t="s">
        <v>464</v>
      </c>
      <c r="N111" s="613" t="s">
        <v>464</v>
      </c>
      <c r="O111" s="613"/>
    </row>
    <row r="112" spans="12:16" x14ac:dyDescent="0.3">
      <c r="L112" s="613" t="s">
        <v>1235</v>
      </c>
      <c r="M112" s="613" t="s">
        <v>464</v>
      </c>
      <c r="N112" s="613" t="s">
        <v>464</v>
      </c>
      <c r="O112" s="613"/>
    </row>
    <row r="113" spans="12:15" x14ac:dyDescent="0.3">
      <c r="L113" s="613" t="s">
        <v>1236</v>
      </c>
      <c r="M113" s="613" t="s">
        <v>464</v>
      </c>
      <c r="N113" s="613" t="s">
        <v>464</v>
      </c>
      <c r="O113" s="613"/>
    </row>
    <row r="114" spans="12:15" x14ac:dyDescent="0.3">
      <c r="L114" s="613" t="s">
        <v>1237</v>
      </c>
      <c r="M114" s="613" t="s">
        <v>464</v>
      </c>
      <c r="N114" s="613" t="s">
        <v>464</v>
      </c>
      <c r="O114" s="613"/>
    </row>
    <row r="115" spans="12:15" x14ac:dyDescent="0.3">
      <c r="L115" s="613" t="s">
        <v>1238</v>
      </c>
      <c r="M115" s="613" t="s">
        <v>464</v>
      </c>
      <c r="N115" s="613" t="s">
        <v>464</v>
      </c>
      <c r="O115" s="613"/>
    </row>
    <row r="116" spans="12:15" x14ac:dyDescent="0.3">
      <c r="L116" s="616" t="s">
        <v>1239</v>
      </c>
      <c r="M116" s="616">
        <v>0.03</v>
      </c>
      <c r="N116" s="616" t="s">
        <v>464</v>
      </c>
      <c r="O116" s="613" t="s">
        <v>1522</v>
      </c>
    </row>
    <row r="117" spans="12:15" x14ac:dyDescent="0.3">
      <c r="L117" s="613" t="s">
        <v>1240</v>
      </c>
      <c r="M117" s="613" t="s">
        <v>464</v>
      </c>
      <c r="N117" s="613" t="s">
        <v>464</v>
      </c>
      <c r="O117" s="613"/>
    </row>
    <row r="118" spans="12:15" x14ac:dyDescent="0.3">
      <c r="L118" s="613" t="s">
        <v>1241</v>
      </c>
      <c r="M118" s="613" t="s">
        <v>464</v>
      </c>
      <c r="N118" s="613" t="s">
        <v>464</v>
      </c>
      <c r="O118" s="613"/>
    </row>
    <row r="119" spans="12:15" x14ac:dyDescent="0.3">
      <c r="L119" s="613" t="s">
        <v>1242</v>
      </c>
      <c r="M119" s="613" t="s">
        <v>464</v>
      </c>
      <c r="N119" s="613" t="s">
        <v>464</v>
      </c>
      <c r="O119" s="613"/>
    </row>
    <row r="120" spans="12:15" x14ac:dyDescent="0.3">
      <c r="L120" s="613" t="s">
        <v>826</v>
      </c>
      <c r="M120" s="613" t="s">
        <v>464</v>
      </c>
      <c r="N120" s="613" t="s">
        <v>464</v>
      </c>
      <c r="O120" s="613"/>
    </row>
    <row r="121" spans="12:15" x14ac:dyDescent="0.3">
      <c r="L121" s="613" t="s">
        <v>1243</v>
      </c>
      <c r="M121" s="613" t="s">
        <v>464</v>
      </c>
      <c r="N121" s="613" t="s">
        <v>464</v>
      </c>
      <c r="O121" s="613"/>
    </row>
    <row r="122" spans="12:15" x14ac:dyDescent="0.3">
      <c r="L122" s="613" t="s">
        <v>827</v>
      </c>
      <c r="M122" s="613" t="s">
        <v>464</v>
      </c>
      <c r="N122" s="613" t="s">
        <v>464</v>
      </c>
      <c r="O122" s="613" t="s">
        <v>1621</v>
      </c>
    </row>
    <row r="123" spans="12:15" x14ac:dyDescent="0.3">
      <c r="L123" s="613" t="s">
        <v>1244</v>
      </c>
      <c r="M123" s="613" t="s">
        <v>464</v>
      </c>
      <c r="N123" s="613" t="s">
        <v>464</v>
      </c>
      <c r="O123" s="613"/>
    </row>
    <row r="124" spans="12:15" x14ac:dyDescent="0.3">
      <c r="L124" s="613" t="s">
        <v>1245</v>
      </c>
      <c r="M124" s="613" t="s">
        <v>464</v>
      </c>
      <c r="N124" s="613" t="s">
        <v>464</v>
      </c>
      <c r="O124" s="613"/>
    </row>
    <row r="125" spans="12:15" x14ac:dyDescent="0.3">
      <c r="L125" s="613" t="s">
        <v>1246</v>
      </c>
      <c r="M125" s="613" t="s">
        <v>464</v>
      </c>
      <c r="N125" s="613" t="s">
        <v>464</v>
      </c>
      <c r="O125" s="613"/>
    </row>
    <row r="126" spans="12:15" x14ac:dyDescent="0.3">
      <c r="L126" s="613" t="s">
        <v>1247</v>
      </c>
      <c r="M126" s="613" t="s">
        <v>464</v>
      </c>
      <c r="N126" s="613" t="s">
        <v>464</v>
      </c>
      <c r="O126" s="613"/>
    </row>
    <row r="127" spans="12:15" x14ac:dyDescent="0.3">
      <c r="L127" s="613" t="s">
        <v>496</v>
      </c>
      <c r="M127" s="613" t="s">
        <v>464</v>
      </c>
      <c r="N127" s="613" t="s">
        <v>464</v>
      </c>
      <c r="O127" s="613"/>
    </row>
    <row r="128" spans="12:15" x14ac:dyDescent="0.3">
      <c r="L128" s="613" t="s">
        <v>1248</v>
      </c>
      <c r="M128" s="613" t="s">
        <v>464</v>
      </c>
      <c r="N128" s="613" t="s">
        <v>464</v>
      </c>
      <c r="O128" s="613"/>
    </row>
    <row r="129" spans="12:16" x14ac:dyDescent="0.3">
      <c r="L129" s="613" t="s">
        <v>1249</v>
      </c>
      <c r="M129" s="613" t="s">
        <v>464</v>
      </c>
      <c r="N129" s="613" t="s">
        <v>464</v>
      </c>
      <c r="O129" s="613"/>
    </row>
    <row r="130" spans="12:16" x14ac:dyDescent="0.3">
      <c r="L130" s="613" t="s">
        <v>497</v>
      </c>
      <c r="M130" s="613" t="s">
        <v>464</v>
      </c>
      <c r="N130" s="613" t="s">
        <v>464</v>
      </c>
      <c r="O130" s="613"/>
    </row>
    <row r="131" spans="12:16" x14ac:dyDescent="0.3">
      <c r="L131" s="616" t="s">
        <v>1250</v>
      </c>
      <c r="M131" s="616">
        <v>0.03</v>
      </c>
      <c r="N131" s="616" t="s">
        <v>464</v>
      </c>
      <c r="O131" s="613" t="s">
        <v>1522</v>
      </c>
    </row>
    <row r="132" spans="12:16" x14ac:dyDescent="0.3">
      <c r="L132" s="613" t="s">
        <v>1251</v>
      </c>
      <c r="M132" s="613" t="s">
        <v>464</v>
      </c>
      <c r="N132" s="613" t="s">
        <v>464</v>
      </c>
      <c r="O132" s="613"/>
    </row>
    <row r="133" spans="12:16" x14ac:dyDescent="0.3">
      <c r="L133" s="613" t="s">
        <v>1252</v>
      </c>
      <c r="M133" s="613" t="s">
        <v>464</v>
      </c>
      <c r="N133" s="613" t="s">
        <v>464</v>
      </c>
      <c r="O133" s="613"/>
    </row>
    <row r="134" spans="12:16" x14ac:dyDescent="0.3">
      <c r="L134" s="613" t="s">
        <v>1253</v>
      </c>
      <c r="M134" s="613" t="s">
        <v>464</v>
      </c>
      <c r="N134" s="613" t="s">
        <v>464</v>
      </c>
      <c r="O134" s="613"/>
    </row>
    <row r="135" spans="12:16" x14ac:dyDescent="0.3">
      <c r="L135" s="613" t="s">
        <v>389</v>
      </c>
      <c r="M135" s="613" t="s">
        <v>464</v>
      </c>
      <c r="N135" s="613" t="s">
        <v>464</v>
      </c>
      <c r="O135" s="613"/>
    </row>
    <row r="136" spans="12:16" x14ac:dyDescent="0.3">
      <c r="L136" s="613" t="s">
        <v>498</v>
      </c>
      <c r="M136" s="613" t="s">
        <v>464</v>
      </c>
      <c r="N136" s="613" t="s">
        <v>464</v>
      </c>
      <c r="O136" s="613"/>
    </row>
    <row r="137" spans="12:16" x14ac:dyDescent="0.3">
      <c r="L137" s="613" t="s">
        <v>1254</v>
      </c>
      <c r="M137" s="613" t="s">
        <v>464</v>
      </c>
      <c r="N137" s="613" t="s">
        <v>464</v>
      </c>
      <c r="O137" s="613"/>
    </row>
    <row r="138" spans="12:16" x14ac:dyDescent="0.3">
      <c r="L138" s="613" t="s">
        <v>1255</v>
      </c>
      <c r="M138" s="613" t="s">
        <v>464</v>
      </c>
      <c r="N138" s="613" t="s">
        <v>464</v>
      </c>
      <c r="O138" s="613"/>
    </row>
    <row r="139" spans="12:16" x14ac:dyDescent="0.3">
      <c r="L139" s="613" t="s">
        <v>499</v>
      </c>
      <c r="M139" s="613" t="s">
        <v>464</v>
      </c>
      <c r="N139" s="613" t="s">
        <v>464</v>
      </c>
      <c r="O139" s="613"/>
    </row>
    <row r="140" spans="12:16" x14ac:dyDescent="0.3">
      <c r="L140" s="613" t="s">
        <v>500</v>
      </c>
      <c r="M140" s="613" t="s">
        <v>464</v>
      </c>
      <c r="N140" s="613" t="s">
        <v>464</v>
      </c>
      <c r="O140" s="613"/>
    </row>
    <row r="141" spans="12:16" x14ac:dyDescent="0.3">
      <c r="L141" s="613" t="s">
        <v>1256</v>
      </c>
      <c r="M141" s="613" t="s">
        <v>464</v>
      </c>
      <c r="N141" s="613" t="s">
        <v>464</v>
      </c>
      <c r="O141" s="613"/>
    </row>
    <row r="142" spans="12:16" x14ac:dyDescent="0.3">
      <c r="L142" s="613" t="s">
        <v>1257</v>
      </c>
      <c r="M142" s="613" t="s">
        <v>464</v>
      </c>
      <c r="N142" s="613" t="s">
        <v>464</v>
      </c>
      <c r="O142" s="613"/>
    </row>
    <row r="143" spans="12:16" x14ac:dyDescent="0.3">
      <c r="L143" s="615" t="s">
        <v>1258</v>
      </c>
      <c r="M143" s="615">
        <v>0.03</v>
      </c>
      <c r="N143" s="615">
        <v>0.05</v>
      </c>
      <c r="O143" s="613" t="s">
        <v>1527</v>
      </c>
      <c r="P143" s="622" t="s">
        <v>1523</v>
      </c>
    </row>
    <row r="144" spans="12:16" x14ac:dyDescent="0.3">
      <c r="L144" s="615" t="s">
        <v>828</v>
      </c>
      <c r="M144" s="615">
        <v>0.03</v>
      </c>
      <c r="N144" s="615">
        <v>0.05</v>
      </c>
      <c r="O144" s="613" t="s">
        <v>1527</v>
      </c>
      <c r="P144" s="622" t="s">
        <v>1523</v>
      </c>
    </row>
    <row r="145" spans="12:15" x14ac:dyDescent="0.3">
      <c r="L145" s="613" t="s">
        <v>1259</v>
      </c>
      <c r="M145" s="613" t="s">
        <v>464</v>
      </c>
      <c r="N145" s="613" t="s">
        <v>464</v>
      </c>
      <c r="O145" s="613"/>
    </row>
    <row r="146" spans="12:15" x14ac:dyDescent="0.3">
      <c r="L146" s="613" t="s">
        <v>1260</v>
      </c>
      <c r="M146" s="613" t="s">
        <v>464</v>
      </c>
      <c r="N146" s="613" t="s">
        <v>464</v>
      </c>
      <c r="O146" s="613"/>
    </row>
    <row r="147" spans="12:15" x14ac:dyDescent="0.3">
      <c r="L147" s="613" t="s">
        <v>1261</v>
      </c>
      <c r="M147" s="613" t="s">
        <v>464</v>
      </c>
      <c r="N147" s="613" t="s">
        <v>464</v>
      </c>
      <c r="O147" s="613"/>
    </row>
    <row r="148" spans="12:15" x14ac:dyDescent="0.3">
      <c r="L148" s="613" t="s">
        <v>1262</v>
      </c>
      <c r="M148" s="613" t="s">
        <v>464</v>
      </c>
      <c r="N148" s="613" t="s">
        <v>464</v>
      </c>
      <c r="O148" s="613"/>
    </row>
    <row r="149" spans="12:15" x14ac:dyDescent="0.3">
      <c r="L149" s="613" t="s">
        <v>502</v>
      </c>
      <c r="M149" s="613" t="s">
        <v>464</v>
      </c>
      <c r="N149" s="613" t="s">
        <v>464</v>
      </c>
      <c r="O149" s="613"/>
    </row>
    <row r="150" spans="12:15" x14ac:dyDescent="0.3">
      <c r="L150" s="613" t="s">
        <v>503</v>
      </c>
      <c r="M150" s="613" t="s">
        <v>464</v>
      </c>
      <c r="N150" s="613" t="s">
        <v>464</v>
      </c>
      <c r="O150" s="613"/>
    </row>
    <row r="151" spans="12:15" x14ac:dyDescent="0.3">
      <c r="L151" s="613" t="s">
        <v>1263</v>
      </c>
      <c r="M151" s="613" t="s">
        <v>464</v>
      </c>
      <c r="N151" s="613" t="s">
        <v>464</v>
      </c>
      <c r="O151" s="613"/>
    </row>
    <row r="152" spans="12:15" x14ac:dyDescent="0.3">
      <c r="L152" s="613" t="s">
        <v>1264</v>
      </c>
      <c r="M152" s="613" t="s">
        <v>464</v>
      </c>
      <c r="N152" s="613" t="s">
        <v>464</v>
      </c>
      <c r="O152" s="613"/>
    </row>
    <row r="153" spans="12:15" x14ac:dyDescent="0.3">
      <c r="L153" s="613" t="s">
        <v>504</v>
      </c>
      <c r="M153" s="613" t="s">
        <v>464</v>
      </c>
      <c r="N153" s="613" t="s">
        <v>464</v>
      </c>
      <c r="O153" s="613" t="s">
        <v>1621</v>
      </c>
    </row>
    <row r="154" spans="12:15" x14ac:dyDescent="0.3">
      <c r="L154" s="613" t="s">
        <v>829</v>
      </c>
      <c r="M154" s="613" t="s">
        <v>464</v>
      </c>
      <c r="N154" s="613" t="s">
        <v>464</v>
      </c>
      <c r="O154" s="613"/>
    </row>
    <row r="155" spans="12:15" x14ac:dyDescent="0.3">
      <c r="L155" s="613" t="s">
        <v>830</v>
      </c>
      <c r="M155" s="613" t="s">
        <v>464</v>
      </c>
      <c r="N155" s="613" t="s">
        <v>464</v>
      </c>
      <c r="O155" s="613"/>
    </row>
    <row r="156" spans="12:15" x14ac:dyDescent="0.3">
      <c r="L156" s="613" t="s">
        <v>506</v>
      </c>
      <c r="M156" s="613" t="s">
        <v>464</v>
      </c>
      <c r="N156" s="613" t="s">
        <v>464</v>
      </c>
      <c r="O156" s="613"/>
    </row>
    <row r="157" spans="12:15" x14ac:dyDescent="0.3">
      <c r="L157" s="613" t="s">
        <v>507</v>
      </c>
      <c r="M157" s="613" t="s">
        <v>464</v>
      </c>
      <c r="N157" s="613" t="s">
        <v>464</v>
      </c>
      <c r="O157" s="613"/>
    </row>
    <row r="158" spans="12:15" x14ac:dyDescent="0.3">
      <c r="L158" s="613" t="s">
        <v>508</v>
      </c>
      <c r="M158" s="613" t="s">
        <v>464</v>
      </c>
      <c r="N158" s="613" t="s">
        <v>464</v>
      </c>
      <c r="O158" s="613"/>
    </row>
    <row r="159" spans="12:15" x14ac:dyDescent="0.3">
      <c r="L159" s="613" t="s">
        <v>1265</v>
      </c>
      <c r="M159" s="613" t="s">
        <v>464</v>
      </c>
      <c r="N159" s="613" t="s">
        <v>464</v>
      </c>
      <c r="O159" s="613"/>
    </row>
    <row r="160" spans="12:15" x14ac:dyDescent="0.3">
      <c r="L160" s="613" t="s">
        <v>1266</v>
      </c>
      <c r="M160" s="613" t="s">
        <v>464</v>
      </c>
      <c r="N160" s="613" t="s">
        <v>464</v>
      </c>
      <c r="O160" s="613"/>
    </row>
    <row r="161" spans="12:16" x14ac:dyDescent="0.3">
      <c r="L161" s="613" t="s">
        <v>1267</v>
      </c>
      <c r="M161" s="613" t="s">
        <v>464</v>
      </c>
      <c r="N161" s="613" t="s">
        <v>464</v>
      </c>
      <c r="O161" s="613"/>
    </row>
    <row r="162" spans="12:16" x14ac:dyDescent="0.3">
      <c r="L162" s="613" t="s">
        <v>1268</v>
      </c>
      <c r="M162" s="613" t="s">
        <v>464</v>
      </c>
      <c r="N162" s="613" t="s">
        <v>464</v>
      </c>
      <c r="O162" s="613"/>
    </row>
    <row r="163" spans="12:16" x14ac:dyDescent="0.3">
      <c r="L163" s="613" t="s">
        <v>1269</v>
      </c>
      <c r="M163" s="613" t="s">
        <v>464</v>
      </c>
      <c r="N163" s="613" t="s">
        <v>464</v>
      </c>
      <c r="O163" s="613"/>
    </row>
    <row r="164" spans="12:16" x14ac:dyDescent="0.3">
      <c r="L164" s="613" t="s">
        <v>1270</v>
      </c>
      <c r="M164" s="613" t="s">
        <v>464</v>
      </c>
      <c r="N164" s="613" t="s">
        <v>464</v>
      </c>
      <c r="O164" s="613"/>
    </row>
    <row r="165" spans="12:16" x14ac:dyDescent="0.3">
      <c r="L165" s="615" t="s">
        <v>1271</v>
      </c>
      <c r="M165" s="615">
        <v>0.03</v>
      </c>
      <c r="N165" s="615">
        <v>0.05</v>
      </c>
      <c r="O165" s="613" t="s">
        <v>1527</v>
      </c>
      <c r="P165" s="622" t="s">
        <v>1523</v>
      </c>
    </row>
    <row r="166" spans="12:16" x14ac:dyDescent="0.3">
      <c r="L166" s="613" t="s">
        <v>1272</v>
      </c>
      <c r="M166" s="613" t="s">
        <v>464</v>
      </c>
      <c r="N166" s="613" t="s">
        <v>464</v>
      </c>
      <c r="O166" s="613" t="s">
        <v>1621</v>
      </c>
    </row>
    <row r="167" spans="12:16" x14ac:dyDescent="0.3">
      <c r="L167" s="613" t="s">
        <v>1273</v>
      </c>
      <c r="M167" s="613" t="s">
        <v>464</v>
      </c>
      <c r="N167" s="613" t="s">
        <v>464</v>
      </c>
      <c r="O167" s="613"/>
    </row>
    <row r="168" spans="12:16" x14ac:dyDescent="0.3">
      <c r="L168" s="613" t="s">
        <v>1274</v>
      </c>
      <c r="M168" s="613" t="s">
        <v>464</v>
      </c>
      <c r="N168" s="613" t="s">
        <v>464</v>
      </c>
      <c r="O168" s="613"/>
    </row>
    <row r="169" spans="12:16" x14ac:dyDescent="0.3">
      <c r="L169" s="613" t="s">
        <v>509</v>
      </c>
      <c r="M169" s="613" t="s">
        <v>464</v>
      </c>
      <c r="N169" s="613" t="s">
        <v>464</v>
      </c>
      <c r="O169" s="613"/>
    </row>
    <row r="170" spans="12:16" x14ac:dyDescent="0.3">
      <c r="L170" s="613" t="s">
        <v>1275</v>
      </c>
      <c r="M170" s="613" t="s">
        <v>464</v>
      </c>
      <c r="N170" s="613" t="s">
        <v>464</v>
      </c>
      <c r="O170" s="613" t="s">
        <v>1621</v>
      </c>
    </row>
    <row r="171" spans="12:16" x14ac:dyDescent="0.3">
      <c r="L171" s="613" t="s">
        <v>1276</v>
      </c>
      <c r="M171" s="613" t="s">
        <v>464</v>
      </c>
      <c r="N171" s="613" t="s">
        <v>464</v>
      </c>
      <c r="O171" s="613"/>
    </row>
    <row r="172" spans="12:16" x14ac:dyDescent="0.3">
      <c r="L172" s="613" t="s">
        <v>1277</v>
      </c>
      <c r="M172" s="613" t="s">
        <v>464</v>
      </c>
      <c r="N172" s="613" t="s">
        <v>464</v>
      </c>
      <c r="O172" s="613" t="s">
        <v>1621</v>
      </c>
    </row>
    <row r="173" spans="12:16" x14ac:dyDescent="0.3">
      <c r="L173" s="613" t="s">
        <v>510</v>
      </c>
      <c r="M173" s="613" t="s">
        <v>464</v>
      </c>
      <c r="N173" s="613" t="s">
        <v>464</v>
      </c>
      <c r="O173" s="613"/>
    </row>
    <row r="174" spans="12:16" x14ac:dyDescent="0.3">
      <c r="L174" s="613" t="s">
        <v>1278</v>
      </c>
      <c r="M174" s="613" t="s">
        <v>464</v>
      </c>
      <c r="N174" s="613" t="s">
        <v>464</v>
      </c>
      <c r="O174" s="613"/>
    </row>
    <row r="175" spans="12:16" x14ac:dyDescent="0.3">
      <c r="L175" s="613" t="s">
        <v>1279</v>
      </c>
      <c r="M175" s="613" t="s">
        <v>464</v>
      </c>
      <c r="N175" s="613" t="s">
        <v>464</v>
      </c>
      <c r="O175" s="613"/>
    </row>
    <row r="176" spans="12:16" x14ac:dyDescent="0.3">
      <c r="L176" s="613" t="s">
        <v>1280</v>
      </c>
      <c r="M176" s="613" t="s">
        <v>464</v>
      </c>
      <c r="N176" s="613" t="s">
        <v>464</v>
      </c>
      <c r="O176" s="613"/>
    </row>
    <row r="177" spans="12:16" x14ac:dyDescent="0.3">
      <c r="L177" s="613" t="s">
        <v>511</v>
      </c>
      <c r="M177" s="613" t="s">
        <v>464</v>
      </c>
      <c r="N177" s="613" t="s">
        <v>464</v>
      </c>
      <c r="O177" s="613"/>
    </row>
    <row r="178" spans="12:16" x14ac:dyDescent="0.3">
      <c r="L178" s="615" t="s">
        <v>512</v>
      </c>
      <c r="M178" s="615">
        <v>0.03</v>
      </c>
      <c r="N178" s="615">
        <v>0.05</v>
      </c>
      <c r="O178" s="613" t="s">
        <v>1527</v>
      </c>
      <c r="P178" s="622" t="s">
        <v>1523</v>
      </c>
    </row>
    <row r="179" spans="12:16" x14ac:dyDescent="0.3">
      <c r="L179" s="613" t="s">
        <v>1281</v>
      </c>
      <c r="M179" s="613" t="s">
        <v>464</v>
      </c>
      <c r="N179" s="613" t="s">
        <v>464</v>
      </c>
      <c r="O179" s="613"/>
    </row>
    <row r="180" spans="12:16" x14ac:dyDescent="0.3">
      <c r="L180" s="613" t="s">
        <v>1282</v>
      </c>
      <c r="M180" s="613" t="s">
        <v>464</v>
      </c>
      <c r="N180" s="613" t="s">
        <v>464</v>
      </c>
      <c r="O180" s="613"/>
    </row>
    <row r="181" spans="12:16" x14ac:dyDescent="0.3">
      <c r="L181" s="613" t="s">
        <v>1283</v>
      </c>
      <c r="M181" s="613" t="s">
        <v>464</v>
      </c>
      <c r="N181" s="613" t="s">
        <v>464</v>
      </c>
      <c r="O181" s="613"/>
    </row>
    <row r="182" spans="12:16" x14ac:dyDescent="0.3">
      <c r="L182" s="613" t="s">
        <v>1284</v>
      </c>
      <c r="M182" s="613" t="s">
        <v>464</v>
      </c>
      <c r="N182" s="613" t="s">
        <v>464</v>
      </c>
      <c r="O182" s="613"/>
    </row>
    <row r="183" spans="12:16" x14ac:dyDescent="0.3">
      <c r="L183" s="613" t="s">
        <v>1285</v>
      </c>
      <c r="M183" s="613" t="s">
        <v>464</v>
      </c>
      <c r="N183" s="613" t="s">
        <v>464</v>
      </c>
      <c r="O183" s="613"/>
    </row>
    <row r="184" spans="12:16" x14ac:dyDescent="0.3">
      <c r="L184" s="613" t="s">
        <v>390</v>
      </c>
      <c r="M184" s="613" t="s">
        <v>464</v>
      </c>
      <c r="N184" s="613" t="s">
        <v>464</v>
      </c>
      <c r="O184" s="613"/>
    </row>
    <row r="185" spans="12:16" x14ac:dyDescent="0.3">
      <c r="L185" s="616" t="s">
        <v>1286</v>
      </c>
      <c r="M185" s="616">
        <v>0.03</v>
      </c>
      <c r="N185" s="616" t="s">
        <v>464</v>
      </c>
      <c r="O185" s="613" t="s">
        <v>1522</v>
      </c>
    </row>
    <row r="186" spans="12:16" x14ac:dyDescent="0.3">
      <c r="L186" s="613" t="s">
        <v>1287</v>
      </c>
      <c r="M186" s="613" t="s">
        <v>464</v>
      </c>
      <c r="N186" s="613" t="s">
        <v>464</v>
      </c>
      <c r="O186" s="613"/>
    </row>
    <row r="187" spans="12:16" x14ac:dyDescent="0.3">
      <c r="L187" s="613" t="s">
        <v>831</v>
      </c>
      <c r="M187" s="613" t="s">
        <v>464</v>
      </c>
      <c r="N187" s="613" t="s">
        <v>464</v>
      </c>
      <c r="O187" s="613"/>
    </row>
    <row r="188" spans="12:16" x14ac:dyDescent="0.3">
      <c r="L188" s="613" t="s">
        <v>1288</v>
      </c>
      <c r="M188" s="613" t="s">
        <v>464</v>
      </c>
      <c r="N188" s="613" t="s">
        <v>464</v>
      </c>
      <c r="O188" s="613"/>
    </row>
    <row r="189" spans="12:16" x14ac:dyDescent="0.3">
      <c r="L189" s="613" t="s">
        <v>513</v>
      </c>
      <c r="M189" s="613" t="s">
        <v>464</v>
      </c>
      <c r="N189" s="613" t="s">
        <v>464</v>
      </c>
      <c r="O189" s="613"/>
    </row>
    <row r="190" spans="12:16" x14ac:dyDescent="0.3">
      <c r="L190" s="613" t="s">
        <v>1289</v>
      </c>
      <c r="M190" s="613" t="s">
        <v>464</v>
      </c>
      <c r="N190" s="613" t="s">
        <v>464</v>
      </c>
      <c r="O190" s="613"/>
    </row>
    <row r="191" spans="12:16" x14ac:dyDescent="0.3">
      <c r="L191" s="613" t="s">
        <v>514</v>
      </c>
      <c r="M191" s="613" t="s">
        <v>464</v>
      </c>
      <c r="N191" s="613" t="s">
        <v>464</v>
      </c>
      <c r="O191" s="613"/>
    </row>
    <row r="192" spans="12:16" x14ac:dyDescent="0.3">
      <c r="L192" s="613" t="s">
        <v>1290</v>
      </c>
      <c r="M192" s="613" t="s">
        <v>464</v>
      </c>
      <c r="N192" s="613" t="s">
        <v>464</v>
      </c>
      <c r="O192" s="613"/>
    </row>
    <row r="193" spans="12:16" x14ac:dyDescent="0.3">
      <c r="L193" s="613" t="s">
        <v>1129</v>
      </c>
      <c r="M193" s="613" t="s">
        <v>464</v>
      </c>
      <c r="N193" s="613" t="s">
        <v>464</v>
      </c>
      <c r="O193" s="613"/>
    </row>
    <row r="194" spans="12:16" x14ac:dyDescent="0.3">
      <c r="L194" s="613" t="s">
        <v>1291</v>
      </c>
      <c r="M194" s="613" t="s">
        <v>464</v>
      </c>
      <c r="N194" s="613" t="s">
        <v>464</v>
      </c>
      <c r="O194" s="613"/>
    </row>
    <row r="195" spans="12:16" x14ac:dyDescent="0.3">
      <c r="L195" s="616" t="s">
        <v>1292</v>
      </c>
      <c r="M195" s="616">
        <v>0.03</v>
      </c>
      <c r="N195" s="616" t="s">
        <v>464</v>
      </c>
      <c r="O195" s="613" t="s">
        <v>1522</v>
      </c>
    </row>
    <row r="196" spans="12:16" x14ac:dyDescent="0.3">
      <c r="L196" s="613" t="s">
        <v>1293</v>
      </c>
      <c r="M196" s="613" t="s">
        <v>464</v>
      </c>
      <c r="N196" s="613" t="s">
        <v>464</v>
      </c>
      <c r="O196" s="613"/>
    </row>
    <row r="197" spans="12:16" x14ac:dyDescent="0.3">
      <c r="L197" s="613" t="s">
        <v>1294</v>
      </c>
      <c r="M197" s="613" t="s">
        <v>464</v>
      </c>
      <c r="N197" s="613" t="s">
        <v>464</v>
      </c>
      <c r="O197" s="613"/>
    </row>
    <row r="198" spans="12:16" x14ac:dyDescent="0.3">
      <c r="L198" s="613" t="s">
        <v>832</v>
      </c>
      <c r="M198" s="613" t="s">
        <v>464</v>
      </c>
      <c r="N198" s="613" t="s">
        <v>464</v>
      </c>
      <c r="O198" s="613"/>
    </row>
    <row r="199" spans="12:16" x14ac:dyDescent="0.3">
      <c r="L199" s="613" t="s">
        <v>515</v>
      </c>
      <c r="M199" s="613" t="s">
        <v>464</v>
      </c>
      <c r="N199" s="613" t="s">
        <v>464</v>
      </c>
      <c r="O199" s="613"/>
    </row>
    <row r="200" spans="12:16" x14ac:dyDescent="0.3">
      <c r="L200" s="613" t="s">
        <v>396</v>
      </c>
      <c r="M200" s="613" t="s">
        <v>464</v>
      </c>
      <c r="N200" s="613" t="s">
        <v>464</v>
      </c>
      <c r="O200" s="613"/>
    </row>
    <row r="201" spans="12:16" x14ac:dyDescent="0.3">
      <c r="L201" s="615" t="s">
        <v>397</v>
      </c>
      <c r="M201" s="615">
        <v>0.03</v>
      </c>
      <c r="N201" s="615">
        <v>0.05</v>
      </c>
      <c r="O201" s="613" t="s">
        <v>1527</v>
      </c>
      <c r="P201" s="622" t="s">
        <v>1523</v>
      </c>
    </row>
    <row r="202" spans="12:16" x14ac:dyDescent="0.3">
      <c r="L202" s="613" t="s">
        <v>1295</v>
      </c>
      <c r="M202" s="613" t="s">
        <v>464</v>
      </c>
      <c r="N202" s="613" t="s">
        <v>464</v>
      </c>
      <c r="O202" s="613"/>
    </row>
    <row r="203" spans="12:16" x14ac:dyDescent="0.3">
      <c r="L203" s="613" t="s">
        <v>1296</v>
      </c>
      <c r="M203" s="613" t="s">
        <v>464</v>
      </c>
      <c r="N203" s="613" t="s">
        <v>464</v>
      </c>
      <c r="O203" s="613"/>
    </row>
    <row r="204" spans="12:16" x14ac:dyDescent="0.3">
      <c r="L204" s="613" t="s">
        <v>516</v>
      </c>
      <c r="M204" s="613" t="s">
        <v>464</v>
      </c>
      <c r="N204" s="613" t="s">
        <v>464</v>
      </c>
      <c r="O204" s="613"/>
    </row>
    <row r="205" spans="12:16" x14ac:dyDescent="0.3">
      <c r="L205" s="613" t="s">
        <v>517</v>
      </c>
      <c r="M205" s="613" t="s">
        <v>464</v>
      </c>
      <c r="N205" s="613" t="s">
        <v>464</v>
      </c>
      <c r="O205" s="613"/>
    </row>
    <row r="206" spans="12:16" x14ac:dyDescent="0.3">
      <c r="L206" s="615" t="s">
        <v>518</v>
      </c>
      <c r="M206" s="615">
        <v>0.03</v>
      </c>
      <c r="N206" s="615">
        <v>0.05</v>
      </c>
      <c r="O206" s="613" t="s">
        <v>1527</v>
      </c>
      <c r="P206" s="622" t="s">
        <v>1523</v>
      </c>
    </row>
    <row r="207" spans="12:16" x14ac:dyDescent="0.3">
      <c r="L207" s="613" t="s">
        <v>519</v>
      </c>
      <c r="M207" s="613" t="s">
        <v>464</v>
      </c>
      <c r="N207" s="613" t="s">
        <v>464</v>
      </c>
      <c r="O207" s="613"/>
    </row>
    <row r="208" spans="12:16" x14ac:dyDescent="0.3">
      <c r="L208" s="613" t="s">
        <v>1297</v>
      </c>
      <c r="M208" s="613" t="s">
        <v>464</v>
      </c>
      <c r="N208" s="613" t="s">
        <v>464</v>
      </c>
      <c r="O208" s="613"/>
    </row>
    <row r="209" spans="12:16" x14ac:dyDescent="0.3">
      <c r="L209" s="613" t="s">
        <v>1298</v>
      </c>
      <c r="M209" s="613" t="s">
        <v>464</v>
      </c>
      <c r="N209" s="613" t="s">
        <v>464</v>
      </c>
      <c r="O209" s="613"/>
    </row>
    <row r="210" spans="12:16" x14ac:dyDescent="0.3">
      <c r="L210" s="613" t="s">
        <v>1299</v>
      </c>
      <c r="M210" s="613" t="s">
        <v>464</v>
      </c>
      <c r="N210" s="613" t="s">
        <v>464</v>
      </c>
      <c r="O210" s="613"/>
    </row>
    <row r="211" spans="12:16" x14ac:dyDescent="0.3">
      <c r="L211" s="613" t="s">
        <v>1300</v>
      </c>
      <c r="M211" s="613" t="s">
        <v>464</v>
      </c>
      <c r="N211" s="613" t="s">
        <v>464</v>
      </c>
      <c r="O211" s="613"/>
    </row>
    <row r="212" spans="12:16" x14ac:dyDescent="0.3">
      <c r="L212" s="613" t="s">
        <v>833</v>
      </c>
      <c r="M212" s="613" t="s">
        <v>464</v>
      </c>
      <c r="N212" s="613" t="s">
        <v>464</v>
      </c>
      <c r="O212" s="613"/>
    </row>
    <row r="213" spans="12:16" x14ac:dyDescent="0.3">
      <c r="L213" s="613" t="s">
        <v>1301</v>
      </c>
      <c r="M213" s="613" t="s">
        <v>464</v>
      </c>
      <c r="N213" s="613" t="s">
        <v>464</v>
      </c>
      <c r="O213" s="613"/>
    </row>
    <row r="214" spans="12:16" x14ac:dyDescent="0.3">
      <c r="L214" s="613" t="s">
        <v>834</v>
      </c>
      <c r="M214" s="613" t="s">
        <v>464</v>
      </c>
      <c r="N214" s="613" t="s">
        <v>464</v>
      </c>
      <c r="O214" s="613"/>
    </row>
    <row r="215" spans="12:16" x14ac:dyDescent="0.3">
      <c r="L215" s="613" t="s">
        <v>1302</v>
      </c>
      <c r="M215" s="613" t="s">
        <v>464</v>
      </c>
      <c r="N215" s="613" t="s">
        <v>464</v>
      </c>
      <c r="O215" s="613"/>
    </row>
    <row r="216" spans="12:16" x14ac:dyDescent="0.3">
      <c r="L216" s="613" t="s">
        <v>1303</v>
      </c>
      <c r="M216" s="613" t="s">
        <v>464</v>
      </c>
      <c r="N216" s="613" t="s">
        <v>464</v>
      </c>
      <c r="O216" s="613"/>
    </row>
    <row r="217" spans="12:16" x14ac:dyDescent="0.3">
      <c r="L217" s="613" t="s">
        <v>391</v>
      </c>
      <c r="M217" s="613" t="s">
        <v>464</v>
      </c>
      <c r="N217" s="613" t="s">
        <v>464</v>
      </c>
      <c r="O217" s="613"/>
    </row>
    <row r="218" spans="12:16" x14ac:dyDescent="0.3">
      <c r="L218" s="613" t="s">
        <v>1304</v>
      </c>
      <c r="M218" s="613" t="s">
        <v>464</v>
      </c>
      <c r="N218" s="613" t="s">
        <v>464</v>
      </c>
      <c r="O218" s="613"/>
    </row>
    <row r="219" spans="12:16" x14ac:dyDescent="0.3">
      <c r="L219" s="615" t="s">
        <v>835</v>
      </c>
      <c r="M219" s="615">
        <v>0.03</v>
      </c>
      <c r="N219" s="615">
        <v>0.05</v>
      </c>
      <c r="O219" s="613" t="s">
        <v>1527</v>
      </c>
      <c r="P219" s="622" t="s">
        <v>1523</v>
      </c>
    </row>
    <row r="220" spans="12:16" x14ac:dyDescent="0.3">
      <c r="L220" s="613" t="s">
        <v>1305</v>
      </c>
      <c r="M220" s="613" t="s">
        <v>464</v>
      </c>
      <c r="N220" s="613" t="s">
        <v>464</v>
      </c>
      <c r="O220" s="613"/>
    </row>
    <row r="221" spans="12:16" x14ac:dyDescent="0.3">
      <c r="L221" s="616" t="s">
        <v>398</v>
      </c>
      <c r="M221" s="616" t="s">
        <v>464</v>
      </c>
      <c r="N221" s="616" t="s">
        <v>464</v>
      </c>
      <c r="O221" s="613" t="s">
        <v>1522</v>
      </c>
    </row>
    <row r="222" spans="12:16" x14ac:dyDescent="0.3">
      <c r="L222" s="613" t="s">
        <v>1306</v>
      </c>
      <c r="M222" s="613" t="s">
        <v>464</v>
      </c>
      <c r="N222" s="613" t="s">
        <v>464</v>
      </c>
      <c r="O222" s="613"/>
    </row>
    <row r="223" spans="12:16" x14ac:dyDescent="0.3">
      <c r="L223" s="613" t="s">
        <v>1307</v>
      </c>
      <c r="M223" s="613" t="s">
        <v>464</v>
      </c>
      <c r="N223" s="613" t="s">
        <v>464</v>
      </c>
      <c r="O223" s="613" t="s">
        <v>1621</v>
      </c>
    </row>
    <row r="224" spans="12:16" x14ac:dyDescent="0.3">
      <c r="L224" s="613" t="s">
        <v>1308</v>
      </c>
      <c r="M224" s="613" t="s">
        <v>464</v>
      </c>
      <c r="N224" s="613" t="s">
        <v>464</v>
      </c>
      <c r="O224" s="613"/>
    </row>
    <row r="225" spans="12:16" x14ac:dyDescent="0.3">
      <c r="L225" s="613" t="s">
        <v>1309</v>
      </c>
      <c r="M225" s="613" t="s">
        <v>464</v>
      </c>
      <c r="N225" s="613" t="s">
        <v>464</v>
      </c>
      <c r="O225" s="613"/>
    </row>
    <row r="226" spans="12:16" x14ac:dyDescent="0.3">
      <c r="L226" s="615" t="s">
        <v>1310</v>
      </c>
      <c r="M226" s="615">
        <v>0.03</v>
      </c>
      <c r="N226" s="615">
        <v>0.05</v>
      </c>
      <c r="O226" s="613" t="s">
        <v>1527</v>
      </c>
      <c r="P226" s="622" t="s">
        <v>1523</v>
      </c>
    </row>
    <row r="227" spans="12:16" x14ac:dyDescent="0.3">
      <c r="L227" s="613" t="s">
        <v>520</v>
      </c>
      <c r="M227" s="613" t="s">
        <v>464</v>
      </c>
      <c r="N227" s="613" t="s">
        <v>464</v>
      </c>
      <c r="O227" s="613"/>
    </row>
    <row r="228" spans="12:16" x14ac:dyDescent="0.3">
      <c r="L228" s="613" t="s">
        <v>1311</v>
      </c>
      <c r="M228" s="613" t="s">
        <v>464</v>
      </c>
      <c r="N228" s="613" t="s">
        <v>464</v>
      </c>
      <c r="O228" s="613"/>
    </row>
    <row r="229" spans="12:16" x14ac:dyDescent="0.3">
      <c r="L229" s="613" t="s">
        <v>521</v>
      </c>
      <c r="M229" s="613" t="s">
        <v>464</v>
      </c>
      <c r="N229" s="613" t="s">
        <v>464</v>
      </c>
      <c r="O229" s="613"/>
    </row>
    <row r="230" spans="12:16" x14ac:dyDescent="0.3">
      <c r="L230" s="613" t="s">
        <v>1312</v>
      </c>
      <c r="M230" s="613" t="s">
        <v>464</v>
      </c>
      <c r="N230" s="613" t="s">
        <v>464</v>
      </c>
      <c r="O230" s="613"/>
    </row>
    <row r="231" spans="12:16" x14ac:dyDescent="0.3">
      <c r="L231" s="615" t="s">
        <v>522</v>
      </c>
      <c r="M231" s="615">
        <v>0.03</v>
      </c>
      <c r="N231" s="615">
        <v>0.05</v>
      </c>
      <c r="O231" s="613" t="s">
        <v>1527</v>
      </c>
      <c r="P231" s="622" t="s">
        <v>1523</v>
      </c>
    </row>
    <row r="232" spans="12:16" x14ac:dyDescent="0.3">
      <c r="L232" s="613" t="s">
        <v>1313</v>
      </c>
      <c r="M232" s="613" t="s">
        <v>464</v>
      </c>
      <c r="N232" s="613" t="s">
        <v>464</v>
      </c>
      <c r="O232" s="613"/>
    </row>
    <row r="233" spans="12:16" x14ac:dyDescent="0.3">
      <c r="L233" s="613" t="s">
        <v>1314</v>
      </c>
      <c r="M233" s="613" t="s">
        <v>464</v>
      </c>
      <c r="N233" s="613" t="s">
        <v>464</v>
      </c>
      <c r="O233" s="613"/>
    </row>
    <row r="234" spans="12:16" x14ac:dyDescent="0.3">
      <c r="L234" s="613" t="s">
        <v>1130</v>
      </c>
      <c r="M234" s="613" t="s">
        <v>464</v>
      </c>
      <c r="N234" s="613" t="s">
        <v>464</v>
      </c>
      <c r="O234" s="613"/>
    </row>
    <row r="235" spans="12:16" x14ac:dyDescent="0.3">
      <c r="L235" s="616" t="s">
        <v>1315</v>
      </c>
      <c r="M235" s="616" t="s">
        <v>464</v>
      </c>
      <c r="N235" s="616" t="s">
        <v>464</v>
      </c>
      <c r="O235" s="613" t="s">
        <v>1522</v>
      </c>
    </row>
    <row r="236" spans="12:16" x14ac:dyDescent="0.3">
      <c r="L236" s="613" t="s">
        <v>436</v>
      </c>
      <c r="M236" s="613" t="s">
        <v>464</v>
      </c>
      <c r="N236" s="613" t="s">
        <v>464</v>
      </c>
      <c r="O236" s="613"/>
    </row>
    <row r="237" spans="12:16" x14ac:dyDescent="0.3">
      <c r="L237" s="613" t="s">
        <v>1316</v>
      </c>
      <c r="M237" s="613" t="s">
        <v>464</v>
      </c>
      <c r="N237" s="613" t="s">
        <v>464</v>
      </c>
      <c r="O237" s="613"/>
    </row>
    <row r="238" spans="12:16" x14ac:dyDescent="0.3">
      <c r="L238" s="613" t="s">
        <v>437</v>
      </c>
      <c r="M238" s="613" t="s">
        <v>464</v>
      </c>
      <c r="N238" s="613" t="s">
        <v>464</v>
      </c>
      <c r="O238" s="613"/>
    </row>
    <row r="239" spans="12:16" x14ac:dyDescent="0.3">
      <c r="L239" s="613" t="s">
        <v>1317</v>
      </c>
      <c r="M239" s="613" t="s">
        <v>464</v>
      </c>
      <c r="N239" s="613" t="s">
        <v>464</v>
      </c>
      <c r="O239" s="613"/>
    </row>
    <row r="240" spans="12:16" x14ac:dyDescent="0.3">
      <c r="L240" s="613" t="s">
        <v>1318</v>
      </c>
      <c r="M240" s="613" t="s">
        <v>464</v>
      </c>
      <c r="N240" s="613" t="s">
        <v>464</v>
      </c>
      <c r="O240" s="613"/>
    </row>
    <row r="241" spans="12:16" x14ac:dyDescent="0.3">
      <c r="L241" s="613" t="s">
        <v>1319</v>
      </c>
      <c r="M241" s="613" t="s">
        <v>464</v>
      </c>
      <c r="N241" s="613" t="s">
        <v>464</v>
      </c>
      <c r="O241" s="613"/>
    </row>
    <row r="242" spans="12:16" x14ac:dyDescent="0.3">
      <c r="L242" s="613" t="s">
        <v>1320</v>
      </c>
      <c r="M242" s="613" t="s">
        <v>464</v>
      </c>
      <c r="N242" s="613" t="s">
        <v>464</v>
      </c>
      <c r="O242" s="613"/>
    </row>
    <row r="243" spans="12:16" x14ac:dyDescent="0.3">
      <c r="L243" s="613" t="s">
        <v>1321</v>
      </c>
      <c r="M243" s="613" t="s">
        <v>464</v>
      </c>
      <c r="N243" s="613" t="s">
        <v>464</v>
      </c>
      <c r="O243" s="613"/>
    </row>
    <row r="244" spans="12:16" x14ac:dyDescent="0.3">
      <c r="L244" s="613" t="s">
        <v>1322</v>
      </c>
      <c r="M244" s="613" t="s">
        <v>464</v>
      </c>
      <c r="N244" s="613" t="s">
        <v>464</v>
      </c>
      <c r="O244" s="613"/>
    </row>
    <row r="245" spans="12:16" x14ac:dyDescent="0.3">
      <c r="L245" s="613" t="s">
        <v>1323</v>
      </c>
      <c r="M245" s="613" t="s">
        <v>464</v>
      </c>
      <c r="N245" s="613" t="s">
        <v>464</v>
      </c>
      <c r="O245" s="613"/>
    </row>
    <row r="246" spans="12:16" x14ac:dyDescent="0.3">
      <c r="L246" s="613" t="s">
        <v>1324</v>
      </c>
      <c r="M246" s="613" t="s">
        <v>464</v>
      </c>
      <c r="N246" s="613" t="s">
        <v>464</v>
      </c>
      <c r="O246" s="613"/>
    </row>
    <row r="247" spans="12:16" x14ac:dyDescent="0.3">
      <c r="L247" s="613" t="s">
        <v>1325</v>
      </c>
      <c r="M247" s="613" t="s">
        <v>464</v>
      </c>
      <c r="N247" s="613" t="s">
        <v>464</v>
      </c>
      <c r="O247" s="613"/>
    </row>
    <row r="248" spans="12:16" x14ac:dyDescent="0.3">
      <c r="L248" s="613" t="s">
        <v>1326</v>
      </c>
      <c r="M248" s="613" t="s">
        <v>464</v>
      </c>
      <c r="N248" s="613" t="s">
        <v>464</v>
      </c>
      <c r="O248" s="613"/>
    </row>
    <row r="249" spans="12:16" x14ac:dyDescent="0.3">
      <c r="L249" s="613" t="s">
        <v>1327</v>
      </c>
      <c r="M249" s="613" t="s">
        <v>464</v>
      </c>
      <c r="N249" s="613" t="s">
        <v>464</v>
      </c>
      <c r="O249" s="613"/>
    </row>
    <row r="250" spans="12:16" x14ac:dyDescent="0.3">
      <c r="L250" s="613" t="s">
        <v>1328</v>
      </c>
      <c r="M250" s="613" t="s">
        <v>464</v>
      </c>
      <c r="N250" s="613" t="s">
        <v>464</v>
      </c>
      <c r="O250" s="613"/>
    </row>
    <row r="251" spans="12:16" x14ac:dyDescent="0.3">
      <c r="L251" s="613" t="s">
        <v>1329</v>
      </c>
      <c r="M251" s="613" t="s">
        <v>464</v>
      </c>
      <c r="N251" s="613" t="s">
        <v>464</v>
      </c>
      <c r="O251" s="613" t="s">
        <v>1621</v>
      </c>
    </row>
    <row r="252" spans="12:16" x14ac:dyDescent="0.3">
      <c r="L252" s="613" t="s">
        <v>438</v>
      </c>
      <c r="M252" s="613" t="s">
        <v>464</v>
      </c>
      <c r="N252" s="613" t="s">
        <v>464</v>
      </c>
      <c r="O252" s="613"/>
    </row>
    <row r="253" spans="12:16" x14ac:dyDescent="0.3">
      <c r="L253" s="615" t="s">
        <v>1330</v>
      </c>
      <c r="M253" s="615">
        <v>0.03</v>
      </c>
      <c r="N253" s="615">
        <v>0.05</v>
      </c>
      <c r="O253" s="613" t="s">
        <v>1527</v>
      </c>
      <c r="P253" s="622" t="s">
        <v>1523</v>
      </c>
    </row>
    <row r="254" spans="12:16" x14ac:dyDescent="0.3">
      <c r="L254" s="613" t="s">
        <v>1331</v>
      </c>
      <c r="M254" s="613" t="s">
        <v>464</v>
      </c>
      <c r="N254" s="613" t="s">
        <v>464</v>
      </c>
      <c r="O254" s="613"/>
    </row>
    <row r="255" spans="12:16" x14ac:dyDescent="0.3">
      <c r="L255" s="613" t="s">
        <v>1332</v>
      </c>
      <c r="M255" s="613" t="s">
        <v>464</v>
      </c>
      <c r="N255" s="613" t="s">
        <v>464</v>
      </c>
      <c r="O255" s="613"/>
    </row>
    <row r="256" spans="12:16" x14ac:dyDescent="0.3">
      <c r="L256" s="613" t="s">
        <v>1333</v>
      </c>
      <c r="M256" s="613" t="s">
        <v>464</v>
      </c>
      <c r="N256" s="613" t="s">
        <v>464</v>
      </c>
      <c r="O256" s="613"/>
    </row>
    <row r="257" spans="12:16" x14ac:dyDescent="0.3">
      <c r="L257" s="613" t="s">
        <v>1334</v>
      </c>
      <c r="M257" s="613" t="s">
        <v>464</v>
      </c>
      <c r="N257" s="613" t="s">
        <v>464</v>
      </c>
      <c r="O257" s="613"/>
    </row>
    <row r="258" spans="12:16" x14ac:dyDescent="0.3">
      <c r="L258" s="615" t="s">
        <v>1335</v>
      </c>
      <c r="M258" s="615">
        <v>0.03</v>
      </c>
      <c r="N258" s="615">
        <v>0.05</v>
      </c>
      <c r="O258" s="613" t="s">
        <v>1527</v>
      </c>
      <c r="P258" s="622" t="s">
        <v>1523</v>
      </c>
    </row>
    <row r="259" spans="12:16" x14ac:dyDescent="0.3">
      <c r="L259" s="613" t="s">
        <v>1336</v>
      </c>
      <c r="M259" s="613" t="s">
        <v>464</v>
      </c>
      <c r="N259" s="613" t="s">
        <v>464</v>
      </c>
      <c r="O259" s="613"/>
    </row>
    <row r="260" spans="12:16" x14ac:dyDescent="0.3">
      <c r="L260" s="613" t="s">
        <v>1337</v>
      </c>
      <c r="M260" s="613" t="s">
        <v>464</v>
      </c>
      <c r="N260" s="613" t="s">
        <v>464</v>
      </c>
      <c r="O260" s="613"/>
    </row>
    <row r="261" spans="12:16" x14ac:dyDescent="0.3">
      <c r="L261" s="613" t="s">
        <v>1338</v>
      </c>
      <c r="M261" s="613" t="s">
        <v>464</v>
      </c>
      <c r="N261" s="613" t="s">
        <v>464</v>
      </c>
      <c r="O261" s="613"/>
    </row>
    <row r="262" spans="12:16" x14ac:dyDescent="0.3">
      <c r="L262" s="613" t="s">
        <v>1339</v>
      </c>
      <c r="M262" s="613" t="s">
        <v>464</v>
      </c>
      <c r="N262" s="613" t="s">
        <v>464</v>
      </c>
      <c r="O262" s="613"/>
    </row>
    <row r="263" spans="12:16" x14ac:dyDescent="0.3">
      <c r="L263" s="616" t="s">
        <v>1340</v>
      </c>
      <c r="M263" s="616" t="s">
        <v>464</v>
      </c>
      <c r="N263" s="616" t="s">
        <v>464</v>
      </c>
      <c r="O263" s="613" t="s">
        <v>1522</v>
      </c>
    </row>
    <row r="264" spans="12:16" x14ac:dyDescent="0.3">
      <c r="L264" s="613" t="s">
        <v>1341</v>
      </c>
      <c r="M264" s="613" t="s">
        <v>464</v>
      </c>
      <c r="N264" s="613" t="s">
        <v>464</v>
      </c>
      <c r="O264" s="613"/>
    </row>
    <row r="265" spans="12:16" x14ac:dyDescent="0.3">
      <c r="L265" s="613" t="s">
        <v>1342</v>
      </c>
      <c r="M265" s="613" t="s">
        <v>464</v>
      </c>
      <c r="N265" s="613" t="s">
        <v>464</v>
      </c>
      <c r="O265" s="613"/>
    </row>
    <row r="266" spans="12:16" x14ac:dyDescent="0.3">
      <c r="L266" s="613" t="s">
        <v>1343</v>
      </c>
      <c r="M266" s="613" t="s">
        <v>464</v>
      </c>
      <c r="N266" s="613" t="s">
        <v>464</v>
      </c>
      <c r="O266" s="613"/>
    </row>
    <row r="267" spans="12:16" x14ac:dyDescent="0.3">
      <c r="L267" s="613" t="s">
        <v>1344</v>
      </c>
      <c r="M267" s="613" t="s">
        <v>464</v>
      </c>
      <c r="N267" s="613" t="s">
        <v>464</v>
      </c>
      <c r="O267" s="613"/>
    </row>
    <row r="268" spans="12:16" x14ac:dyDescent="0.3">
      <c r="L268" s="615" t="s">
        <v>1345</v>
      </c>
      <c r="M268" s="615">
        <v>0.03</v>
      </c>
      <c r="N268" s="615">
        <v>0.05</v>
      </c>
      <c r="O268" s="613" t="s">
        <v>1527</v>
      </c>
      <c r="P268" s="622" t="s">
        <v>1523</v>
      </c>
    </row>
    <row r="269" spans="12:16" x14ac:dyDescent="0.3">
      <c r="L269" s="613" t="s">
        <v>1346</v>
      </c>
      <c r="M269" s="613" t="s">
        <v>464</v>
      </c>
      <c r="N269" s="613" t="s">
        <v>464</v>
      </c>
      <c r="O269" s="613"/>
    </row>
    <row r="270" spans="12:16" x14ac:dyDescent="0.3">
      <c r="L270" s="613" t="s">
        <v>1347</v>
      </c>
      <c r="M270" s="613" t="s">
        <v>464</v>
      </c>
      <c r="N270" s="613" t="s">
        <v>464</v>
      </c>
      <c r="O270" s="613"/>
    </row>
    <row r="271" spans="12:16" x14ac:dyDescent="0.3">
      <c r="L271" s="613" t="s">
        <v>1348</v>
      </c>
      <c r="M271" s="613" t="s">
        <v>464</v>
      </c>
      <c r="N271" s="613" t="s">
        <v>464</v>
      </c>
      <c r="O271" s="613"/>
    </row>
    <row r="272" spans="12:16" x14ac:dyDescent="0.3">
      <c r="L272" s="613" t="s">
        <v>1349</v>
      </c>
      <c r="M272" s="613" t="s">
        <v>464</v>
      </c>
      <c r="N272" s="613" t="s">
        <v>464</v>
      </c>
      <c r="O272" s="613"/>
    </row>
    <row r="273" spans="12:16" x14ac:dyDescent="0.3">
      <c r="L273" s="613" t="s">
        <v>1350</v>
      </c>
      <c r="M273" s="613" t="s">
        <v>464</v>
      </c>
      <c r="N273" s="613" t="s">
        <v>464</v>
      </c>
      <c r="O273" s="613"/>
    </row>
    <row r="274" spans="12:16" x14ac:dyDescent="0.3">
      <c r="L274" s="613" t="s">
        <v>1351</v>
      </c>
      <c r="M274" s="613" t="s">
        <v>464</v>
      </c>
      <c r="N274" s="613" t="s">
        <v>464</v>
      </c>
      <c r="O274" s="613"/>
    </row>
    <row r="275" spans="12:16" x14ac:dyDescent="0.3">
      <c r="L275" s="616" t="s">
        <v>1352</v>
      </c>
      <c r="M275" s="616">
        <v>0.03</v>
      </c>
      <c r="N275" s="616">
        <v>0.03</v>
      </c>
      <c r="O275" s="613" t="s">
        <v>1522</v>
      </c>
    </row>
    <row r="276" spans="12:16" x14ac:dyDescent="0.3">
      <c r="L276" s="613" t="s">
        <v>1353</v>
      </c>
      <c r="M276" s="613" t="s">
        <v>464</v>
      </c>
      <c r="N276" s="613" t="s">
        <v>464</v>
      </c>
      <c r="O276" s="613"/>
    </row>
    <row r="277" spans="12:16" x14ac:dyDescent="0.3">
      <c r="L277" s="613" t="s">
        <v>1354</v>
      </c>
      <c r="M277" s="613" t="s">
        <v>464</v>
      </c>
      <c r="N277" s="613" t="s">
        <v>464</v>
      </c>
      <c r="O277" s="613"/>
    </row>
    <row r="278" spans="12:16" x14ac:dyDescent="0.3">
      <c r="L278" s="613" t="s">
        <v>1355</v>
      </c>
      <c r="M278" s="613" t="s">
        <v>464</v>
      </c>
      <c r="N278" s="613" t="s">
        <v>464</v>
      </c>
      <c r="O278" s="613"/>
    </row>
    <row r="279" spans="12:16" x14ac:dyDescent="0.3">
      <c r="L279" s="616" t="s">
        <v>1356</v>
      </c>
      <c r="M279" s="616" t="s">
        <v>464</v>
      </c>
      <c r="N279" s="616" t="s">
        <v>464</v>
      </c>
      <c r="O279" s="613" t="s">
        <v>1522</v>
      </c>
    </row>
    <row r="280" spans="12:16" x14ac:dyDescent="0.3">
      <c r="L280" s="613" t="s">
        <v>1357</v>
      </c>
      <c r="M280" s="613" t="s">
        <v>464</v>
      </c>
      <c r="N280" s="613" t="s">
        <v>464</v>
      </c>
      <c r="O280" s="613"/>
    </row>
    <row r="281" spans="12:16" x14ac:dyDescent="0.3">
      <c r="L281" s="613" t="s">
        <v>1358</v>
      </c>
      <c r="M281" s="613" t="s">
        <v>464</v>
      </c>
      <c r="N281" s="613" t="s">
        <v>464</v>
      </c>
      <c r="O281" s="613"/>
    </row>
    <row r="282" spans="12:16" x14ac:dyDescent="0.3">
      <c r="L282" s="613" t="s">
        <v>1359</v>
      </c>
      <c r="M282" s="613" t="s">
        <v>464</v>
      </c>
      <c r="N282" s="613" t="s">
        <v>464</v>
      </c>
      <c r="O282" s="613"/>
    </row>
    <row r="283" spans="12:16" x14ac:dyDescent="0.3">
      <c r="L283" s="613" t="s">
        <v>1360</v>
      </c>
      <c r="M283" s="613" t="s">
        <v>464</v>
      </c>
      <c r="N283" s="613" t="s">
        <v>464</v>
      </c>
      <c r="O283" s="613"/>
    </row>
    <row r="284" spans="12:16" x14ac:dyDescent="0.3">
      <c r="L284" s="615" t="s">
        <v>1361</v>
      </c>
      <c r="M284" s="615">
        <v>0.03</v>
      </c>
      <c r="N284" s="615">
        <v>0.05</v>
      </c>
      <c r="O284" s="613" t="s">
        <v>1527</v>
      </c>
      <c r="P284" s="622" t="s">
        <v>1523</v>
      </c>
    </row>
    <row r="285" spans="12:16" x14ac:dyDescent="0.3">
      <c r="L285" s="613" t="s">
        <v>439</v>
      </c>
      <c r="M285" s="613" t="s">
        <v>464</v>
      </c>
      <c r="N285" s="613" t="s">
        <v>464</v>
      </c>
      <c r="O285" s="613"/>
    </row>
    <row r="286" spans="12:16" x14ac:dyDescent="0.3">
      <c r="L286" s="613" t="s">
        <v>1362</v>
      </c>
      <c r="M286" s="613" t="s">
        <v>464</v>
      </c>
      <c r="N286" s="613" t="s">
        <v>464</v>
      </c>
      <c r="O286" s="613" t="s">
        <v>1621</v>
      </c>
    </row>
    <row r="287" spans="12:16" x14ac:dyDescent="0.3">
      <c r="L287" s="613" t="s">
        <v>440</v>
      </c>
      <c r="M287" s="613" t="s">
        <v>464</v>
      </c>
      <c r="N287" s="613" t="s">
        <v>464</v>
      </c>
      <c r="O287" s="613"/>
    </row>
    <row r="288" spans="12:16" x14ac:dyDescent="0.3">
      <c r="L288" s="613" t="s">
        <v>1363</v>
      </c>
      <c r="M288" s="613" t="s">
        <v>464</v>
      </c>
      <c r="N288" s="613" t="s">
        <v>464</v>
      </c>
      <c r="O288" s="613"/>
    </row>
    <row r="289" spans="12:16" x14ac:dyDescent="0.3">
      <c r="L289" s="615" t="s">
        <v>441</v>
      </c>
      <c r="M289" s="615">
        <v>0.03</v>
      </c>
      <c r="N289" s="615">
        <v>0.05</v>
      </c>
      <c r="O289" s="613" t="s">
        <v>1527</v>
      </c>
      <c r="P289" s="622" t="s">
        <v>1523</v>
      </c>
    </row>
    <row r="290" spans="12:16" x14ac:dyDescent="0.3">
      <c r="L290" s="613" t="s">
        <v>442</v>
      </c>
      <c r="M290" s="613" t="s">
        <v>464</v>
      </c>
      <c r="N290" s="613" t="s">
        <v>464</v>
      </c>
      <c r="O290" s="613" t="s">
        <v>1621</v>
      </c>
    </row>
    <row r="291" spans="12:16" x14ac:dyDescent="0.3">
      <c r="L291" s="613" t="s">
        <v>392</v>
      </c>
      <c r="M291" s="613" t="s">
        <v>464</v>
      </c>
      <c r="N291" s="613" t="s">
        <v>464</v>
      </c>
      <c r="O291" s="613"/>
    </row>
    <row r="292" spans="12:16" x14ac:dyDescent="0.3">
      <c r="L292" s="613" t="s">
        <v>1364</v>
      </c>
      <c r="M292" s="613" t="s">
        <v>464</v>
      </c>
      <c r="N292" s="613" t="s">
        <v>464</v>
      </c>
      <c r="O292" s="613"/>
    </row>
    <row r="293" spans="12:16" x14ac:dyDescent="0.3">
      <c r="L293" s="613" t="s">
        <v>1365</v>
      </c>
      <c r="M293" s="613" t="s">
        <v>464</v>
      </c>
      <c r="N293" s="613" t="s">
        <v>464</v>
      </c>
      <c r="O293" s="613"/>
    </row>
    <row r="294" spans="12:16" x14ac:dyDescent="0.3">
      <c r="L294" s="613" t="s">
        <v>443</v>
      </c>
      <c r="M294" s="613" t="s">
        <v>464</v>
      </c>
      <c r="N294" s="613" t="s">
        <v>464</v>
      </c>
      <c r="O294" s="613"/>
    </row>
    <row r="295" spans="12:16" x14ac:dyDescent="0.3">
      <c r="L295" s="616" t="s">
        <v>1366</v>
      </c>
      <c r="M295" s="616">
        <v>0.03</v>
      </c>
      <c r="N295" s="616" t="s">
        <v>464</v>
      </c>
      <c r="O295" s="613" t="s">
        <v>1522</v>
      </c>
    </row>
    <row r="296" spans="12:16" x14ac:dyDescent="0.3">
      <c r="L296" s="613" t="s">
        <v>1367</v>
      </c>
      <c r="M296" s="613" t="s">
        <v>464</v>
      </c>
      <c r="N296" s="613" t="s">
        <v>464</v>
      </c>
      <c r="O296" s="613"/>
    </row>
    <row r="297" spans="12:16" x14ac:dyDescent="0.3">
      <c r="L297" s="613" t="s">
        <v>1368</v>
      </c>
      <c r="M297" s="613" t="s">
        <v>464</v>
      </c>
      <c r="N297" s="613" t="s">
        <v>464</v>
      </c>
      <c r="O297" s="613"/>
    </row>
    <row r="298" spans="12:16" x14ac:dyDescent="0.3">
      <c r="L298" s="613" t="s">
        <v>1369</v>
      </c>
      <c r="M298" s="613" t="s">
        <v>464</v>
      </c>
      <c r="N298" s="613" t="s">
        <v>464</v>
      </c>
      <c r="O298" s="613"/>
    </row>
    <row r="299" spans="12:16" x14ac:dyDescent="0.3">
      <c r="L299" s="613" t="s">
        <v>1370</v>
      </c>
      <c r="M299" s="613" t="s">
        <v>464</v>
      </c>
      <c r="N299" s="613" t="s">
        <v>464</v>
      </c>
      <c r="O299" s="613"/>
    </row>
    <row r="300" spans="12:16" x14ac:dyDescent="0.3">
      <c r="L300" s="613" t="s">
        <v>1371</v>
      </c>
      <c r="M300" s="613" t="s">
        <v>464</v>
      </c>
      <c r="N300" s="613" t="s">
        <v>464</v>
      </c>
      <c r="O300" s="613"/>
    </row>
    <row r="301" spans="12:16" x14ac:dyDescent="0.3">
      <c r="L301" s="613" t="s">
        <v>1372</v>
      </c>
      <c r="M301" s="613" t="s">
        <v>464</v>
      </c>
      <c r="N301" s="613" t="s">
        <v>464</v>
      </c>
      <c r="O301" s="613"/>
    </row>
    <row r="302" spans="12:16" x14ac:dyDescent="0.3">
      <c r="L302" s="613" t="s">
        <v>1373</v>
      </c>
      <c r="M302" s="613" t="s">
        <v>464</v>
      </c>
      <c r="N302" s="613" t="s">
        <v>464</v>
      </c>
      <c r="O302" s="613"/>
    </row>
    <row r="303" spans="12:16" x14ac:dyDescent="0.3">
      <c r="L303" s="613" t="s">
        <v>1374</v>
      </c>
      <c r="M303" s="613" t="s">
        <v>464</v>
      </c>
      <c r="N303" s="613" t="s">
        <v>464</v>
      </c>
      <c r="O303" s="613"/>
    </row>
    <row r="304" spans="12:16" x14ac:dyDescent="0.3">
      <c r="L304" s="613" t="s">
        <v>1375</v>
      </c>
      <c r="M304" s="613" t="s">
        <v>464</v>
      </c>
      <c r="N304" s="613" t="s">
        <v>464</v>
      </c>
      <c r="O304" s="613"/>
    </row>
    <row r="305" spans="12:15" x14ac:dyDescent="0.3">
      <c r="L305" s="613" t="s">
        <v>1376</v>
      </c>
      <c r="M305" s="613" t="s">
        <v>464</v>
      </c>
      <c r="N305" s="613" t="s">
        <v>464</v>
      </c>
      <c r="O305" s="613"/>
    </row>
    <row r="306" spans="12:15" x14ac:dyDescent="0.3">
      <c r="L306" s="613" t="s">
        <v>444</v>
      </c>
      <c r="M306" s="613" t="s">
        <v>464</v>
      </c>
      <c r="N306" s="613" t="s">
        <v>464</v>
      </c>
      <c r="O306" s="613"/>
    </row>
    <row r="307" spans="12:15" x14ac:dyDescent="0.3">
      <c r="L307" s="613" t="s">
        <v>1377</v>
      </c>
      <c r="M307" s="613" t="s">
        <v>464</v>
      </c>
      <c r="N307" s="613" t="s">
        <v>464</v>
      </c>
      <c r="O307" s="613"/>
    </row>
    <row r="308" spans="12:15" x14ac:dyDescent="0.3">
      <c r="L308" s="613" t="s">
        <v>1378</v>
      </c>
      <c r="M308" s="613" t="s">
        <v>464</v>
      </c>
      <c r="N308" s="613" t="s">
        <v>464</v>
      </c>
      <c r="O308" s="613"/>
    </row>
    <row r="309" spans="12:15" x14ac:dyDescent="0.3">
      <c r="L309" s="613" t="s">
        <v>1379</v>
      </c>
      <c r="M309" s="613" t="s">
        <v>464</v>
      </c>
      <c r="N309" s="613" t="s">
        <v>464</v>
      </c>
      <c r="O309" s="613"/>
    </row>
    <row r="310" spans="12:15" x14ac:dyDescent="0.3">
      <c r="L310" s="613" t="s">
        <v>1380</v>
      </c>
      <c r="M310" s="613" t="s">
        <v>464</v>
      </c>
      <c r="N310" s="613" t="s">
        <v>464</v>
      </c>
      <c r="O310" s="613"/>
    </row>
    <row r="311" spans="12:15" x14ac:dyDescent="0.3">
      <c r="L311" s="613" t="s">
        <v>1381</v>
      </c>
      <c r="M311" s="613" t="s">
        <v>464</v>
      </c>
      <c r="N311" s="613" t="s">
        <v>464</v>
      </c>
      <c r="O311" s="613"/>
    </row>
    <row r="312" spans="12:15" x14ac:dyDescent="0.3">
      <c r="L312" s="613" t="s">
        <v>836</v>
      </c>
      <c r="M312" s="613" t="s">
        <v>464</v>
      </c>
      <c r="N312" s="613" t="s">
        <v>464</v>
      </c>
      <c r="O312" s="613"/>
    </row>
    <row r="313" spans="12:15" x14ac:dyDescent="0.3">
      <c r="L313" s="613" t="s">
        <v>837</v>
      </c>
      <c r="M313" s="613" t="s">
        <v>464</v>
      </c>
      <c r="N313" s="613" t="s">
        <v>464</v>
      </c>
      <c r="O313" s="613"/>
    </row>
    <row r="314" spans="12:15" x14ac:dyDescent="0.3">
      <c r="L314" s="613" t="s">
        <v>1382</v>
      </c>
      <c r="M314" s="613" t="s">
        <v>464</v>
      </c>
      <c r="N314" s="613" t="s">
        <v>464</v>
      </c>
      <c r="O314" s="613"/>
    </row>
    <row r="315" spans="12:15" x14ac:dyDescent="0.3">
      <c r="L315" s="613" t="s">
        <v>1383</v>
      </c>
      <c r="M315" s="613" t="s">
        <v>464</v>
      </c>
      <c r="N315" s="613" t="s">
        <v>464</v>
      </c>
      <c r="O315" s="613"/>
    </row>
    <row r="316" spans="12:15" x14ac:dyDescent="0.3">
      <c r="L316" s="613" t="s">
        <v>1384</v>
      </c>
      <c r="M316" s="613" t="s">
        <v>464</v>
      </c>
      <c r="N316" s="613" t="s">
        <v>464</v>
      </c>
      <c r="O316" s="613"/>
    </row>
    <row r="317" spans="12:15" x14ac:dyDescent="0.3">
      <c r="L317" s="613" t="s">
        <v>1385</v>
      </c>
      <c r="M317" s="613" t="s">
        <v>464</v>
      </c>
      <c r="N317" s="613" t="s">
        <v>464</v>
      </c>
      <c r="O317" s="613"/>
    </row>
    <row r="318" spans="12:15" x14ac:dyDescent="0.3">
      <c r="L318" s="613" t="s">
        <v>524</v>
      </c>
      <c r="M318" s="613" t="s">
        <v>464</v>
      </c>
      <c r="N318" s="613" t="s">
        <v>464</v>
      </c>
      <c r="O318" s="613"/>
    </row>
    <row r="319" spans="12:15" x14ac:dyDescent="0.3">
      <c r="L319" s="613" t="s">
        <v>1386</v>
      </c>
      <c r="M319" s="613" t="s">
        <v>464</v>
      </c>
      <c r="N319" s="613" t="s">
        <v>464</v>
      </c>
      <c r="O319" s="613"/>
    </row>
    <row r="320" spans="12:15" x14ac:dyDescent="0.3">
      <c r="L320" s="613" t="s">
        <v>1387</v>
      </c>
      <c r="M320" s="613" t="s">
        <v>464</v>
      </c>
      <c r="N320" s="613" t="s">
        <v>464</v>
      </c>
      <c r="O320" s="613"/>
    </row>
    <row r="321" spans="12:15" x14ac:dyDescent="0.3">
      <c r="L321" s="613" t="s">
        <v>838</v>
      </c>
      <c r="M321" s="613" t="s">
        <v>464</v>
      </c>
      <c r="N321" s="613" t="s">
        <v>464</v>
      </c>
      <c r="O321" s="613"/>
    </row>
    <row r="322" spans="12:15" x14ac:dyDescent="0.3">
      <c r="L322" s="613" t="s">
        <v>1388</v>
      </c>
      <c r="M322" s="613" t="s">
        <v>464</v>
      </c>
      <c r="N322" s="613" t="s">
        <v>464</v>
      </c>
      <c r="O322" s="613"/>
    </row>
    <row r="323" spans="12:15" x14ac:dyDescent="0.3">
      <c r="L323" s="613" t="s">
        <v>1389</v>
      </c>
      <c r="M323" s="613" t="s">
        <v>464</v>
      </c>
      <c r="N323" s="613" t="s">
        <v>464</v>
      </c>
      <c r="O323" s="613"/>
    </row>
    <row r="324" spans="12:15" x14ac:dyDescent="0.3">
      <c r="L324" s="613" t="s">
        <v>1390</v>
      </c>
      <c r="M324" s="613" t="s">
        <v>464</v>
      </c>
      <c r="N324" s="613" t="s">
        <v>464</v>
      </c>
      <c r="O324" s="613"/>
    </row>
    <row r="325" spans="12:15" x14ac:dyDescent="0.3">
      <c r="L325" s="616" t="s">
        <v>1391</v>
      </c>
      <c r="M325" s="616">
        <v>0.01</v>
      </c>
      <c r="N325" s="616" t="s">
        <v>464</v>
      </c>
      <c r="O325" s="613" t="s">
        <v>1522</v>
      </c>
    </row>
    <row r="326" spans="12:15" x14ac:dyDescent="0.3">
      <c r="L326" s="613" t="s">
        <v>525</v>
      </c>
      <c r="M326" s="613" t="s">
        <v>464</v>
      </c>
      <c r="N326" s="613" t="s">
        <v>464</v>
      </c>
      <c r="O326" s="613"/>
    </row>
    <row r="327" spans="12:15" x14ac:dyDescent="0.3">
      <c r="L327" s="613" t="s">
        <v>1392</v>
      </c>
      <c r="M327" s="613" t="s">
        <v>464</v>
      </c>
      <c r="N327" s="613" t="s">
        <v>464</v>
      </c>
      <c r="O327" s="613"/>
    </row>
    <row r="328" spans="12:15" x14ac:dyDescent="0.3">
      <c r="L328" s="613" t="s">
        <v>1393</v>
      </c>
      <c r="M328" s="613" t="s">
        <v>464</v>
      </c>
      <c r="N328" s="613" t="s">
        <v>464</v>
      </c>
      <c r="O328" s="613"/>
    </row>
    <row r="329" spans="12:15" x14ac:dyDescent="0.3">
      <c r="L329" s="613" t="s">
        <v>1394</v>
      </c>
      <c r="M329" s="613" t="s">
        <v>464</v>
      </c>
      <c r="N329" s="613" t="s">
        <v>464</v>
      </c>
      <c r="O329" s="613"/>
    </row>
    <row r="330" spans="12:15" x14ac:dyDescent="0.3">
      <c r="L330" s="616" t="s">
        <v>1395</v>
      </c>
      <c r="M330" s="616" t="s">
        <v>464</v>
      </c>
      <c r="N330" s="616" t="s">
        <v>464</v>
      </c>
      <c r="O330" s="613" t="s">
        <v>1522</v>
      </c>
    </row>
    <row r="331" spans="12:15" x14ac:dyDescent="0.3">
      <c r="L331" s="613" t="s">
        <v>1396</v>
      </c>
      <c r="M331" s="613" t="s">
        <v>464</v>
      </c>
      <c r="N331" s="613" t="s">
        <v>464</v>
      </c>
      <c r="O331" s="613"/>
    </row>
    <row r="332" spans="12:15" x14ac:dyDescent="0.3">
      <c r="L332" s="613" t="s">
        <v>1397</v>
      </c>
      <c r="M332" s="613" t="s">
        <v>464</v>
      </c>
      <c r="N332" s="613" t="s">
        <v>464</v>
      </c>
      <c r="O332" s="613"/>
    </row>
    <row r="333" spans="12:15" x14ac:dyDescent="0.3">
      <c r="L333" s="613" t="s">
        <v>1398</v>
      </c>
      <c r="M333" s="613" t="s">
        <v>464</v>
      </c>
      <c r="N333" s="613" t="s">
        <v>464</v>
      </c>
      <c r="O333" s="613"/>
    </row>
    <row r="334" spans="12:15" x14ac:dyDescent="0.3">
      <c r="L334" s="613" t="s">
        <v>1399</v>
      </c>
      <c r="M334" s="613" t="s">
        <v>464</v>
      </c>
      <c r="N334" s="613" t="s">
        <v>464</v>
      </c>
      <c r="O334" s="613"/>
    </row>
    <row r="335" spans="12:15" x14ac:dyDescent="0.3">
      <c r="L335" s="613" t="s">
        <v>839</v>
      </c>
      <c r="M335" s="613" t="s">
        <v>464</v>
      </c>
      <c r="N335" s="613" t="s">
        <v>464</v>
      </c>
      <c r="O335" s="613"/>
    </row>
    <row r="336" spans="12:15" x14ac:dyDescent="0.3">
      <c r="L336" s="613" t="s">
        <v>526</v>
      </c>
      <c r="M336" s="613" t="s">
        <v>464</v>
      </c>
      <c r="N336" s="613" t="s">
        <v>464</v>
      </c>
      <c r="O336" s="613"/>
    </row>
    <row r="337" spans="12:16" x14ac:dyDescent="0.3">
      <c r="L337" s="613" t="s">
        <v>1400</v>
      </c>
      <c r="M337" s="613" t="s">
        <v>464</v>
      </c>
      <c r="N337" s="613" t="s">
        <v>464</v>
      </c>
      <c r="O337" s="613"/>
    </row>
    <row r="338" spans="12:16" x14ac:dyDescent="0.3">
      <c r="L338" s="613" t="s">
        <v>1401</v>
      </c>
      <c r="M338" s="613" t="s">
        <v>464</v>
      </c>
      <c r="N338" s="613" t="s">
        <v>464</v>
      </c>
      <c r="O338" s="613"/>
    </row>
    <row r="339" spans="12:16" x14ac:dyDescent="0.3">
      <c r="L339" s="613" t="s">
        <v>1402</v>
      </c>
      <c r="M339" s="613" t="s">
        <v>464</v>
      </c>
      <c r="N339" s="613" t="s">
        <v>464</v>
      </c>
      <c r="O339" s="613"/>
    </row>
    <row r="340" spans="12:16" x14ac:dyDescent="0.3">
      <c r="L340" s="613" t="s">
        <v>1403</v>
      </c>
      <c r="M340" s="613" t="s">
        <v>464</v>
      </c>
      <c r="N340" s="613" t="s">
        <v>464</v>
      </c>
      <c r="O340" s="613"/>
    </row>
    <row r="341" spans="12:16" x14ac:dyDescent="0.3">
      <c r="L341" s="613" t="s">
        <v>1404</v>
      </c>
      <c r="M341" s="613" t="s">
        <v>464</v>
      </c>
      <c r="N341" s="613" t="s">
        <v>464</v>
      </c>
      <c r="O341" s="613"/>
    </row>
    <row r="342" spans="12:16" x14ac:dyDescent="0.3">
      <c r="L342" s="613" t="s">
        <v>527</v>
      </c>
      <c r="M342" s="613" t="s">
        <v>464</v>
      </c>
      <c r="N342" s="613" t="s">
        <v>464</v>
      </c>
      <c r="O342" s="613"/>
    </row>
    <row r="343" spans="12:16" x14ac:dyDescent="0.3">
      <c r="L343" s="615" t="s">
        <v>1405</v>
      </c>
      <c r="M343" s="615">
        <v>0.03</v>
      </c>
      <c r="N343" s="615">
        <v>0.05</v>
      </c>
      <c r="O343" s="613" t="s">
        <v>1527</v>
      </c>
      <c r="P343" s="622" t="s">
        <v>1523</v>
      </c>
    </row>
    <row r="344" spans="12:16" x14ac:dyDescent="0.3">
      <c r="L344" s="613" t="s">
        <v>1406</v>
      </c>
      <c r="M344" s="613" t="s">
        <v>464</v>
      </c>
      <c r="N344" s="613" t="s">
        <v>464</v>
      </c>
      <c r="O344" s="613"/>
    </row>
    <row r="345" spans="12:16" x14ac:dyDescent="0.3">
      <c r="L345" s="613" t="s">
        <v>1407</v>
      </c>
      <c r="M345" s="613" t="s">
        <v>464</v>
      </c>
      <c r="N345" s="613" t="s">
        <v>464</v>
      </c>
      <c r="O345" s="613"/>
    </row>
    <row r="346" spans="12:16" x14ac:dyDescent="0.3">
      <c r="L346" s="613" t="s">
        <v>528</v>
      </c>
      <c r="M346" s="613" t="s">
        <v>464</v>
      </c>
      <c r="N346" s="613" t="s">
        <v>464</v>
      </c>
      <c r="O346" s="613"/>
    </row>
    <row r="347" spans="12:16" x14ac:dyDescent="0.3">
      <c r="L347" s="616" t="s">
        <v>1408</v>
      </c>
      <c r="M347" s="616" t="s">
        <v>464</v>
      </c>
      <c r="N347" s="616" t="s">
        <v>464</v>
      </c>
      <c r="O347" s="613" t="s">
        <v>1522</v>
      </c>
    </row>
    <row r="348" spans="12:16" x14ac:dyDescent="0.3">
      <c r="L348" s="613" t="s">
        <v>529</v>
      </c>
      <c r="M348" s="613" t="s">
        <v>464</v>
      </c>
      <c r="N348" s="613" t="s">
        <v>464</v>
      </c>
      <c r="O348" s="613"/>
    </row>
    <row r="349" spans="12:16" x14ac:dyDescent="0.3">
      <c r="L349" s="613" t="s">
        <v>530</v>
      </c>
      <c r="M349" s="613" t="s">
        <v>464</v>
      </c>
      <c r="N349" s="613" t="s">
        <v>464</v>
      </c>
      <c r="O349" s="613"/>
    </row>
    <row r="350" spans="12:16" x14ac:dyDescent="0.3">
      <c r="L350" s="613" t="s">
        <v>531</v>
      </c>
      <c r="M350" s="613" t="s">
        <v>464</v>
      </c>
      <c r="N350" s="613" t="s">
        <v>464</v>
      </c>
      <c r="O350" s="613"/>
    </row>
    <row r="351" spans="12:16" x14ac:dyDescent="0.3">
      <c r="L351" s="613" t="s">
        <v>1409</v>
      </c>
      <c r="M351" s="613" t="s">
        <v>464</v>
      </c>
      <c r="N351" s="613" t="s">
        <v>464</v>
      </c>
      <c r="O351" s="613"/>
    </row>
    <row r="352" spans="12:16" x14ac:dyDescent="0.3">
      <c r="L352" s="613" t="s">
        <v>1410</v>
      </c>
      <c r="M352" s="613" t="s">
        <v>464</v>
      </c>
      <c r="N352" s="613" t="s">
        <v>464</v>
      </c>
      <c r="O352" s="613"/>
    </row>
    <row r="353" spans="12:15" x14ac:dyDescent="0.3">
      <c r="L353" s="613" t="s">
        <v>1411</v>
      </c>
      <c r="M353" s="613" t="s">
        <v>464</v>
      </c>
      <c r="N353" s="613" t="s">
        <v>464</v>
      </c>
      <c r="O353" s="613"/>
    </row>
    <row r="354" spans="12:15" x14ac:dyDescent="0.3">
      <c r="L354" s="613" t="s">
        <v>533</v>
      </c>
      <c r="M354" s="613" t="s">
        <v>464</v>
      </c>
      <c r="N354" s="613" t="s">
        <v>464</v>
      </c>
      <c r="O354" s="613"/>
    </row>
    <row r="355" spans="12:15" x14ac:dyDescent="0.3">
      <c r="L355" s="613" t="s">
        <v>534</v>
      </c>
      <c r="M355" s="613" t="s">
        <v>464</v>
      </c>
      <c r="N355" s="613" t="s">
        <v>464</v>
      </c>
      <c r="O355" s="613" t="s">
        <v>1621</v>
      </c>
    </row>
    <row r="356" spans="12:15" x14ac:dyDescent="0.3">
      <c r="L356" s="613" t="s">
        <v>1412</v>
      </c>
      <c r="M356" s="613" t="s">
        <v>464</v>
      </c>
      <c r="N356" s="613" t="s">
        <v>464</v>
      </c>
      <c r="O356" s="613"/>
    </row>
    <row r="357" spans="12:15" x14ac:dyDescent="0.3">
      <c r="L357" s="613" t="s">
        <v>1413</v>
      </c>
      <c r="M357" s="613" t="s">
        <v>464</v>
      </c>
      <c r="N357" s="613" t="s">
        <v>464</v>
      </c>
      <c r="O357" s="613"/>
    </row>
    <row r="358" spans="12:15" x14ac:dyDescent="0.3">
      <c r="L358" s="613" t="s">
        <v>1414</v>
      </c>
      <c r="M358" s="613" t="s">
        <v>464</v>
      </c>
      <c r="N358" s="613" t="s">
        <v>464</v>
      </c>
      <c r="O358" s="613"/>
    </row>
    <row r="359" spans="12:15" x14ac:dyDescent="0.3">
      <c r="L359" s="613" t="s">
        <v>1415</v>
      </c>
      <c r="M359" s="613" t="s">
        <v>464</v>
      </c>
      <c r="N359" s="613" t="s">
        <v>464</v>
      </c>
      <c r="O359" s="613"/>
    </row>
    <row r="360" spans="12:15" x14ac:dyDescent="0.3">
      <c r="L360" s="613" t="s">
        <v>1416</v>
      </c>
      <c r="M360" s="613" t="s">
        <v>464</v>
      </c>
      <c r="N360" s="613" t="s">
        <v>464</v>
      </c>
      <c r="O360" s="613"/>
    </row>
    <row r="361" spans="12:15" x14ac:dyDescent="0.3">
      <c r="L361" s="613" t="s">
        <v>1417</v>
      </c>
      <c r="M361" s="613" t="s">
        <v>464</v>
      </c>
      <c r="N361" s="613" t="s">
        <v>464</v>
      </c>
      <c r="O361" s="613"/>
    </row>
    <row r="362" spans="12:15" x14ac:dyDescent="0.3">
      <c r="L362" s="613" t="s">
        <v>1418</v>
      </c>
      <c r="M362" s="613" t="s">
        <v>464</v>
      </c>
      <c r="N362" s="613" t="s">
        <v>464</v>
      </c>
      <c r="O362" s="613"/>
    </row>
    <row r="363" spans="12:15" x14ac:dyDescent="0.3">
      <c r="L363" s="613" t="s">
        <v>1419</v>
      </c>
      <c r="M363" s="613" t="s">
        <v>464</v>
      </c>
      <c r="N363" s="613" t="s">
        <v>464</v>
      </c>
      <c r="O363" s="613"/>
    </row>
    <row r="364" spans="12:15" x14ac:dyDescent="0.3">
      <c r="L364" s="613" t="s">
        <v>1420</v>
      </c>
      <c r="M364" s="613" t="s">
        <v>464</v>
      </c>
      <c r="N364" s="613" t="s">
        <v>464</v>
      </c>
      <c r="O364" s="613"/>
    </row>
    <row r="365" spans="12:15" x14ac:dyDescent="0.3">
      <c r="L365" s="613" t="s">
        <v>1421</v>
      </c>
      <c r="M365" s="613" t="s">
        <v>464</v>
      </c>
      <c r="N365" s="613" t="s">
        <v>464</v>
      </c>
      <c r="O365" s="613"/>
    </row>
    <row r="366" spans="12:15" x14ac:dyDescent="0.3">
      <c r="L366" s="613" t="s">
        <v>1422</v>
      </c>
      <c r="M366" s="613" t="s">
        <v>464</v>
      </c>
      <c r="N366" s="613" t="s">
        <v>464</v>
      </c>
      <c r="O366" s="613"/>
    </row>
    <row r="367" spans="12:15" x14ac:dyDescent="0.3">
      <c r="L367" s="613" t="s">
        <v>1423</v>
      </c>
      <c r="M367" s="613" t="s">
        <v>464</v>
      </c>
      <c r="N367" s="613" t="s">
        <v>464</v>
      </c>
      <c r="O367" s="613"/>
    </row>
    <row r="368" spans="12:15" x14ac:dyDescent="0.3">
      <c r="L368" s="613" t="s">
        <v>1424</v>
      </c>
      <c r="M368" s="613" t="s">
        <v>464</v>
      </c>
      <c r="N368" s="613" t="s">
        <v>464</v>
      </c>
      <c r="O368" s="613"/>
    </row>
    <row r="369" spans="12:16" x14ac:dyDescent="0.3">
      <c r="L369" s="613" t="s">
        <v>1425</v>
      </c>
      <c r="M369" s="613" t="s">
        <v>464</v>
      </c>
      <c r="N369" s="613" t="s">
        <v>464</v>
      </c>
      <c r="O369" s="613"/>
    </row>
    <row r="370" spans="12:16" x14ac:dyDescent="0.3">
      <c r="L370" s="613" t="s">
        <v>1426</v>
      </c>
      <c r="M370" s="613" t="s">
        <v>464</v>
      </c>
      <c r="N370" s="613" t="s">
        <v>464</v>
      </c>
      <c r="O370" s="613"/>
    </row>
    <row r="371" spans="12:16" x14ac:dyDescent="0.3">
      <c r="L371" s="613" t="s">
        <v>1427</v>
      </c>
      <c r="M371" s="613" t="s">
        <v>464</v>
      </c>
      <c r="N371" s="613" t="s">
        <v>464</v>
      </c>
      <c r="O371" s="613"/>
    </row>
    <row r="372" spans="12:16" x14ac:dyDescent="0.3">
      <c r="L372" s="615" t="s">
        <v>536</v>
      </c>
      <c r="M372" s="615">
        <v>0.03</v>
      </c>
      <c r="N372" s="615">
        <v>0.05</v>
      </c>
      <c r="O372" s="613" t="s">
        <v>1527</v>
      </c>
      <c r="P372" s="622" t="s">
        <v>1523</v>
      </c>
    </row>
    <row r="373" spans="12:16" x14ac:dyDescent="0.3">
      <c r="L373" s="613" t="s">
        <v>537</v>
      </c>
      <c r="M373" s="613" t="s">
        <v>464</v>
      </c>
      <c r="N373" s="613" t="s">
        <v>464</v>
      </c>
      <c r="O373" s="613"/>
    </row>
    <row r="374" spans="12:16" x14ac:dyDescent="0.3">
      <c r="L374" s="613" t="s">
        <v>1428</v>
      </c>
      <c r="M374" s="613" t="s">
        <v>464</v>
      </c>
      <c r="N374" s="613" t="s">
        <v>464</v>
      </c>
      <c r="O374" s="613"/>
    </row>
    <row r="375" spans="12:16" x14ac:dyDescent="0.3">
      <c r="L375" s="613" t="s">
        <v>1429</v>
      </c>
      <c r="M375" s="613" t="s">
        <v>464</v>
      </c>
      <c r="N375" s="613" t="s">
        <v>464</v>
      </c>
      <c r="O375" s="613"/>
    </row>
    <row r="376" spans="12:16" x14ac:dyDescent="0.3">
      <c r="L376" s="613" t="s">
        <v>1430</v>
      </c>
      <c r="M376" s="613" t="s">
        <v>464</v>
      </c>
      <c r="N376" s="613" t="s">
        <v>464</v>
      </c>
      <c r="O376" s="613"/>
    </row>
    <row r="377" spans="12:16" x14ac:dyDescent="0.3">
      <c r="L377" s="613" t="s">
        <v>1431</v>
      </c>
      <c r="M377" s="613" t="s">
        <v>464</v>
      </c>
      <c r="N377" s="613" t="s">
        <v>464</v>
      </c>
      <c r="O377" s="613"/>
    </row>
    <row r="378" spans="12:16" x14ac:dyDescent="0.3">
      <c r="L378" s="613" t="s">
        <v>1432</v>
      </c>
      <c r="M378" s="613" t="s">
        <v>464</v>
      </c>
      <c r="N378" s="613" t="s">
        <v>464</v>
      </c>
      <c r="O378" s="613" t="s">
        <v>1621</v>
      </c>
    </row>
    <row r="379" spans="12:16" x14ac:dyDescent="0.3">
      <c r="L379" s="616" t="s">
        <v>1433</v>
      </c>
      <c r="M379" s="616" t="s">
        <v>464</v>
      </c>
      <c r="N379" s="616" t="s">
        <v>464</v>
      </c>
      <c r="O379" s="613" t="s">
        <v>1522</v>
      </c>
    </row>
    <row r="380" spans="12:16" x14ac:dyDescent="0.3">
      <c r="L380" s="613" t="s">
        <v>1434</v>
      </c>
      <c r="M380" s="613" t="s">
        <v>464</v>
      </c>
      <c r="N380" s="613" t="s">
        <v>464</v>
      </c>
      <c r="O380" s="613"/>
    </row>
    <row r="381" spans="12:16" x14ac:dyDescent="0.3">
      <c r="L381" s="613" t="s">
        <v>1435</v>
      </c>
      <c r="M381" s="613" t="s">
        <v>464</v>
      </c>
      <c r="N381" s="613" t="s">
        <v>464</v>
      </c>
      <c r="O381" s="613"/>
    </row>
    <row r="382" spans="12:16" x14ac:dyDescent="0.3">
      <c r="L382" s="613" t="s">
        <v>1436</v>
      </c>
      <c r="M382" s="613" t="s">
        <v>464</v>
      </c>
      <c r="N382" s="613" t="s">
        <v>464</v>
      </c>
      <c r="O382" s="613"/>
    </row>
    <row r="383" spans="12:16" x14ac:dyDescent="0.3">
      <c r="L383" s="613" t="s">
        <v>840</v>
      </c>
      <c r="M383" s="613" t="s">
        <v>464</v>
      </c>
      <c r="N383" s="613" t="s">
        <v>464</v>
      </c>
      <c r="O383" s="613"/>
    </row>
    <row r="384" spans="12:16" x14ac:dyDescent="0.3">
      <c r="L384" s="613" t="s">
        <v>1437</v>
      </c>
      <c r="M384" s="613" t="s">
        <v>464</v>
      </c>
      <c r="N384" s="613" t="s">
        <v>464</v>
      </c>
      <c r="O384" s="613"/>
    </row>
    <row r="385" spans="12:16" x14ac:dyDescent="0.3">
      <c r="L385" s="613" t="s">
        <v>538</v>
      </c>
      <c r="M385" s="613" t="s">
        <v>464</v>
      </c>
      <c r="N385" s="613" t="s">
        <v>464</v>
      </c>
      <c r="O385" s="613"/>
    </row>
    <row r="386" spans="12:16" x14ac:dyDescent="0.3">
      <c r="L386" s="613" t="s">
        <v>539</v>
      </c>
      <c r="M386" s="613" t="s">
        <v>464</v>
      </c>
      <c r="N386" s="613" t="s">
        <v>464</v>
      </c>
      <c r="O386" s="613"/>
    </row>
    <row r="387" spans="12:16" x14ac:dyDescent="0.3">
      <c r="L387" s="613" t="s">
        <v>1438</v>
      </c>
      <c r="M387" s="613" t="s">
        <v>464</v>
      </c>
      <c r="N387" s="613" t="s">
        <v>464</v>
      </c>
      <c r="O387" s="613"/>
    </row>
    <row r="388" spans="12:16" x14ac:dyDescent="0.3">
      <c r="L388" s="613" t="s">
        <v>1439</v>
      </c>
      <c r="M388" s="613" t="s">
        <v>464</v>
      </c>
      <c r="N388" s="613" t="s">
        <v>464</v>
      </c>
      <c r="O388" s="613"/>
    </row>
    <row r="389" spans="12:16" x14ac:dyDescent="0.3">
      <c r="L389" s="613" t="s">
        <v>540</v>
      </c>
      <c r="M389" s="613" t="s">
        <v>464</v>
      </c>
      <c r="N389" s="613" t="s">
        <v>464</v>
      </c>
      <c r="O389" s="613"/>
    </row>
    <row r="390" spans="12:16" x14ac:dyDescent="0.3">
      <c r="L390" s="613" t="s">
        <v>541</v>
      </c>
      <c r="M390" s="613" t="s">
        <v>464</v>
      </c>
      <c r="N390" s="613" t="s">
        <v>464</v>
      </c>
      <c r="O390" s="613"/>
    </row>
    <row r="391" spans="12:16" x14ac:dyDescent="0.3">
      <c r="L391" s="613" t="s">
        <v>1440</v>
      </c>
      <c r="M391" s="613" t="s">
        <v>464</v>
      </c>
      <c r="N391" s="613" t="s">
        <v>464</v>
      </c>
      <c r="O391" s="613"/>
    </row>
    <row r="392" spans="12:16" x14ac:dyDescent="0.3">
      <c r="L392" s="613" t="s">
        <v>1441</v>
      </c>
      <c r="M392" s="613" t="s">
        <v>464</v>
      </c>
      <c r="N392" s="613" t="s">
        <v>464</v>
      </c>
      <c r="O392" s="613"/>
    </row>
    <row r="393" spans="12:16" x14ac:dyDescent="0.3">
      <c r="L393" s="613" t="s">
        <v>542</v>
      </c>
      <c r="M393" s="613" t="s">
        <v>464</v>
      </c>
      <c r="N393" s="613" t="s">
        <v>464</v>
      </c>
      <c r="O393" s="613"/>
    </row>
    <row r="394" spans="12:16" x14ac:dyDescent="0.3">
      <c r="L394" s="613" t="s">
        <v>1442</v>
      </c>
      <c r="M394" s="613" t="s">
        <v>464</v>
      </c>
      <c r="N394" s="613" t="s">
        <v>464</v>
      </c>
      <c r="O394" s="613"/>
    </row>
    <row r="395" spans="12:16" x14ac:dyDescent="0.3">
      <c r="L395" s="613" t="s">
        <v>543</v>
      </c>
      <c r="M395" s="613" t="s">
        <v>464</v>
      </c>
      <c r="N395" s="613" t="s">
        <v>464</v>
      </c>
      <c r="O395" s="613"/>
    </row>
    <row r="396" spans="12:16" x14ac:dyDescent="0.3">
      <c r="L396" s="613" t="s">
        <v>1443</v>
      </c>
      <c r="M396" s="613" t="s">
        <v>464</v>
      </c>
      <c r="N396" s="613" t="s">
        <v>464</v>
      </c>
      <c r="O396" s="613"/>
    </row>
    <row r="397" spans="12:16" x14ac:dyDescent="0.3">
      <c r="L397" s="613" t="s">
        <v>1444</v>
      </c>
      <c r="M397" s="613" t="s">
        <v>464</v>
      </c>
      <c r="N397" s="613" t="s">
        <v>464</v>
      </c>
      <c r="O397" s="613"/>
    </row>
    <row r="398" spans="12:16" x14ac:dyDescent="0.3">
      <c r="L398" s="613" t="s">
        <v>1445</v>
      </c>
      <c r="M398" s="613" t="s">
        <v>464</v>
      </c>
      <c r="N398" s="613" t="s">
        <v>464</v>
      </c>
      <c r="O398" s="613"/>
    </row>
    <row r="399" spans="12:16" x14ac:dyDescent="0.3">
      <c r="L399" s="615" t="s">
        <v>544</v>
      </c>
      <c r="M399" s="615">
        <v>0.03</v>
      </c>
      <c r="N399" s="615">
        <v>0.05</v>
      </c>
      <c r="O399" s="613" t="s">
        <v>1527</v>
      </c>
      <c r="P399" s="622" t="s">
        <v>1523</v>
      </c>
    </row>
    <row r="400" spans="12:16" x14ac:dyDescent="0.3">
      <c r="L400" s="613" t="s">
        <v>1446</v>
      </c>
      <c r="M400" s="613" t="s">
        <v>464</v>
      </c>
      <c r="N400" s="613" t="s">
        <v>464</v>
      </c>
      <c r="O400" s="613"/>
    </row>
    <row r="401" spans="12:16" x14ac:dyDescent="0.3">
      <c r="L401" s="613" t="s">
        <v>1447</v>
      </c>
      <c r="M401" s="613" t="s">
        <v>464</v>
      </c>
      <c r="N401" s="613" t="s">
        <v>464</v>
      </c>
      <c r="O401" s="613"/>
    </row>
    <row r="402" spans="12:16" x14ac:dyDescent="0.3">
      <c r="L402" s="613" t="s">
        <v>1448</v>
      </c>
      <c r="M402" s="613" t="s">
        <v>464</v>
      </c>
      <c r="N402" s="613" t="s">
        <v>464</v>
      </c>
      <c r="O402" s="613"/>
    </row>
    <row r="403" spans="12:16" x14ac:dyDescent="0.3">
      <c r="L403" s="613" t="s">
        <v>545</v>
      </c>
      <c r="M403" s="613" t="s">
        <v>464</v>
      </c>
      <c r="N403" s="613" t="s">
        <v>464</v>
      </c>
      <c r="O403" s="613"/>
    </row>
    <row r="404" spans="12:16" x14ac:dyDescent="0.3">
      <c r="L404" s="613" t="s">
        <v>841</v>
      </c>
      <c r="M404" s="613" t="s">
        <v>464</v>
      </c>
      <c r="N404" s="613" t="s">
        <v>464</v>
      </c>
      <c r="O404" s="613"/>
    </row>
    <row r="405" spans="12:16" x14ac:dyDescent="0.3">
      <c r="L405" s="613" t="s">
        <v>1449</v>
      </c>
      <c r="M405" s="613" t="s">
        <v>464</v>
      </c>
      <c r="N405" s="613" t="s">
        <v>464</v>
      </c>
      <c r="O405" s="613"/>
    </row>
    <row r="406" spans="12:16" x14ac:dyDescent="0.3">
      <c r="L406" s="613" t="s">
        <v>1450</v>
      </c>
      <c r="M406" s="613" t="s">
        <v>464</v>
      </c>
      <c r="N406" s="613" t="s">
        <v>464</v>
      </c>
      <c r="O406" s="613"/>
    </row>
    <row r="407" spans="12:16" x14ac:dyDescent="0.3">
      <c r="L407" s="613" t="s">
        <v>1451</v>
      </c>
      <c r="M407" s="613" t="s">
        <v>464</v>
      </c>
      <c r="N407" s="613" t="s">
        <v>464</v>
      </c>
      <c r="O407" s="613"/>
    </row>
    <row r="408" spans="12:16" x14ac:dyDescent="0.3">
      <c r="L408" s="613" t="s">
        <v>546</v>
      </c>
      <c r="M408" s="613" t="s">
        <v>464</v>
      </c>
      <c r="N408" s="613" t="s">
        <v>464</v>
      </c>
      <c r="O408" s="613"/>
    </row>
    <row r="409" spans="12:16" x14ac:dyDescent="0.3">
      <c r="L409" s="613" t="s">
        <v>1452</v>
      </c>
      <c r="M409" s="613" t="s">
        <v>464</v>
      </c>
      <c r="N409" s="613" t="s">
        <v>464</v>
      </c>
      <c r="O409" s="613"/>
    </row>
    <row r="410" spans="12:16" x14ac:dyDescent="0.3">
      <c r="L410" s="615" t="s">
        <v>547</v>
      </c>
      <c r="M410" s="615">
        <v>0.03</v>
      </c>
      <c r="N410" s="615">
        <v>0.05</v>
      </c>
      <c r="O410" s="613" t="s">
        <v>1527</v>
      </c>
      <c r="P410" s="622" t="s">
        <v>1523</v>
      </c>
    </row>
    <row r="411" spans="12:16" x14ac:dyDescent="0.3">
      <c r="L411" s="613" t="s">
        <v>393</v>
      </c>
      <c r="M411" s="613" t="s">
        <v>464</v>
      </c>
      <c r="N411" s="613" t="s">
        <v>464</v>
      </c>
      <c r="O411" s="613"/>
    </row>
    <row r="412" spans="12:16" x14ac:dyDescent="0.3">
      <c r="L412" s="613" t="s">
        <v>1453</v>
      </c>
      <c r="M412" s="613" t="s">
        <v>464</v>
      </c>
      <c r="N412" s="613" t="s">
        <v>464</v>
      </c>
      <c r="O412" s="613"/>
    </row>
    <row r="413" spans="12:16" x14ac:dyDescent="0.3">
      <c r="L413" s="615" t="s">
        <v>1454</v>
      </c>
      <c r="M413" s="615">
        <v>0.03</v>
      </c>
      <c r="N413" s="615">
        <v>0.05</v>
      </c>
      <c r="O413" s="613" t="s">
        <v>1527</v>
      </c>
      <c r="P413" s="622" t="s">
        <v>1523</v>
      </c>
    </row>
    <row r="414" spans="12:16" x14ac:dyDescent="0.3">
      <c r="L414" s="613" t="s">
        <v>1455</v>
      </c>
      <c r="M414" s="613" t="s">
        <v>464</v>
      </c>
      <c r="N414" s="613" t="s">
        <v>464</v>
      </c>
      <c r="O414" s="613"/>
    </row>
    <row r="415" spans="12:16" x14ac:dyDescent="0.3">
      <c r="L415" s="613" t="s">
        <v>548</v>
      </c>
      <c r="M415" s="613" t="s">
        <v>464</v>
      </c>
      <c r="N415" s="613" t="s">
        <v>464</v>
      </c>
      <c r="O415" s="613"/>
    </row>
    <row r="416" spans="12:16" x14ac:dyDescent="0.3">
      <c r="L416" s="613" t="s">
        <v>1456</v>
      </c>
      <c r="M416" s="613" t="s">
        <v>464</v>
      </c>
      <c r="N416" s="613" t="s">
        <v>464</v>
      </c>
      <c r="O416" s="613"/>
    </row>
    <row r="417" spans="12:15" x14ac:dyDescent="0.3">
      <c r="L417" s="613" t="s">
        <v>1457</v>
      </c>
      <c r="M417" s="613" t="s">
        <v>464</v>
      </c>
      <c r="N417" s="613" t="s">
        <v>464</v>
      </c>
      <c r="O417" s="613"/>
    </row>
    <row r="418" spans="12:15" x14ac:dyDescent="0.3">
      <c r="L418" s="613" t="s">
        <v>842</v>
      </c>
      <c r="M418" s="613" t="s">
        <v>464</v>
      </c>
      <c r="N418" s="613" t="s">
        <v>464</v>
      </c>
      <c r="O418" s="613"/>
    </row>
    <row r="419" spans="12:15" x14ac:dyDescent="0.3">
      <c r="L419" s="613" t="s">
        <v>843</v>
      </c>
      <c r="M419" s="613" t="s">
        <v>464</v>
      </c>
      <c r="N419" s="613" t="s">
        <v>464</v>
      </c>
      <c r="O419" s="613"/>
    </row>
    <row r="420" spans="12:15" x14ac:dyDescent="0.3">
      <c r="L420" s="613" t="s">
        <v>844</v>
      </c>
      <c r="M420" s="613" t="s">
        <v>464</v>
      </c>
      <c r="N420" s="613" t="s">
        <v>464</v>
      </c>
      <c r="O420" s="613"/>
    </row>
    <row r="421" spans="12:15" x14ac:dyDescent="0.3">
      <c r="L421" s="613" t="s">
        <v>845</v>
      </c>
      <c r="M421" s="613" t="s">
        <v>464</v>
      </c>
      <c r="N421" s="613" t="s">
        <v>464</v>
      </c>
      <c r="O421" s="613"/>
    </row>
    <row r="422" spans="12:15" x14ac:dyDescent="0.3">
      <c r="L422" s="613" t="s">
        <v>1458</v>
      </c>
      <c r="M422" s="613" t="s">
        <v>464</v>
      </c>
      <c r="N422" s="613" t="s">
        <v>464</v>
      </c>
      <c r="O422" s="613"/>
    </row>
    <row r="423" spans="12:15" x14ac:dyDescent="0.3">
      <c r="L423" s="613" t="s">
        <v>1459</v>
      </c>
      <c r="M423" s="613" t="s">
        <v>464</v>
      </c>
      <c r="N423" s="613" t="s">
        <v>464</v>
      </c>
      <c r="O423" s="613"/>
    </row>
    <row r="424" spans="12:15" x14ac:dyDescent="0.3">
      <c r="L424" s="613" t="s">
        <v>846</v>
      </c>
      <c r="M424" s="613" t="s">
        <v>464</v>
      </c>
      <c r="N424" s="613" t="s">
        <v>464</v>
      </c>
      <c r="O424" s="613"/>
    </row>
    <row r="425" spans="12:15" x14ac:dyDescent="0.3">
      <c r="L425" s="613" t="s">
        <v>1460</v>
      </c>
      <c r="M425" s="613" t="s">
        <v>464</v>
      </c>
      <c r="N425" s="613" t="s">
        <v>464</v>
      </c>
      <c r="O425" s="613"/>
    </row>
    <row r="426" spans="12:15" x14ac:dyDescent="0.3">
      <c r="L426" s="613" t="s">
        <v>1461</v>
      </c>
      <c r="M426" s="613" t="s">
        <v>464</v>
      </c>
      <c r="N426" s="613" t="s">
        <v>464</v>
      </c>
      <c r="O426" s="613"/>
    </row>
    <row r="427" spans="12:15" x14ac:dyDescent="0.3">
      <c r="L427" s="613" t="s">
        <v>1462</v>
      </c>
      <c r="M427" s="613" t="s">
        <v>464</v>
      </c>
      <c r="N427" s="613" t="s">
        <v>464</v>
      </c>
      <c r="O427" s="613"/>
    </row>
    <row r="428" spans="12:15" x14ac:dyDescent="0.3">
      <c r="L428" s="613" t="s">
        <v>1463</v>
      </c>
      <c r="M428" s="613" t="s">
        <v>464</v>
      </c>
      <c r="N428" s="613" t="s">
        <v>464</v>
      </c>
      <c r="O428" s="613"/>
    </row>
    <row r="429" spans="12:15" x14ac:dyDescent="0.3">
      <c r="L429" s="613" t="s">
        <v>1464</v>
      </c>
      <c r="M429" s="613" t="s">
        <v>464</v>
      </c>
      <c r="N429" s="613" t="s">
        <v>464</v>
      </c>
      <c r="O429" s="613"/>
    </row>
    <row r="430" spans="12:15" x14ac:dyDescent="0.3">
      <c r="L430" s="613" t="s">
        <v>1465</v>
      </c>
      <c r="M430" s="613" t="s">
        <v>464</v>
      </c>
      <c r="N430" s="613" t="s">
        <v>464</v>
      </c>
      <c r="O430" s="613"/>
    </row>
    <row r="431" spans="12:15" x14ac:dyDescent="0.3">
      <c r="L431" s="613" t="s">
        <v>1466</v>
      </c>
      <c r="M431" s="613" t="s">
        <v>464</v>
      </c>
      <c r="N431" s="613" t="s">
        <v>464</v>
      </c>
      <c r="O431" s="613"/>
    </row>
    <row r="432" spans="12:15" x14ac:dyDescent="0.3">
      <c r="L432" s="613" t="s">
        <v>1467</v>
      </c>
      <c r="M432" s="613" t="s">
        <v>464</v>
      </c>
      <c r="N432" s="613" t="s">
        <v>464</v>
      </c>
      <c r="O432" s="613"/>
    </row>
    <row r="433" spans="12:16" x14ac:dyDescent="0.3">
      <c r="L433" s="613" t="s">
        <v>1468</v>
      </c>
      <c r="M433" s="613" t="s">
        <v>464</v>
      </c>
      <c r="N433" s="613" t="s">
        <v>464</v>
      </c>
      <c r="O433" s="613"/>
    </row>
    <row r="434" spans="12:16" x14ac:dyDescent="0.3">
      <c r="L434" s="613" t="s">
        <v>1469</v>
      </c>
      <c r="M434" s="613" t="s">
        <v>464</v>
      </c>
      <c r="N434" s="613" t="s">
        <v>464</v>
      </c>
      <c r="O434" s="613"/>
    </row>
    <row r="435" spans="12:16" x14ac:dyDescent="0.3">
      <c r="L435" s="615" t="s">
        <v>550</v>
      </c>
      <c r="M435" s="615">
        <v>0.03</v>
      </c>
      <c r="N435" s="615">
        <v>0.05</v>
      </c>
      <c r="O435" s="613" t="s">
        <v>1527</v>
      </c>
      <c r="P435" s="622" t="s">
        <v>1523</v>
      </c>
    </row>
    <row r="436" spans="12:16" x14ac:dyDescent="0.3">
      <c r="L436" s="613" t="s">
        <v>1470</v>
      </c>
      <c r="M436" s="613" t="s">
        <v>464</v>
      </c>
      <c r="N436" s="613" t="s">
        <v>464</v>
      </c>
      <c r="O436" s="613"/>
    </row>
    <row r="437" spans="12:16" x14ac:dyDescent="0.3">
      <c r="L437" s="613" t="s">
        <v>1471</v>
      </c>
      <c r="M437" s="613" t="s">
        <v>464</v>
      </c>
      <c r="N437" s="613" t="s">
        <v>464</v>
      </c>
      <c r="O437" s="613"/>
    </row>
    <row r="438" spans="12:16" x14ac:dyDescent="0.3">
      <c r="L438" s="613" t="s">
        <v>551</v>
      </c>
      <c r="M438" s="613" t="s">
        <v>464</v>
      </c>
      <c r="N438" s="613" t="s">
        <v>464</v>
      </c>
      <c r="O438" s="613"/>
    </row>
    <row r="439" spans="12:16" x14ac:dyDescent="0.3">
      <c r="L439" s="615" t="s">
        <v>1472</v>
      </c>
      <c r="M439" s="615">
        <v>0.03</v>
      </c>
      <c r="N439" s="615">
        <v>0.05</v>
      </c>
      <c r="O439" s="613" t="s">
        <v>1527</v>
      </c>
      <c r="P439" s="622" t="s">
        <v>1523</v>
      </c>
    </row>
    <row r="440" spans="12:16" x14ac:dyDescent="0.3">
      <c r="L440" s="613" t="s">
        <v>1473</v>
      </c>
      <c r="M440" s="613" t="s">
        <v>464</v>
      </c>
      <c r="N440" s="613" t="s">
        <v>464</v>
      </c>
      <c r="O440" s="613"/>
    </row>
    <row r="441" spans="12:16" x14ac:dyDescent="0.3">
      <c r="L441" s="613" t="s">
        <v>1474</v>
      </c>
      <c r="M441" s="613" t="s">
        <v>464</v>
      </c>
      <c r="N441" s="613" t="s">
        <v>464</v>
      </c>
      <c r="O441" s="613"/>
    </row>
    <row r="442" spans="12:16" x14ac:dyDescent="0.3">
      <c r="L442" s="613" t="s">
        <v>1475</v>
      </c>
      <c r="M442" s="613" t="s">
        <v>464</v>
      </c>
      <c r="N442" s="613" t="s">
        <v>464</v>
      </c>
      <c r="O442" s="613"/>
    </row>
    <row r="443" spans="12:16" x14ac:dyDescent="0.3">
      <c r="L443" s="613" t="s">
        <v>1476</v>
      </c>
      <c r="M443" s="613" t="s">
        <v>464</v>
      </c>
      <c r="N443" s="613" t="s">
        <v>464</v>
      </c>
      <c r="O443" s="613"/>
    </row>
    <row r="444" spans="12:16" x14ac:dyDescent="0.3">
      <c r="L444" s="613" t="s">
        <v>552</v>
      </c>
      <c r="M444" s="613" t="s">
        <v>464</v>
      </c>
      <c r="N444" s="613" t="s">
        <v>464</v>
      </c>
      <c r="O444" s="613" t="s">
        <v>1621</v>
      </c>
    </row>
    <row r="445" spans="12:16" x14ac:dyDescent="0.3">
      <c r="L445" s="616" t="s">
        <v>1477</v>
      </c>
      <c r="M445" s="616">
        <v>0.03</v>
      </c>
      <c r="N445" s="617" t="s">
        <v>464</v>
      </c>
      <c r="O445" s="613" t="s">
        <v>1522</v>
      </c>
    </row>
    <row r="446" spans="12:16" x14ac:dyDescent="0.3">
      <c r="L446" s="613" t="s">
        <v>847</v>
      </c>
      <c r="M446" s="613" t="s">
        <v>464</v>
      </c>
      <c r="N446" s="613" t="s">
        <v>464</v>
      </c>
      <c r="O446" s="613"/>
    </row>
    <row r="447" spans="12:16" x14ac:dyDescent="0.3">
      <c r="L447" s="613" t="s">
        <v>1478</v>
      </c>
      <c r="M447" s="613" t="s">
        <v>464</v>
      </c>
      <c r="N447" s="613" t="s">
        <v>464</v>
      </c>
      <c r="O447" s="613"/>
    </row>
    <row r="448" spans="12:16" x14ac:dyDescent="0.3">
      <c r="L448" s="613" t="s">
        <v>1479</v>
      </c>
      <c r="M448" s="613" t="s">
        <v>464</v>
      </c>
      <c r="N448" s="613" t="s">
        <v>464</v>
      </c>
      <c r="O448" s="613"/>
    </row>
    <row r="449" spans="12:16" x14ac:dyDescent="0.3">
      <c r="L449" s="615" t="s">
        <v>1480</v>
      </c>
      <c r="M449" s="615">
        <v>0.03</v>
      </c>
      <c r="N449" s="615">
        <v>0.05</v>
      </c>
      <c r="O449" s="613" t="s">
        <v>1527</v>
      </c>
      <c r="P449" s="622" t="s">
        <v>1523</v>
      </c>
    </row>
    <row r="450" spans="12:16" x14ac:dyDescent="0.3">
      <c r="L450" s="613" t="s">
        <v>553</v>
      </c>
      <c r="M450" s="613" t="s">
        <v>464</v>
      </c>
      <c r="N450" s="613" t="s">
        <v>464</v>
      </c>
      <c r="O450" s="613"/>
    </row>
    <row r="451" spans="12:16" x14ac:dyDescent="0.3">
      <c r="L451" s="613" t="s">
        <v>1481</v>
      </c>
      <c r="M451" s="613" t="s">
        <v>464</v>
      </c>
      <c r="N451" s="613" t="s">
        <v>464</v>
      </c>
      <c r="O451" s="613"/>
    </row>
    <row r="452" spans="12:16" x14ac:dyDescent="0.3">
      <c r="L452" s="613" t="s">
        <v>1482</v>
      </c>
      <c r="M452" s="613" t="s">
        <v>464</v>
      </c>
      <c r="N452" s="613" t="s">
        <v>464</v>
      </c>
      <c r="O452" s="613"/>
    </row>
    <row r="453" spans="12:16" x14ac:dyDescent="0.3">
      <c r="L453" s="615" t="s">
        <v>1483</v>
      </c>
      <c r="M453" s="615">
        <v>0.03</v>
      </c>
      <c r="N453" s="615">
        <v>0.05</v>
      </c>
      <c r="O453" s="613" t="s">
        <v>1527</v>
      </c>
      <c r="P453" s="622" t="s">
        <v>1523</v>
      </c>
    </row>
    <row r="454" spans="12:16" x14ac:dyDescent="0.3">
      <c r="L454" s="613" t="s">
        <v>1484</v>
      </c>
      <c r="M454" s="613" t="s">
        <v>464</v>
      </c>
      <c r="N454" s="613" t="s">
        <v>464</v>
      </c>
      <c r="O454" s="613"/>
    </row>
    <row r="455" spans="12:16" x14ac:dyDescent="0.3">
      <c r="L455" s="613" t="s">
        <v>1485</v>
      </c>
      <c r="M455" s="613" t="s">
        <v>464</v>
      </c>
      <c r="N455" s="613" t="s">
        <v>464</v>
      </c>
      <c r="O455" s="613"/>
    </row>
    <row r="456" spans="12:16" x14ac:dyDescent="0.3">
      <c r="L456" s="613" t="s">
        <v>1486</v>
      </c>
      <c r="M456" s="613" t="s">
        <v>464</v>
      </c>
      <c r="N456" s="613" t="s">
        <v>464</v>
      </c>
      <c r="O456" s="613"/>
    </row>
    <row r="457" spans="12:16" x14ac:dyDescent="0.3">
      <c r="L457" s="613" t="s">
        <v>1497</v>
      </c>
      <c r="M457" s="613" t="s">
        <v>464</v>
      </c>
      <c r="N457" s="613" t="s">
        <v>464</v>
      </c>
      <c r="O457" s="613"/>
    </row>
    <row r="458" spans="12:16" x14ac:dyDescent="0.3">
      <c r="L458" s="613" t="s">
        <v>1487</v>
      </c>
      <c r="M458" s="613" t="s">
        <v>464</v>
      </c>
      <c r="N458" s="613" t="s">
        <v>464</v>
      </c>
      <c r="O458" s="613"/>
    </row>
    <row r="459" spans="12:16" x14ac:dyDescent="0.3">
      <c r="L459" s="613" t="s">
        <v>1488</v>
      </c>
      <c r="M459" s="613" t="s">
        <v>464</v>
      </c>
      <c r="N459" s="613" t="s">
        <v>464</v>
      </c>
      <c r="O459" s="613"/>
    </row>
    <row r="460" spans="12:16" x14ac:dyDescent="0.3">
      <c r="L460" s="613" t="s">
        <v>554</v>
      </c>
      <c r="M460" s="613" t="s">
        <v>464</v>
      </c>
      <c r="N460" s="613" t="s">
        <v>464</v>
      </c>
      <c r="O460" s="613"/>
    </row>
    <row r="461" spans="12:16" x14ac:dyDescent="0.3">
      <c r="L461" s="613" t="s">
        <v>1489</v>
      </c>
      <c r="M461" s="613" t="s">
        <v>464</v>
      </c>
      <c r="N461" s="613" t="s">
        <v>464</v>
      </c>
      <c r="O461" s="613"/>
    </row>
    <row r="462" spans="12:16" x14ac:dyDescent="0.3">
      <c r="L462" s="613" t="s">
        <v>1055</v>
      </c>
      <c r="M462" s="613" t="s">
        <v>464</v>
      </c>
      <c r="N462" s="613" t="s">
        <v>464</v>
      </c>
      <c r="O462" s="613"/>
    </row>
    <row r="463" spans="12:16" x14ac:dyDescent="0.3">
      <c r="L463" s="613" t="s">
        <v>1056</v>
      </c>
      <c r="M463" s="613" t="s">
        <v>464</v>
      </c>
      <c r="N463" s="613" t="s">
        <v>464</v>
      </c>
      <c r="O463" s="613"/>
    </row>
    <row r="464" spans="12:16" x14ac:dyDescent="0.3">
      <c r="L464" s="613" t="s">
        <v>1057</v>
      </c>
      <c r="M464" s="613" t="s">
        <v>464</v>
      </c>
      <c r="N464" s="613" t="s">
        <v>464</v>
      </c>
      <c r="O464" s="613"/>
    </row>
    <row r="465" spans="12:15" x14ac:dyDescent="0.3">
      <c r="L465" s="613" t="s">
        <v>1058</v>
      </c>
      <c r="M465" s="613" t="s">
        <v>464</v>
      </c>
      <c r="N465" s="613" t="s">
        <v>464</v>
      </c>
      <c r="O465" s="613"/>
    </row>
    <row r="466" spans="12:15" x14ac:dyDescent="0.3">
      <c r="L466" s="613" t="s">
        <v>1059</v>
      </c>
      <c r="M466" s="613" t="s">
        <v>464</v>
      </c>
      <c r="N466" s="613" t="s">
        <v>464</v>
      </c>
      <c r="O466" s="613"/>
    </row>
    <row r="467" spans="12:15" x14ac:dyDescent="0.3">
      <c r="L467" s="613" t="s">
        <v>1060</v>
      </c>
      <c r="M467" s="613" t="s">
        <v>464</v>
      </c>
      <c r="N467" s="613" t="s">
        <v>464</v>
      </c>
      <c r="O467" s="613"/>
    </row>
    <row r="468" spans="12:15" x14ac:dyDescent="0.3">
      <c r="L468" s="613" t="s">
        <v>848</v>
      </c>
      <c r="M468" s="613" t="s">
        <v>464</v>
      </c>
      <c r="N468" s="613" t="s">
        <v>464</v>
      </c>
      <c r="O468" s="613"/>
    </row>
    <row r="469" spans="12:15" x14ac:dyDescent="0.3">
      <c r="L469" s="613" t="s">
        <v>1061</v>
      </c>
      <c r="M469" s="613" t="s">
        <v>464</v>
      </c>
      <c r="N469" s="613" t="s">
        <v>464</v>
      </c>
      <c r="O469" s="613"/>
    </row>
    <row r="470" spans="12:15" x14ac:dyDescent="0.3">
      <c r="L470" s="613" t="s">
        <v>1062</v>
      </c>
      <c r="M470" s="613" t="s">
        <v>464</v>
      </c>
      <c r="N470" s="613" t="s">
        <v>464</v>
      </c>
      <c r="O470" s="613"/>
    </row>
    <row r="471" spans="12:15" x14ac:dyDescent="0.3">
      <c r="L471" s="616" t="s">
        <v>1063</v>
      </c>
      <c r="M471" s="616" t="s">
        <v>464</v>
      </c>
      <c r="N471" s="616" t="s">
        <v>464</v>
      </c>
      <c r="O471" s="613" t="s">
        <v>1522</v>
      </c>
    </row>
    <row r="472" spans="12:15" x14ac:dyDescent="0.3">
      <c r="L472" s="613" t="s">
        <v>1064</v>
      </c>
      <c r="M472" s="613" t="s">
        <v>464</v>
      </c>
      <c r="N472" s="613" t="s">
        <v>464</v>
      </c>
      <c r="O472" s="613"/>
    </row>
    <row r="473" spans="12:15" x14ac:dyDescent="0.3">
      <c r="L473" s="613" t="s">
        <v>1065</v>
      </c>
      <c r="M473" s="613" t="s">
        <v>464</v>
      </c>
      <c r="N473" s="613" t="s">
        <v>464</v>
      </c>
      <c r="O473" s="613"/>
    </row>
    <row r="474" spans="12:15" x14ac:dyDescent="0.3">
      <c r="L474" s="613" t="s">
        <v>1066</v>
      </c>
      <c r="M474" s="613" t="s">
        <v>464</v>
      </c>
      <c r="N474" s="613" t="s">
        <v>464</v>
      </c>
      <c r="O474" s="613"/>
    </row>
    <row r="475" spans="12:15" x14ac:dyDescent="0.3">
      <c r="L475" s="613" t="s">
        <v>1067</v>
      </c>
      <c r="M475" s="613" t="s">
        <v>464</v>
      </c>
      <c r="N475" s="613" t="s">
        <v>464</v>
      </c>
      <c r="O475" s="613"/>
    </row>
    <row r="476" spans="12:15" x14ac:dyDescent="0.3">
      <c r="L476" s="613" t="s">
        <v>849</v>
      </c>
      <c r="M476" s="613" t="s">
        <v>464</v>
      </c>
      <c r="N476" s="613" t="s">
        <v>464</v>
      </c>
      <c r="O476" s="613"/>
    </row>
    <row r="477" spans="12:15" x14ac:dyDescent="0.3">
      <c r="L477" s="613" t="s">
        <v>1068</v>
      </c>
      <c r="M477" s="613" t="s">
        <v>464</v>
      </c>
      <c r="N477" s="613" t="s">
        <v>464</v>
      </c>
      <c r="O477" s="613"/>
    </row>
    <row r="478" spans="12:15" x14ac:dyDescent="0.3">
      <c r="L478" s="613" t="s">
        <v>1069</v>
      </c>
      <c r="M478" s="613" t="s">
        <v>464</v>
      </c>
      <c r="N478" s="613" t="s">
        <v>464</v>
      </c>
      <c r="O478" s="613"/>
    </row>
    <row r="479" spans="12:15" x14ac:dyDescent="0.3">
      <c r="L479" s="613" t="s">
        <v>1070</v>
      </c>
      <c r="M479" s="613" t="s">
        <v>464</v>
      </c>
      <c r="N479" s="613" t="s">
        <v>464</v>
      </c>
      <c r="O479" s="613"/>
    </row>
    <row r="480" spans="12:15" x14ac:dyDescent="0.3">
      <c r="L480" s="613" t="s">
        <v>1071</v>
      </c>
      <c r="M480" s="613" t="s">
        <v>464</v>
      </c>
      <c r="N480" s="613" t="s">
        <v>464</v>
      </c>
      <c r="O480" s="613"/>
    </row>
    <row r="481" spans="12:16" x14ac:dyDescent="0.3">
      <c r="L481" s="613" t="s">
        <v>1072</v>
      </c>
      <c r="M481" s="613" t="s">
        <v>464</v>
      </c>
      <c r="N481" s="613" t="s">
        <v>464</v>
      </c>
      <c r="O481" s="613"/>
    </row>
    <row r="482" spans="12:16" x14ac:dyDescent="0.3">
      <c r="L482" s="613" t="s">
        <v>1073</v>
      </c>
      <c r="M482" s="613" t="s">
        <v>464</v>
      </c>
      <c r="N482" s="613" t="s">
        <v>464</v>
      </c>
      <c r="O482" s="613"/>
    </row>
    <row r="483" spans="12:16" x14ac:dyDescent="0.3">
      <c r="L483" s="613" t="s">
        <v>1074</v>
      </c>
      <c r="M483" s="613" t="s">
        <v>464</v>
      </c>
      <c r="N483" s="613" t="s">
        <v>464</v>
      </c>
      <c r="O483" s="613"/>
    </row>
    <row r="484" spans="12:16" x14ac:dyDescent="0.3">
      <c r="L484" s="613" t="s">
        <v>1075</v>
      </c>
      <c r="M484" s="613" t="s">
        <v>464</v>
      </c>
      <c r="N484" s="613" t="s">
        <v>464</v>
      </c>
      <c r="O484" s="613"/>
    </row>
    <row r="485" spans="12:16" x14ac:dyDescent="0.3">
      <c r="L485" s="613" t="s">
        <v>850</v>
      </c>
      <c r="M485" s="613" t="s">
        <v>464</v>
      </c>
      <c r="N485" s="613" t="s">
        <v>464</v>
      </c>
      <c r="O485" s="613"/>
    </row>
    <row r="486" spans="12:16" x14ac:dyDescent="0.3">
      <c r="L486" s="613" t="s">
        <v>1076</v>
      </c>
      <c r="M486" s="613" t="s">
        <v>464</v>
      </c>
      <c r="N486" s="613" t="s">
        <v>464</v>
      </c>
      <c r="O486" s="613"/>
    </row>
    <row r="487" spans="12:16" x14ac:dyDescent="0.3">
      <c r="L487" s="615" t="s">
        <v>1077</v>
      </c>
      <c r="M487" s="615">
        <v>0.03</v>
      </c>
      <c r="N487" s="615">
        <v>0.05</v>
      </c>
      <c r="O487" s="613" t="s">
        <v>1527</v>
      </c>
      <c r="P487" s="622" t="s">
        <v>1523</v>
      </c>
    </row>
    <row r="488" spans="12:16" x14ac:dyDescent="0.3">
      <c r="L488" s="613" t="s">
        <v>555</v>
      </c>
      <c r="M488" s="613" t="s">
        <v>464</v>
      </c>
      <c r="N488" s="613" t="s">
        <v>464</v>
      </c>
      <c r="O488" s="613"/>
    </row>
    <row r="489" spans="12:16" x14ac:dyDescent="0.3">
      <c r="L489" s="613" t="s">
        <v>556</v>
      </c>
      <c r="M489" s="613" t="s">
        <v>464</v>
      </c>
      <c r="N489" s="613" t="s">
        <v>464</v>
      </c>
      <c r="O489" s="613"/>
    </row>
    <row r="490" spans="12:16" x14ac:dyDescent="0.3">
      <c r="L490" s="613" t="s">
        <v>851</v>
      </c>
      <c r="M490" s="613" t="s">
        <v>464</v>
      </c>
      <c r="N490" s="613" t="s">
        <v>464</v>
      </c>
      <c r="O490" s="613"/>
    </row>
    <row r="491" spans="12:16" x14ac:dyDescent="0.3">
      <c r="L491" s="613" t="s">
        <v>1078</v>
      </c>
      <c r="M491" s="613" t="s">
        <v>464</v>
      </c>
      <c r="N491" s="613" t="s">
        <v>464</v>
      </c>
      <c r="O491" s="613"/>
    </row>
    <row r="492" spans="12:16" x14ac:dyDescent="0.3">
      <c r="L492" s="613" t="s">
        <v>1079</v>
      </c>
      <c r="M492" s="613" t="s">
        <v>464</v>
      </c>
      <c r="N492" s="613" t="s">
        <v>464</v>
      </c>
      <c r="O492" s="613"/>
    </row>
    <row r="493" spans="12:16" x14ac:dyDescent="0.3">
      <c r="L493" s="613" t="s">
        <v>1080</v>
      </c>
      <c r="M493" s="613" t="s">
        <v>464</v>
      </c>
      <c r="N493" s="613" t="s">
        <v>464</v>
      </c>
      <c r="O493" s="613"/>
    </row>
    <row r="494" spans="12:16" x14ac:dyDescent="0.3">
      <c r="L494" s="613" t="s">
        <v>1081</v>
      </c>
      <c r="M494" s="613" t="s">
        <v>464</v>
      </c>
      <c r="N494" s="613" t="s">
        <v>464</v>
      </c>
      <c r="O494" s="613"/>
    </row>
    <row r="495" spans="12:16" x14ac:dyDescent="0.3">
      <c r="L495" s="613" t="s">
        <v>1082</v>
      </c>
      <c r="M495" s="613" t="s">
        <v>464</v>
      </c>
      <c r="N495" s="613" t="s">
        <v>464</v>
      </c>
      <c r="O495" s="613"/>
    </row>
    <row r="496" spans="12:16" x14ac:dyDescent="0.3">
      <c r="L496" s="613" t="s">
        <v>1083</v>
      </c>
      <c r="M496" s="613" t="s">
        <v>464</v>
      </c>
      <c r="N496" s="613" t="s">
        <v>464</v>
      </c>
      <c r="O496" s="613"/>
    </row>
    <row r="497" spans="12:16" x14ac:dyDescent="0.3">
      <c r="L497" s="613" t="s">
        <v>1084</v>
      </c>
      <c r="M497" s="613" t="s">
        <v>464</v>
      </c>
      <c r="N497" s="613" t="s">
        <v>464</v>
      </c>
      <c r="O497" s="613"/>
    </row>
    <row r="498" spans="12:16" x14ac:dyDescent="0.3">
      <c r="L498" s="613" t="s">
        <v>1085</v>
      </c>
      <c r="M498" s="613" t="s">
        <v>464</v>
      </c>
      <c r="N498" s="613" t="s">
        <v>464</v>
      </c>
      <c r="O498" s="613"/>
    </row>
    <row r="499" spans="12:16" x14ac:dyDescent="0.3">
      <c r="L499" s="613" t="s">
        <v>557</v>
      </c>
      <c r="M499" s="613" t="s">
        <v>464</v>
      </c>
      <c r="N499" s="613" t="s">
        <v>464</v>
      </c>
      <c r="O499" s="613"/>
    </row>
    <row r="500" spans="12:16" x14ac:dyDescent="0.3">
      <c r="L500" s="613" t="s">
        <v>1086</v>
      </c>
      <c r="M500" s="613" t="s">
        <v>464</v>
      </c>
      <c r="N500" s="613" t="s">
        <v>464</v>
      </c>
      <c r="O500" s="613"/>
    </row>
    <row r="501" spans="12:16" x14ac:dyDescent="0.3">
      <c r="L501" s="613" t="s">
        <v>1087</v>
      </c>
      <c r="M501" s="613" t="s">
        <v>464</v>
      </c>
      <c r="N501" s="613" t="s">
        <v>464</v>
      </c>
      <c r="O501" s="613"/>
    </row>
    <row r="502" spans="12:16" x14ac:dyDescent="0.3">
      <c r="L502" s="613" t="s">
        <v>1088</v>
      </c>
      <c r="M502" s="613" t="s">
        <v>464</v>
      </c>
      <c r="N502" s="613" t="s">
        <v>464</v>
      </c>
      <c r="O502" s="613"/>
    </row>
    <row r="503" spans="12:16" x14ac:dyDescent="0.3">
      <c r="L503" s="613" t="s">
        <v>559</v>
      </c>
      <c r="M503" s="613" t="s">
        <v>464</v>
      </c>
      <c r="N503" s="613" t="s">
        <v>464</v>
      </c>
      <c r="O503" s="613"/>
    </row>
    <row r="504" spans="12:16" x14ac:dyDescent="0.3">
      <c r="L504" s="613" t="s">
        <v>1089</v>
      </c>
      <c r="M504" s="613" t="s">
        <v>464</v>
      </c>
      <c r="N504" s="613" t="s">
        <v>464</v>
      </c>
      <c r="O504" s="613"/>
    </row>
    <row r="505" spans="12:16" x14ac:dyDescent="0.3">
      <c r="L505" s="613" t="s">
        <v>1090</v>
      </c>
      <c r="M505" s="613" t="s">
        <v>464</v>
      </c>
      <c r="N505" s="613" t="s">
        <v>464</v>
      </c>
      <c r="O505" s="613"/>
    </row>
    <row r="506" spans="12:16" x14ac:dyDescent="0.3">
      <c r="L506" s="613" t="s">
        <v>560</v>
      </c>
      <c r="M506" s="613" t="s">
        <v>464</v>
      </c>
      <c r="N506" s="613" t="s">
        <v>464</v>
      </c>
      <c r="O506" s="613"/>
    </row>
    <row r="507" spans="12:16" x14ac:dyDescent="0.3">
      <c r="L507" s="613" t="s">
        <v>852</v>
      </c>
      <c r="M507" s="613" t="s">
        <v>464</v>
      </c>
      <c r="N507" s="613" t="s">
        <v>464</v>
      </c>
      <c r="O507" s="613"/>
    </row>
    <row r="508" spans="12:16" x14ac:dyDescent="0.3">
      <c r="L508" s="613" t="s">
        <v>1091</v>
      </c>
      <c r="M508" s="613" t="s">
        <v>464</v>
      </c>
      <c r="N508" s="613" t="s">
        <v>464</v>
      </c>
      <c r="O508" s="613"/>
    </row>
    <row r="509" spans="12:16" x14ac:dyDescent="0.3">
      <c r="L509" s="613" t="s">
        <v>1092</v>
      </c>
      <c r="M509" s="613" t="s">
        <v>464</v>
      </c>
      <c r="N509" s="613" t="s">
        <v>464</v>
      </c>
      <c r="O509" s="613"/>
    </row>
    <row r="510" spans="12:16" x14ac:dyDescent="0.3">
      <c r="L510" s="613" t="s">
        <v>1093</v>
      </c>
      <c r="M510" s="613" t="s">
        <v>464</v>
      </c>
      <c r="N510" s="613" t="s">
        <v>464</v>
      </c>
      <c r="O510" s="613"/>
    </row>
    <row r="511" spans="12:16" x14ac:dyDescent="0.3">
      <c r="L511" s="615" t="s">
        <v>399</v>
      </c>
      <c r="M511" s="615">
        <v>0.03</v>
      </c>
      <c r="N511" s="615">
        <v>0.05</v>
      </c>
      <c r="O511" s="613" t="s">
        <v>1527</v>
      </c>
      <c r="P511" s="622" t="s">
        <v>1523</v>
      </c>
    </row>
    <row r="512" spans="12:16" x14ac:dyDescent="0.3">
      <c r="L512" s="613" t="s">
        <v>1094</v>
      </c>
      <c r="M512" s="613" t="s">
        <v>464</v>
      </c>
      <c r="N512" s="613" t="s">
        <v>464</v>
      </c>
      <c r="O512" s="613"/>
    </row>
    <row r="513" spans="12:16" x14ac:dyDescent="0.3">
      <c r="L513" s="613" t="s">
        <v>1095</v>
      </c>
      <c r="M513" s="613" t="s">
        <v>464</v>
      </c>
      <c r="N513" s="613" t="s">
        <v>464</v>
      </c>
      <c r="O513" s="613"/>
    </row>
    <row r="514" spans="12:16" x14ac:dyDescent="0.3">
      <c r="L514" s="613" t="s">
        <v>1096</v>
      </c>
      <c r="M514" s="613" t="s">
        <v>464</v>
      </c>
      <c r="N514" s="613" t="s">
        <v>464</v>
      </c>
      <c r="O514" s="613"/>
    </row>
    <row r="515" spans="12:16" x14ac:dyDescent="0.3">
      <c r="L515" s="613" t="s">
        <v>1097</v>
      </c>
      <c r="M515" s="613" t="s">
        <v>464</v>
      </c>
      <c r="N515" s="613" t="s">
        <v>464</v>
      </c>
      <c r="O515" s="613"/>
    </row>
    <row r="516" spans="12:16" x14ac:dyDescent="0.3">
      <c r="L516" s="613" t="s">
        <v>853</v>
      </c>
      <c r="M516" s="613" t="s">
        <v>464</v>
      </c>
      <c r="N516" s="613" t="s">
        <v>464</v>
      </c>
      <c r="O516" s="613"/>
    </row>
    <row r="517" spans="12:16" x14ac:dyDescent="0.3">
      <c r="L517" s="613" t="s">
        <v>1098</v>
      </c>
      <c r="M517" s="613" t="s">
        <v>464</v>
      </c>
      <c r="N517" s="613" t="s">
        <v>464</v>
      </c>
      <c r="O517" s="613" t="s">
        <v>1621</v>
      </c>
    </row>
    <row r="518" spans="12:16" x14ac:dyDescent="0.3">
      <c r="L518" s="613" t="s">
        <v>854</v>
      </c>
      <c r="M518" s="613" t="s">
        <v>464</v>
      </c>
      <c r="N518" s="613" t="s">
        <v>464</v>
      </c>
      <c r="O518" s="613"/>
    </row>
    <row r="519" spans="12:16" x14ac:dyDescent="0.3">
      <c r="L519" s="613" t="s">
        <v>1099</v>
      </c>
      <c r="M519" s="613" t="s">
        <v>464</v>
      </c>
      <c r="N519" s="613" t="s">
        <v>464</v>
      </c>
      <c r="O519" s="613"/>
    </row>
    <row r="520" spans="12:16" x14ac:dyDescent="0.3">
      <c r="L520" s="615" t="s">
        <v>1100</v>
      </c>
      <c r="M520" s="615">
        <v>0.03</v>
      </c>
      <c r="N520" s="615">
        <v>0.05</v>
      </c>
      <c r="O520" s="613" t="s">
        <v>1527</v>
      </c>
      <c r="P520" s="622" t="s">
        <v>1523</v>
      </c>
    </row>
    <row r="521" spans="12:16" x14ac:dyDescent="0.3">
      <c r="L521" s="613" t="s">
        <v>1101</v>
      </c>
      <c r="M521" s="613" t="s">
        <v>464</v>
      </c>
      <c r="N521" s="613" t="s">
        <v>464</v>
      </c>
      <c r="O521" s="613"/>
    </row>
    <row r="522" spans="12:16" x14ac:dyDescent="0.3">
      <c r="L522" s="613" t="s">
        <v>1102</v>
      </c>
      <c r="M522" s="613" t="s">
        <v>464</v>
      </c>
      <c r="N522" s="613" t="s">
        <v>464</v>
      </c>
      <c r="O522" s="613"/>
    </row>
    <row r="523" spans="12:16" x14ac:dyDescent="0.3">
      <c r="L523" s="613" t="s">
        <v>1103</v>
      </c>
      <c r="M523" s="613" t="s">
        <v>464</v>
      </c>
      <c r="N523" s="613" t="s">
        <v>464</v>
      </c>
      <c r="O523" s="613"/>
    </row>
    <row r="524" spans="12:16" x14ac:dyDescent="0.3">
      <c r="L524" s="613" t="s">
        <v>1104</v>
      </c>
      <c r="M524" s="613" t="s">
        <v>464</v>
      </c>
      <c r="N524" s="613" t="s">
        <v>464</v>
      </c>
      <c r="O524" s="613" t="s">
        <v>1621</v>
      </c>
    </row>
    <row r="525" spans="12:16" x14ac:dyDescent="0.3">
      <c r="L525" s="613" t="s">
        <v>1105</v>
      </c>
      <c r="M525" s="613" t="s">
        <v>464</v>
      </c>
      <c r="N525" s="613" t="s">
        <v>464</v>
      </c>
      <c r="O525" s="613"/>
    </row>
    <row r="526" spans="12:16" x14ac:dyDescent="0.3">
      <c r="L526" s="613" t="s">
        <v>1106</v>
      </c>
      <c r="M526" s="613" t="s">
        <v>464</v>
      </c>
      <c r="N526" s="613" t="s">
        <v>464</v>
      </c>
      <c r="O526" s="613"/>
    </row>
    <row r="527" spans="12:16" x14ac:dyDescent="0.3">
      <c r="L527" s="613" t="s">
        <v>1107</v>
      </c>
      <c r="M527" s="613" t="s">
        <v>464</v>
      </c>
      <c r="N527" s="613" t="s">
        <v>464</v>
      </c>
      <c r="O527" s="613"/>
    </row>
    <row r="528" spans="12:16" x14ac:dyDescent="0.3">
      <c r="L528" s="613" t="s">
        <v>1108</v>
      </c>
      <c r="M528" s="613" t="s">
        <v>464</v>
      </c>
      <c r="N528" s="613" t="s">
        <v>464</v>
      </c>
      <c r="O528" s="613"/>
    </row>
    <row r="529" spans="12:16" x14ac:dyDescent="0.3">
      <c r="L529" s="613" t="s">
        <v>1109</v>
      </c>
      <c r="M529" s="613" t="s">
        <v>464</v>
      </c>
      <c r="N529" s="613" t="s">
        <v>464</v>
      </c>
      <c r="O529" s="613"/>
    </row>
    <row r="530" spans="12:16" x14ac:dyDescent="0.3">
      <c r="L530" s="613" t="s">
        <v>1110</v>
      </c>
      <c r="M530" s="613" t="s">
        <v>464</v>
      </c>
      <c r="N530" s="613" t="s">
        <v>464</v>
      </c>
      <c r="O530" s="613"/>
    </row>
    <row r="531" spans="12:16" x14ac:dyDescent="0.3">
      <c r="L531" s="613" t="s">
        <v>1111</v>
      </c>
      <c r="M531" s="613" t="s">
        <v>464</v>
      </c>
      <c r="N531" s="613" t="s">
        <v>464</v>
      </c>
      <c r="O531" s="613"/>
    </row>
    <row r="532" spans="12:16" x14ac:dyDescent="0.3">
      <c r="L532" s="613" t="s">
        <v>1112</v>
      </c>
      <c r="M532" s="613" t="s">
        <v>464</v>
      </c>
      <c r="N532" s="613" t="s">
        <v>464</v>
      </c>
      <c r="O532" s="613"/>
    </row>
    <row r="533" spans="12:16" x14ac:dyDescent="0.3">
      <c r="L533" s="613" t="s">
        <v>1113</v>
      </c>
      <c r="M533" s="613" t="s">
        <v>464</v>
      </c>
      <c r="N533" s="613" t="s">
        <v>464</v>
      </c>
      <c r="O533" s="613"/>
    </row>
    <row r="534" spans="12:16" x14ac:dyDescent="0.3">
      <c r="L534" s="613" t="s">
        <v>561</v>
      </c>
      <c r="M534" s="613" t="s">
        <v>464</v>
      </c>
      <c r="N534" s="613" t="s">
        <v>464</v>
      </c>
      <c r="O534" s="613"/>
    </row>
    <row r="535" spans="12:16" x14ac:dyDescent="0.3">
      <c r="L535" s="613" t="s">
        <v>855</v>
      </c>
      <c r="M535" s="613" t="s">
        <v>464</v>
      </c>
      <c r="N535" s="613" t="s">
        <v>464</v>
      </c>
      <c r="O535" s="613"/>
    </row>
    <row r="536" spans="12:16" x14ac:dyDescent="0.3">
      <c r="L536" s="613" t="s">
        <v>1114</v>
      </c>
      <c r="M536" s="613" t="s">
        <v>464</v>
      </c>
      <c r="N536" s="613" t="s">
        <v>464</v>
      </c>
      <c r="O536" s="613"/>
    </row>
    <row r="537" spans="12:16" x14ac:dyDescent="0.3">
      <c r="L537" s="613" t="s">
        <v>1115</v>
      </c>
      <c r="M537" s="613" t="s">
        <v>464</v>
      </c>
      <c r="N537" s="613" t="s">
        <v>464</v>
      </c>
      <c r="O537" s="613"/>
    </row>
    <row r="538" spans="12:16" x14ac:dyDescent="0.3">
      <c r="L538" s="613" t="s">
        <v>562</v>
      </c>
      <c r="M538" s="613" t="s">
        <v>464</v>
      </c>
      <c r="N538" s="613" t="s">
        <v>464</v>
      </c>
      <c r="O538" s="613"/>
    </row>
    <row r="539" spans="12:16" x14ac:dyDescent="0.3">
      <c r="L539" s="613" t="s">
        <v>1116</v>
      </c>
      <c r="M539" s="613" t="s">
        <v>464</v>
      </c>
      <c r="N539" s="613" t="s">
        <v>464</v>
      </c>
      <c r="O539" s="613"/>
    </row>
    <row r="540" spans="12:16" x14ac:dyDescent="0.3">
      <c r="L540" s="613" t="s">
        <v>400</v>
      </c>
      <c r="M540" s="613" t="s">
        <v>464</v>
      </c>
      <c r="N540" s="613" t="s">
        <v>464</v>
      </c>
      <c r="O540" s="613"/>
    </row>
    <row r="541" spans="12:16" x14ac:dyDescent="0.3">
      <c r="L541" s="615" t="s">
        <v>1117</v>
      </c>
      <c r="M541" s="615">
        <v>0.03</v>
      </c>
      <c r="N541" s="615">
        <v>0.05</v>
      </c>
      <c r="O541" s="613" t="s">
        <v>1527</v>
      </c>
      <c r="P541" s="622" t="s">
        <v>1523</v>
      </c>
    </row>
    <row r="542" spans="12:16" x14ac:dyDescent="0.3">
      <c r="L542" s="613" t="s">
        <v>1118</v>
      </c>
      <c r="M542" s="613" t="s">
        <v>464</v>
      </c>
      <c r="N542" s="613" t="s">
        <v>464</v>
      </c>
      <c r="O542" s="613"/>
    </row>
    <row r="543" spans="12:16" x14ac:dyDescent="0.3">
      <c r="L543" s="613" t="s">
        <v>1119</v>
      </c>
      <c r="M543" s="613" t="s">
        <v>464</v>
      </c>
      <c r="N543" s="613" t="s">
        <v>464</v>
      </c>
      <c r="O543" s="613" t="s">
        <v>1621</v>
      </c>
    </row>
    <row r="544" spans="12:16" x14ac:dyDescent="0.3">
      <c r="L544" s="613" t="s">
        <v>1120</v>
      </c>
      <c r="M544" s="613" t="s">
        <v>464</v>
      </c>
      <c r="N544" s="613" t="s">
        <v>464</v>
      </c>
      <c r="O544" s="613"/>
    </row>
    <row r="545" spans="12:15" x14ac:dyDescent="0.3">
      <c r="L545" s="613" t="s">
        <v>1121</v>
      </c>
      <c r="M545" s="613" t="s">
        <v>464</v>
      </c>
      <c r="N545" s="613" t="s">
        <v>464</v>
      </c>
      <c r="O545" s="613"/>
    </row>
    <row r="546" spans="12:15" x14ac:dyDescent="0.3">
      <c r="L546" s="613" t="s">
        <v>401</v>
      </c>
      <c r="M546" s="613" t="s">
        <v>464</v>
      </c>
      <c r="N546" s="613" t="s">
        <v>464</v>
      </c>
      <c r="O546" s="613"/>
    </row>
    <row r="547" spans="12:15" x14ac:dyDescent="0.3">
      <c r="L547" s="613" t="s">
        <v>1122</v>
      </c>
      <c r="M547" s="613" t="s">
        <v>464</v>
      </c>
      <c r="N547" s="613" t="s">
        <v>464</v>
      </c>
      <c r="O547" s="613" t="s">
        <v>1621</v>
      </c>
    </row>
    <row r="548" spans="12:15" x14ac:dyDescent="0.3">
      <c r="L548" s="613" t="s">
        <v>856</v>
      </c>
      <c r="M548" s="613" t="s">
        <v>464</v>
      </c>
      <c r="N548" s="613" t="s">
        <v>464</v>
      </c>
      <c r="O548" s="613"/>
    </row>
    <row r="549" spans="12:15" x14ac:dyDescent="0.3">
      <c r="L549" s="613" t="s">
        <v>1123</v>
      </c>
      <c r="M549" s="613" t="s">
        <v>464</v>
      </c>
      <c r="N549" s="613" t="s">
        <v>464</v>
      </c>
      <c r="O549" s="613"/>
    </row>
    <row r="550" spans="12:15" x14ac:dyDescent="0.3">
      <c r="L550" s="613" t="s">
        <v>1124</v>
      </c>
      <c r="M550" s="613" t="s">
        <v>464</v>
      </c>
      <c r="N550" s="613" t="s">
        <v>464</v>
      </c>
      <c r="O550" s="613"/>
    </row>
    <row r="551" spans="12:15" x14ac:dyDescent="0.3">
      <c r="L551" s="613" t="s">
        <v>1125</v>
      </c>
      <c r="M551" s="613" t="s">
        <v>464</v>
      </c>
      <c r="N551" s="613" t="s">
        <v>464</v>
      </c>
      <c r="O551" s="613"/>
    </row>
    <row r="552" spans="12:15" x14ac:dyDescent="0.3">
      <c r="L552" s="613" t="s">
        <v>1126</v>
      </c>
      <c r="M552" s="613" t="s">
        <v>464</v>
      </c>
      <c r="N552" s="613" t="s">
        <v>464</v>
      </c>
      <c r="O552" s="613"/>
    </row>
    <row r="553" spans="12:15" x14ac:dyDescent="0.3">
      <c r="L553" s="613" t="s">
        <v>857</v>
      </c>
      <c r="M553" s="613" t="s">
        <v>464</v>
      </c>
      <c r="N553" s="613" t="s">
        <v>464</v>
      </c>
      <c r="O553" s="613"/>
    </row>
    <row r="554" spans="12:15" x14ac:dyDescent="0.3">
      <c r="L554" s="613" t="s">
        <v>1127</v>
      </c>
      <c r="M554" s="613" t="s">
        <v>464</v>
      </c>
      <c r="N554" s="613" t="s">
        <v>464</v>
      </c>
      <c r="O554" s="613"/>
    </row>
    <row r="555" spans="12:15" x14ac:dyDescent="0.3">
      <c r="L555" s="613" t="s">
        <v>1128</v>
      </c>
      <c r="M555" s="613" t="s">
        <v>464</v>
      </c>
      <c r="N555" s="613" t="s">
        <v>464</v>
      </c>
      <c r="O555" s="613"/>
    </row>
  </sheetData>
  <sheetProtection algorithmName="SHA-512" hashValue="U8JTZKmueuoSAptQiuHCg7j1YaETJUFjZdeW5bNyAGCGlXUdz1UNWIk6jrLUL0ZdVAX+GQA3wBnUA6pXi7YK2g==" saltValue="WCRp2wPqckosXVRrH5Rpmg=="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41"/>
  <sheetViews>
    <sheetView workbookViewId="0">
      <pane xSplit="3" ySplit="2" topLeftCell="D3" activePane="bottomRight" state="frozen"/>
      <selection pane="topRight" activeCell="D1" sqref="D1"/>
      <selection pane="bottomLeft" activeCell="A3" sqref="A3"/>
      <selection pane="bottomRight" activeCell="BV7" sqref="BV7"/>
    </sheetView>
  </sheetViews>
  <sheetFormatPr defaultRowHeight="14.4" x14ac:dyDescent="0.3"/>
  <cols>
    <col min="1" max="1" width="29.33203125" style="155" customWidth="1"/>
    <col min="2" max="2" width="80.44140625" customWidth="1"/>
    <col min="3" max="3" width="39.44140625" customWidth="1"/>
    <col min="4" max="97" width="20.6640625" customWidth="1"/>
    <col min="98" max="104" width="16.109375" customWidth="1"/>
  </cols>
  <sheetData>
    <row r="1" spans="1:99" ht="15.6" x14ac:dyDescent="0.3">
      <c r="A1" s="554" t="s">
        <v>1712</v>
      </c>
      <c r="B1" s="180" t="s">
        <v>351</v>
      </c>
      <c r="C1" s="180" t="s">
        <v>351</v>
      </c>
      <c r="D1" s="180" t="s">
        <v>1440</v>
      </c>
      <c r="E1" s="180" t="s">
        <v>1441</v>
      </c>
      <c r="F1" s="180" t="s">
        <v>542</v>
      </c>
      <c r="G1" s="180" t="s">
        <v>1442</v>
      </c>
      <c r="H1" s="180" t="s">
        <v>543</v>
      </c>
      <c r="I1" s="180" t="s">
        <v>1443</v>
      </c>
      <c r="J1" s="180" t="s">
        <v>1444</v>
      </c>
      <c r="K1" s="180" t="s">
        <v>1445</v>
      </c>
      <c r="L1" s="180" t="s">
        <v>544</v>
      </c>
      <c r="M1" s="180" t="s">
        <v>1446</v>
      </c>
      <c r="N1" s="180" t="s">
        <v>1447</v>
      </c>
      <c r="O1" s="180" t="s">
        <v>1448</v>
      </c>
      <c r="P1" s="180" t="s">
        <v>545</v>
      </c>
      <c r="Q1" s="180" t="s">
        <v>841</v>
      </c>
      <c r="R1" s="180" t="s">
        <v>1449</v>
      </c>
      <c r="S1" s="180" t="s">
        <v>1450</v>
      </c>
      <c r="T1" s="180" t="s">
        <v>1451</v>
      </c>
      <c r="U1" s="180" t="s">
        <v>546</v>
      </c>
      <c r="V1" s="180" t="s">
        <v>1452</v>
      </c>
      <c r="W1" s="180" t="s">
        <v>547</v>
      </c>
      <c r="X1" s="180" t="s">
        <v>393</v>
      </c>
      <c r="Y1" s="180" t="s">
        <v>1453</v>
      </c>
      <c r="Z1" s="180" t="s">
        <v>1454</v>
      </c>
      <c r="AA1" s="180" t="s">
        <v>1455</v>
      </c>
      <c r="AB1" s="180" t="s">
        <v>548</v>
      </c>
      <c r="AC1" s="180" t="s">
        <v>1456</v>
      </c>
      <c r="AD1" s="180" t="s">
        <v>1457</v>
      </c>
      <c r="AE1" s="180" t="s">
        <v>842</v>
      </c>
      <c r="AF1" s="180" t="s">
        <v>843</v>
      </c>
      <c r="AG1" s="180" t="s">
        <v>844</v>
      </c>
      <c r="AH1" s="180" t="s">
        <v>845</v>
      </c>
      <c r="AI1" s="180" t="s">
        <v>1458</v>
      </c>
      <c r="AJ1" s="180" t="s">
        <v>1459</v>
      </c>
      <c r="AK1" s="180" t="s">
        <v>846</v>
      </c>
      <c r="AL1" s="180" t="s">
        <v>1460</v>
      </c>
      <c r="AM1" s="180" t="s">
        <v>1461</v>
      </c>
      <c r="AN1" s="180" t="s">
        <v>1462</v>
      </c>
      <c r="AO1" s="180" t="s">
        <v>1463</v>
      </c>
      <c r="AP1" s="180" t="s">
        <v>1464</v>
      </c>
      <c r="AQ1" s="180" t="s">
        <v>1465</v>
      </c>
      <c r="AR1" s="180" t="s">
        <v>1466</v>
      </c>
      <c r="AS1" s="180" t="s">
        <v>1467</v>
      </c>
      <c r="AT1" s="180" t="s">
        <v>1468</v>
      </c>
      <c r="AU1" s="180" t="s">
        <v>1469</v>
      </c>
      <c r="AV1" s="180" t="s">
        <v>550</v>
      </c>
      <c r="AW1" s="180" t="s">
        <v>1470</v>
      </c>
      <c r="AX1" s="180" t="s">
        <v>1471</v>
      </c>
      <c r="AY1" s="180" t="s">
        <v>551</v>
      </c>
      <c r="AZ1" s="180" t="s">
        <v>1472</v>
      </c>
      <c r="BA1" s="180" t="s">
        <v>1473</v>
      </c>
      <c r="BB1" s="180" t="s">
        <v>1474</v>
      </c>
      <c r="BC1" s="180" t="s">
        <v>1475</v>
      </c>
      <c r="BD1" s="180" t="s">
        <v>1476</v>
      </c>
      <c r="BE1" s="180" t="s">
        <v>552</v>
      </c>
      <c r="BF1" s="180" t="s">
        <v>1477</v>
      </c>
      <c r="BG1" s="180" t="s">
        <v>847</v>
      </c>
      <c r="BH1" s="180" t="s">
        <v>1478</v>
      </c>
      <c r="BI1" s="180" t="s">
        <v>1479</v>
      </c>
      <c r="BJ1" s="180" t="s">
        <v>1480</v>
      </c>
      <c r="BK1" s="180" t="s">
        <v>553</v>
      </c>
      <c r="BL1" s="180" t="s">
        <v>1481</v>
      </c>
      <c r="BM1" s="180" t="s">
        <v>1482</v>
      </c>
      <c r="BN1" s="180" t="s">
        <v>1483</v>
      </c>
      <c r="BO1" s="180" t="s">
        <v>1484</v>
      </c>
      <c r="BP1" s="180" t="s">
        <v>1485</v>
      </c>
      <c r="BQ1" s="180" t="s">
        <v>1486</v>
      </c>
      <c r="BR1" s="180" t="s">
        <v>1497</v>
      </c>
      <c r="BS1" s="180" t="s">
        <v>1487</v>
      </c>
      <c r="BT1" s="180" t="s">
        <v>1488</v>
      </c>
      <c r="BU1" s="180" t="s">
        <v>554</v>
      </c>
      <c r="BV1" s="180" t="s">
        <v>1489</v>
      </c>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row>
    <row r="2" spans="1:99" x14ac:dyDescent="0.3">
      <c r="A2" s="155" t="s">
        <v>895</v>
      </c>
      <c r="B2" s="180" t="s">
        <v>41</v>
      </c>
      <c r="C2" s="180" t="s">
        <v>13</v>
      </c>
      <c r="D2" s="803">
        <v>50312</v>
      </c>
      <c r="E2" s="803">
        <v>50313</v>
      </c>
      <c r="F2" s="803">
        <v>50314</v>
      </c>
      <c r="G2" s="803">
        <v>50315</v>
      </c>
      <c r="H2" s="803">
        <v>50316</v>
      </c>
      <c r="I2" s="803">
        <v>50481</v>
      </c>
      <c r="J2" s="803">
        <v>50561</v>
      </c>
      <c r="K2" s="803">
        <v>50317</v>
      </c>
      <c r="L2" s="803">
        <v>50318</v>
      </c>
      <c r="M2" s="803">
        <v>50319</v>
      </c>
      <c r="N2" s="803">
        <v>50489</v>
      </c>
      <c r="O2" s="803">
        <v>50320</v>
      </c>
      <c r="P2" s="803">
        <v>50323</v>
      </c>
      <c r="Q2" s="803">
        <v>50321</v>
      </c>
      <c r="R2" s="803">
        <v>50322</v>
      </c>
      <c r="S2" s="803">
        <v>50490</v>
      </c>
      <c r="T2" s="803">
        <v>50324</v>
      </c>
      <c r="U2" s="803">
        <v>50325</v>
      </c>
      <c r="V2" s="803">
        <v>50326</v>
      </c>
      <c r="W2" s="803">
        <v>50327</v>
      </c>
      <c r="X2" s="803">
        <v>50328</v>
      </c>
      <c r="Y2" s="803">
        <v>50329</v>
      </c>
      <c r="Z2" s="803">
        <v>50330</v>
      </c>
      <c r="AA2" s="803">
        <v>50331</v>
      </c>
      <c r="AB2" s="803">
        <v>50332</v>
      </c>
      <c r="AC2" s="803">
        <v>50333</v>
      </c>
      <c r="AD2" s="803">
        <v>50335</v>
      </c>
      <c r="AE2" s="803">
        <v>50334</v>
      </c>
      <c r="AF2" s="803">
        <v>50336</v>
      </c>
      <c r="AG2" s="803">
        <v>50337</v>
      </c>
      <c r="AH2" s="803">
        <v>50338</v>
      </c>
      <c r="AI2" s="803">
        <v>50339</v>
      </c>
      <c r="AJ2" s="803">
        <v>50443</v>
      </c>
      <c r="AK2" s="803">
        <v>50340</v>
      </c>
      <c r="AL2" s="803">
        <v>50456</v>
      </c>
      <c r="AM2" s="803">
        <v>50341</v>
      </c>
      <c r="AN2" s="803">
        <v>50342</v>
      </c>
      <c r="AO2" s="803">
        <v>50344</v>
      </c>
      <c r="AP2" s="803">
        <v>50345</v>
      </c>
      <c r="AQ2" s="803">
        <v>50503</v>
      </c>
      <c r="AR2" s="803">
        <v>50527</v>
      </c>
      <c r="AS2" s="803">
        <v>50346</v>
      </c>
      <c r="AT2" s="803">
        <v>50347</v>
      </c>
      <c r="AU2" s="803">
        <v>50529</v>
      </c>
      <c r="AV2" s="803">
        <v>50348</v>
      </c>
      <c r="AW2" s="803">
        <v>50349</v>
      </c>
      <c r="AX2" s="803">
        <v>50350</v>
      </c>
      <c r="AY2" s="803">
        <v>50541</v>
      </c>
      <c r="AZ2" s="803">
        <v>50351</v>
      </c>
      <c r="BA2" s="803">
        <v>50484</v>
      </c>
      <c r="BB2" s="803">
        <v>50352</v>
      </c>
      <c r="BC2" s="803">
        <v>50353</v>
      </c>
      <c r="BD2" s="803">
        <v>50354</v>
      </c>
      <c r="BE2" s="803">
        <v>50355</v>
      </c>
      <c r="BF2" s="803">
        <v>50356</v>
      </c>
      <c r="BG2" s="803">
        <v>50357</v>
      </c>
      <c r="BH2" s="803">
        <v>50482</v>
      </c>
      <c r="BI2" s="803">
        <v>50358</v>
      </c>
      <c r="BJ2" s="803">
        <v>50359</v>
      </c>
      <c r="BK2" s="803">
        <v>50360</v>
      </c>
      <c r="BL2" s="803">
        <v>50361</v>
      </c>
      <c r="BM2" s="803">
        <v>50362</v>
      </c>
      <c r="BN2" s="803">
        <v>50363</v>
      </c>
      <c r="BO2" s="803">
        <v>50364</v>
      </c>
      <c r="BP2" s="803">
        <v>50365</v>
      </c>
      <c r="BQ2" s="803">
        <v>50366</v>
      </c>
      <c r="BR2" s="803">
        <v>50367</v>
      </c>
      <c r="BS2" s="180">
        <v>50368</v>
      </c>
      <c r="BT2" s="180">
        <v>50369</v>
      </c>
      <c r="BU2" s="180">
        <v>50370</v>
      </c>
      <c r="BV2" s="180">
        <v>50371</v>
      </c>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row>
    <row r="3" spans="1:99" x14ac:dyDescent="0.3">
      <c r="A3" s="155">
        <v>4</v>
      </c>
      <c r="B3" s="180" t="s">
        <v>111</v>
      </c>
      <c r="C3" s="180"/>
      <c r="D3" s="180">
        <v>216577</v>
      </c>
      <c r="E3" s="180">
        <v>21416083</v>
      </c>
      <c r="F3" s="180"/>
      <c r="G3" s="180"/>
      <c r="H3" s="180">
        <v>35099</v>
      </c>
      <c r="I3" s="180">
        <v>0</v>
      </c>
      <c r="J3" s="180"/>
      <c r="K3" s="180">
        <v>84460</v>
      </c>
      <c r="L3" s="180">
        <v>177204</v>
      </c>
      <c r="M3" s="180">
        <v>1155746</v>
      </c>
      <c r="N3" s="180">
        <v>2892</v>
      </c>
      <c r="O3" s="180">
        <v>30549</v>
      </c>
      <c r="P3" s="180"/>
      <c r="Q3" s="180">
        <v>23899</v>
      </c>
      <c r="R3" s="180">
        <v>309513</v>
      </c>
      <c r="S3" s="180">
        <v>33123</v>
      </c>
      <c r="T3" s="180">
        <v>536432</v>
      </c>
      <c r="U3" s="180"/>
      <c r="V3" s="180"/>
      <c r="W3" s="180"/>
      <c r="X3" s="180">
        <v>74542</v>
      </c>
      <c r="Y3" s="180">
        <v>24689</v>
      </c>
      <c r="Z3" s="180">
        <v>5340661</v>
      </c>
      <c r="AA3" s="180">
        <v>779916</v>
      </c>
      <c r="AB3" s="180">
        <v>7082</v>
      </c>
      <c r="AC3" s="180">
        <v>17486</v>
      </c>
      <c r="AD3" s="180">
        <v>46103</v>
      </c>
      <c r="AE3" s="180">
        <v>105169</v>
      </c>
      <c r="AF3" s="180">
        <v>18655</v>
      </c>
      <c r="AG3" s="180">
        <v>58290</v>
      </c>
      <c r="AH3" s="180">
        <v>424997</v>
      </c>
      <c r="AI3" s="180">
        <v>3634</v>
      </c>
      <c r="AJ3" s="180">
        <v>674373</v>
      </c>
      <c r="AK3" s="180">
        <v>0</v>
      </c>
      <c r="AL3" s="180">
        <v>137857</v>
      </c>
      <c r="AM3" s="180">
        <v>827457</v>
      </c>
      <c r="AN3" s="180">
        <v>33871</v>
      </c>
      <c r="AO3" s="180">
        <v>2836821</v>
      </c>
      <c r="AP3" s="180">
        <v>48805</v>
      </c>
      <c r="AQ3" s="180">
        <v>15311</v>
      </c>
      <c r="AR3" s="180">
        <v>3884</v>
      </c>
      <c r="AS3" s="180">
        <v>1760934</v>
      </c>
      <c r="AT3" s="180">
        <v>6598</v>
      </c>
      <c r="AU3" s="180">
        <v>170422</v>
      </c>
      <c r="AV3" s="180">
        <v>11382</v>
      </c>
      <c r="AW3" s="180">
        <v>4294</v>
      </c>
      <c r="AX3" s="180">
        <v>38276</v>
      </c>
      <c r="AY3" s="180">
        <v>18045</v>
      </c>
      <c r="AZ3" s="180">
        <v>154888</v>
      </c>
      <c r="BA3" s="180">
        <v>70485</v>
      </c>
      <c r="BB3" s="180">
        <v>6964</v>
      </c>
      <c r="BC3" s="180">
        <v>16433</v>
      </c>
      <c r="BD3" s="180">
        <v>599684</v>
      </c>
      <c r="BE3" s="180">
        <v>65518</v>
      </c>
      <c r="BF3" s="180">
        <v>477617</v>
      </c>
      <c r="BG3" s="180"/>
      <c r="BH3" s="180">
        <v>25579</v>
      </c>
      <c r="BI3" s="180">
        <v>12142</v>
      </c>
      <c r="BJ3" s="180">
        <v>539007</v>
      </c>
      <c r="BK3" s="180">
        <v>89494</v>
      </c>
      <c r="BL3" s="180">
        <v>1856435</v>
      </c>
      <c r="BM3" s="180">
        <v>235190</v>
      </c>
      <c r="BN3" s="180">
        <v>453114</v>
      </c>
      <c r="BO3" s="180">
        <v>50476</v>
      </c>
      <c r="BP3" s="180"/>
      <c r="BQ3" s="180">
        <v>95335</v>
      </c>
      <c r="BR3" s="180"/>
      <c r="BS3" s="180">
        <v>193807</v>
      </c>
      <c r="BT3" s="180">
        <v>49245</v>
      </c>
      <c r="BU3" s="180"/>
      <c r="BV3" s="180">
        <v>401830</v>
      </c>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row>
    <row r="4" spans="1:99" x14ac:dyDescent="0.3">
      <c r="A4" s="155">
        <v>5</v>
      </c>
      <c r="B4" s="180" t="s">
        <v>112</v>
      </c>
      <c r="C4" s="180"/>
      <c r="D4" s="180">
        <v>9970</v>
      </c>
      <c r="E4" s="180">
        <v>618289</v>
      </c>
      <c r="F4" s="180"/>
      <c r="G4" s="180"/>
      <c r="H4" s="180">
        <v>0</v>
      </c>
      <c r="I4" s="180">
        <v>0</v>
      </c>
      <c r="J4" s="180"/>
      <c r="K4" s="180">
        <v>0</v>
      </c>
      <c r="L4" s="180">
        <v>0</v>
      </c>
      <c r="M4" s="180">
        <v>11434</v>
      </c>
      <c r="N4" s="180">
        <v>0</v>
      </c>
      <c r="O4" s="180">
        <v>0</v>
      </c>
      <c r="P4" s="180"/>
      <c r="Q4" s="180">
        <v>0</v>
      </c>
      <c r="R4" s="180">
        <v>0</v>
      </c>
      <c r="S4" s="180">
        <v>0</v>
      </c>
      <c r="T4" s="180">
        <v>69853</v>
      </c>
      <c r="U4" s="180"/>
      <c r="V4" s="180"/>
      <c r="W4" s="180"/>
      <c r="X4" s="180">
        <v>14013</v>
      </c>
      <c r="Y4" s="180">
        <v>0</v>
      </c>
      <c r="Z4" s="180">
        <v>65142</v>
      </c>
      <c r="AA4" s="180">
        <v>0</v>
      </c>
      <c r="AB4" s="180">
        <v>0</v>
      </c>
      <c r="AC4" s="180">
        <v>132</v>
      </c>
      <c r="AD4" s="180">
        <v>43997</v>
      </c>
      <c r="AE4" s="180">
        <v>11537</v>
      </c>
      <c r="AF4" s="180">
        <v>0</v>
      </c>
      <c r="AG4" s="180">
        <v>0</v>
      </c>
      <c r="AH4" s="180">
        <v>0</v>
      </c>
      <c r="AI4" s="180">
        <v>0</v>
      </c>
      <c r="AJ4" s="180">
        <v>0</v>
      </c>
      <c r="AK4" s="180">
        <v>0</v>
      </c>
      <c r="AL4" s="180">
        <v>0</v>
      </c>
      <c r="AM4" s="180">
        <v>176</v>
      </c>
      <c r="AN4" s="180">
        <v>0</v>
      </c>
      <c r="AO4" s="180">
        <v>633054</v>
      </c>
      <c r="AP4" s="180">
        <v>2935</v>
      </c>
      <c r="AQ4" s="180">
        <v>48442</v>
      </c>
      <c r="AR4" s="180">
        <v>217358</v>
      </c>
      <c r="AS4" s="180">
        <v>32525</v>
      </c>
      <c r="AT4" s="180">
        <v>35</v>
      </c>
      <c r="AU4" s="180">
        <v>0</v>
      </c>
      <c r="AV4" s="180">
        <v>485256</v>
      </c>
      <c r="AW4" s="180">
        <v>85</v>
      </c>
      <c r="AX4" s="180">
        <v>0</v>
      </c>
      <c r="AY4" s="180">
        <v>0</v>
      </c>
      <c r="AZ4" s="180">
        <v>0</v>
      </c>
      <c r="BA4" s="180">
        <v>5978</v>
      </c>
      <c r="BB4" s="180">
        <v>0</v>
      </c>
      <c r="BC4" s="180">
        <v>0</v>
      </c>
      <c r="BD4" s="180">
        <v>1760</v>
      </c>
      <c r="BE4" s="180">
        <v>0</v>
      </c>
      <c r="BF4" s="180">
        <v>0</v>
      </c>
      <c r="BG4" s="180"/>
      <c r="BH4" s="180">
        <v>1908</v>
      </c>
      <c r="BI4" s="180">
        <v>0</v>
      </c>
      <c r="BJ4" s="180">
        <v>0</v>
      </c>
      <c r="BK4" s="180">
        <v>0</v>
      </c>
      <c r="BL4" s="180">
        <v>0</v>
      </c>
      <c r="BM4" s="180">
        <v>0</v>
      </c>
      <c r="BN4" s="180">
        <v>12745</v>
      </c>
      <c r="BO4" s="180">
        <v>0</v>
      </c>
      <c r="BP4" s="180"/>
      <c r="BQ4" s="180">
        <v>0</v>
      </c>
      <c r="BR4" s="180"/>
      <c r="BS4" s="180">
        <v>0</v>
      </c>
      <c r="BT4" s="180">
        <v>0</v>
      </c>
      <c r="BU4" s="180"/>
      <c r="BV4" s="180">
        <v>2168</v>
      </c>
      <c r="BW4" s="180"/>
      <c r="BX4" s="180"/>
      <c r="BY4" s="180"/>
      <c r="BZ4" s="180"/>
      <c r="CA4" s="180"/>
      <c r="CB4" s="180"/>
      <c r="CC4" s="180"/>
      <c r="CD4" s="180"/>
      <c r="CE4" s="180"/>
      <c r="CF4" s="180"/>
      <c r="CG4" s="180"/>
      <c r="CH4" s="180"/>
      <c r="CI4" s="180"/>
      <c r="CJ4" s="180"/>
      <c r="CK4" s="180"/>
      <c r="CL4" s="180"/>
      <c r="CM4" s="180"/>
      <c r="CN4" s="180"/>
      <c r="CO4" s="180"/>
      <c r="CP4" s="180"/>
      <c r="CQ4" s="180"/>
      <c r="CR4" s="180"/>
      <c r="CS4" s="180"/>
      <c r="CT4" s="180"/>
      <c r="CU4" s="180"/>
    </row>
    <row r="5" spans="1:99" x14ac:dyDescent="0.3">
      <c r="A5" s="155">
        <v>6</v>
      </c>
      <c r="B5" s="180" t="s">
        <v>251</v>
      </c>
      <c r="C5" s="180"/>
      <c r="D5" s="180">
        <v>0</v>
      </c>
      <c r="E5" s="180">
        <v>9468667</v>
      </c>
      <c r="F5" s="180"/>
      <c r="G5" s="180"/>
      <c r="H5" s="180">
        <v>0</v>
      </c>
      <c r="I5" s="180">
        <v>0</v>
      </c>
      <c r="J5" s="180"/>
      <c r="K5" s="180">
        <v>0</v>
      </c>
      <c r="L5" s="180">
        <v>0</v>
      </c>
      <c r="M5" s="180">
        <v>3878565</v>
      </c>
      <c r="N5" s="180">
        <v>0</v>
      </c>
      <c r="O5" s="180">
        <v>0</v>
      </c>
      <c r="P5" s="180"/>
      <c r="Q5" s="180">
        <v>0</v>
      </c>
      <c r="R5" s="180">
        <v>0</v>
      </c>
      <c r="S5" s="180">
        <v>0</v>
      </c>
      <c r="T5" s="180">
        <v>0</v>
      </c>
      <c r="U5" s="180"/>
      <c r="V5" s="180"/>
      <c r="W5" s="180"/>
      <c r="X5" s="180">
        <v>0</v>
      </c>
      <c r="Y5" s="180">
        <v>0</v>
      </c>
      <c r="Z5" s="180">
        <v>0</v>
      </c>
      <c r="AA5" s="180">
        <v>0</v>
      </c>
      <c r="AB5" s="180">
        <v>0</v>
      </c>
      <c r="AC5" s="180">
        <v>0</v>
      </c>
      <c r="AD5" s="180">
        <v>0</v>
      </c>
      <c r="AE5" s="180">
        <v>0</v>
      </c>
      <c r="AF5" s="180">
        <v>0</v>
      </c>
      <c r="AG5" s="180">
        <v>0</v>
      </c>
      <c r="AH5" s="180">
        <v>0</v>
      </c>
      <c r="AI5" s="180">
        <v>0</v>
      </c>
      <c r="AJ5" s="180">
        <v>0</v>
      </c>
      <c r="AK5" s="180">
        <v>0</v>
      </c>
      <c r="AL5" s="180">
        <v>0</v>
      </c>
      <c r="AM5" s="180">
        <v>0</v>
      </c>
      <c r="AN5" s="180">
        <v>0</v>
      </c>
      <c r="AO5" s="180">
        <v>0</v>
      </c>
      <c r="AP5" s="180">
        <v>0</v>
      </c>
      <c r="AQ5" s="180">
        <v>0</v>
      </c>
      <c r="AR5" s="180">
        <v>0</v>
      </c>
      <c r="AS5" s="180">
        <v>2153739</v>
      </c>
      <c r="AT5" s="180">
        <v>0</v>
      </c>
      <c r="AU5" s="180">
        <v>0</v>
      </c>
      <c r="AV5" s="180">
        <v>0</v>
      </c>
      <c r="AW5" s="180">
        <v>0</v>
      </c>
      <c r="AX5" s="180">
        <v>0</v>
      </c>
      <c r="AY5" s="180">
        <v>0</v>
      </c>
      <c r="AZ5" s="180">
        <v>0</v>
      </c>
      <c r="BA5" s="180">
        <v>0</v>
      </c>
      <c r="BB5" s="180">
        <v>0</v>
      </c>
      <c r="BC5" s="180">
        <v>0</v>
      </c>
      <c r="BD5" s="180">
        <v>0</v>
      </c>
      <c r="BE5" s="180">
        <v>0</v>
      </c>
      <c r="BF5" s="180">
        <v>0</v>
      </c>
      <c r="BG5" s="180"/>
      <c r="BH5" s="180">
        <v>0</v>
      </c>
      <c r="BI5" s="180">
        <v>0</v>
      </c>
      <c r="BJ5" s="180">
        <v>982288</v>
      </c>
      <c r="BK5" s="180">
        <v>0</v>
      </c>
      <c r="BL5" s="180">
        <v>0</v>
      </c>
      <c r="BM5" s="180">
        <v>1224984</v>
      </c>
      <c r="BN5" s="180">
        <v>57071</v>
      </c>
      <c r="BO5" s="180">
        <v>0</v>
      </c>
      <c r="BP5" s="180"/>
      <c r="BQ5" s="180">
        <v>0</v>
      </c>
      <c r="BR5" s="180"/>
      <c r="BS5" s="180">
        <v>0</v>
      </c>
      <c r="BT5" s="180">
        <v>0</v>
      </c>
      <c r="BU5" s="180"/>
      <c r="BV5" s="180">
        <v>0</v>
      </c>
      <c r="BW5" s="180"/>
      <c r="BX5" s="180"/>
      <c r="BY5" s="180"/>
      <c r="BZ5" s="180"/>
      <c r="CA5" s="180"/>
      <c r="CB5" s="180"/>
      <c r="CC5" s="180"/>
      <c r="CD5" s="180"/>
      <c r="CE5" s="180"/>
      <c r="CF5" s="180"/>
      <c r="CG5" s="180"/>
      <c r="CH5" s="180"/>
      <c r="CI5" s="180"/>
      <c r="CJ5" s="180"/>
      <c r="CK5" s="180"/>
      <c r="CL5" s="180"/>
      <c r="CM5" s="180"/>
      <c r="CN5" s="180"/>
      <c r="CO5" s="180"/>
      <c r="CP5" s="180"/>
      <c r="CQ5" s="180"/>
      <c r="CR5" s="180"/>
      <c r="CS5" s="180"/>
      <c r="CT5" s="180"/>
      <c r="CU5" s="180"/>
    </row>
    <row r="6" spans="1:99" x14ac:dyDescent="0.3">
      <c r="A6" s="155">
        <v>7</v>
      </c>
      <c r="B6" s="180" t="s">
        <v>193</v>
      </c>
      <c r="C6" s="180"/>
      <c r="D6" s="180">
        <v>12190</v>
      </c>
      <c r="E6" s="180">
        <v>18618249</v>
      </c>
      <c r="F6" s="180"/>
      <c r="G6" s="180"/>
      <c r="H6" s="180">
        <v>0</v>
      </c>
      <c r="I6" s="180">
        <v>0</v>
      </c>
      <c r="J6" s="180"/>
      <c r="K6" s="180">
        <v>12823</v>
      </c>
      <c r="L6" s="180">
        <v>0</v>
      </c>
      <c r="M6" s="180">
        <v>275954</v>
      </c>
      <c r="N6" s="180">
        <v>0</v>
      </c>
      <c r="O6" s="180">
        <v>0</v>
      </c>
      <c r="P6" s="180"/>
      <c r="Q6" s="180">
        <v>14728</v>
      </c>
      <c r="R6" s="180">
        <v>0</v>
      </c>
      <c r="S6" s="180">
        <v>0</v>
      </c>
      <c r="T6" s="180">
        <v>62506</v>
      </c>
      <c r="U6" s="180"/>
      <c r="V6" s="180"/>
      <c r="W6" s="180"/>
      <c r="X6" s="180">
        <v>28371</v>
      </c>
      <c r="Y6" s="180">
        <v>0</v>
      </c>
      <c r="Z6" s="180">
        <v>17155917</v>
      </c>
      <c r="AA6" s="180">
        <v>0</v>
      </c>
      <c r="AB6" s="180">
        <v>0</v>
      </c>
      <c r="AC6" s="180">
        <v>0</v>
      </c>
      <c r="AD6" s="180">
        <v>0</v>
      </c>
      <c r="AE6" s="180">
        <v>0</v>
      </c>
      <c r="AF6" s="180">
        <v>3000</v>
      </c>
      <c r="AG6" s="180">
        <v>0</v>
      </c>
      <c r="AH6" s="180">
        <v>494515</v>
      </c>
      <c r="AI6" s="180">
        <v>0</v>
      </c>
      <c r="AJ6" s="180">
        <v>0</v>
      </c>
      <c r="AK6" s="180">
        <v>0</v>
      </c>
      <c r="AL6" s="180">
        <v>0</v>
      </c>
      <c r="AM6" s="180">
        <v>0</v>
      </c>
      <c r="AN6" s="180">
        <v>0</v>
      </c>
      <c r="AO6" s="180">
        <v>707573</v>
      </c>
      <c r="AP6" s="180">
        <v>0</v>
      </c>
      <c r="AQ6" s="180">
        <v>0</v>
      </c>
      <c r="AR6" s="180">
        <v>0</v>
      </c>
      <c r="AS6" s="180">
        <v>337755</v>
      </c>
      <c r="AT6" s="180">
        <v>0</v>
      </c>
      <c r="AU6" s="180">
        <v>0</v>
      </c>
      <c r="AV6" s="180">
        <v>0</v>
      </c>
      <c r="AW6" s="180">
        <v>0</v>
      </c>
      <c r="AX6" s="180">
        <v>0</v>
      </c>
      <c r="AY6" s="180">
        <v>0</v>
      </c>
      <c r="AZ6" s="180">
        <v>97902</v>
      </c>
      <c r="BA6" s="180">
        <v>0</v>
      </c>
      <c r="BB6" s="180">
        <v>0</v>
      </c>
      <c r="BC6" s="180">
        <v>0</v>
      </c>
      <c r="BD6" s="180">
        <v>5976</v>
      </c>
      <c r="BE6" s="180">
        <v>0</v>
      </c>
      <c r="BF6" s="180">
        <v>681699</v>
      </c>
      <c r="BG6" s="180"/>
      <c r="BH6" s="180">
        <v>0</v>
      </c>
      <c r="BI6" s="180">
        <v>0</v>
      </c>
      <c r="BJ6" s="180">
        <v>26378</v>
      </c>
      <c r="BK6" s="180">
        <v>0</v>
      </c>
      <c r="BL6" s="180">
        <v>168002</v>
      </c>
      <c r="BM6" s="180">
        <v>4428</v>
      </c>
      <c r="BN6" s="180">
        <v>0</v>
      </c>
      <c r="BO6" s="180">
        <v>0</v>
      </c>
      <c r="BP6" s="180"/>
      <c r="BQ6" s="180">
        <v>0</v>
      </c>
      <c r="BR6" s="180"/>
      <c r="BS6" s="180">
        <v>30282</v>
      </c>
      <c r="BT6" s="180">
        <v>0</v>
      </c>
      <c r="BU6" s="180"/>
      <c r="BV6" s="180">
        <v>110317</v>
      </c>
      <c r="BW6" s="180"/>
      <c r="BX6" s="180"/>
      <c r="BY6" s="180"/>
      <c r="BZ6" s="180"/>
      <c r="CA6" s="180"/>
      <c r="CB6" s="180"/>
      <c r="CC6" s="180"/>
      <c r="CD6" s="180"/>
      <c r="CE6" s="180"/>
      <c r="CF6" s="180"/>
      <c r="CG6" s="180"/>
      <c r="CH6" s="180"/>
      <c r="CI6" s="180"/>
      <c r="CJ6" s="180"/>
      <c r="CK6" s="180"/>
      <c r="CL6" s="180"/>
      <c r="CM6" s="180"/>
      <c r="CN6" s="180"/>
      <c r="CO6" s="180"/>
      <c r="CP6" s="180"/>
      <c r="CQ6" s="180"/>
      <c r="CR6" s="180"/>
      <c r="CS6" s="180"/>
      <c r="CT6" s="180"/>
      <c r="CU6" s="180"/>
    </row>
    <row r="7" spans="1:99" x14ac:dyDescent="0.3">
      <c r="A7" s="155">
        <v>9</v>
      </c>
      <c r="B7" s="180" t="s">
        <v>195</v>
      </c>
      <c r="C7" s="180"/>
      <c r="D7" s="180">
        <v>10036192</v>
      </c>
      <c r="E7" s="180">
        <v>428846858</v>
      </c>
      <c r="F7" s="180"/>
      <c r="G7" s="180"/>
      <c r="H7" s="180">
        <v>2341557</v>
      </c>
      <c r="I7" s="180">
        <v>75973</v>
      </c>
      <c r="J7" s="180"/>
      <c r="K7" s="180">
        <v>8187764</v>
      </c>
      <c r="L7" s="180">
        <v>2043845</v>
      </c>
      <c r="M7" s="180">
        <v>14822147</v>
      </c>
      <c r="N7" s="180">
        <v>909901</v>
      </c>
      <c r="O7" s="180">
        <v>1293940</v>
      </c>
      <c r="P7" s="180"/>
      <c r="Q7" s="180">
        <v>965963</v>
      </c>
      <c r="R7" s="180">
        <v>1356251</v>
      </c>
      <c r="S7" s="180">
        <v>1365837</v>
      </c>
      <c r="T7" s="180">
        <v>7527638</v>
      </c>
      <c r="U7" s="180"/>
      <c r="V7" s="180"/>
      <c r="W7" s="180"/>
      <c r="X7" s="180">
        <v>6561668</v>
      </c>
      <c r="Y7" s="180">
        <v>2133176</v>
      </c>
      <c r="Z7" s="180">
        <v>57522586</v>
      </c>
      <c r="AA7" s="180">
        <v>9538709</v>
      </c>
      <c r="AB7" s="180">
        <v>364472</v>
      </c>
      <c r="AC7" s="180">
        <v>584308</v>
      </c>
      <c r="AD7" s="180">
        <v>1132318</v>
      </c>
      <c r="AE7" s="180">
        <v>2574929</v>
      </c>
      <c r="AF7" s="180">
        <v>563038</v>
      </c>
      <c r="AG7" s="180">
        <v>500575</v>
      </c>
      <c r="AH7" s="180">
        <v>2806433</v>
      </c>
      <c r="AI7" s="180">
        <v>342220</v>
      </c>
      <c r="AJ7" s="180">
        <v>3989153</v>
      </c>
      <c r="AK7" s="180">
        <v>666180</v>
      </c>
      <c r="AL7" s="180">
        <v>1018995</v>
      </c>
      <c r="AM7" s="180">
        <v>2394131</v>
      </c>
      <c r="AN7" s="180">
        <v>797317</v>
      </c>
      <c r="AO7" s="180">
        <v>26639983</v>
      </c>
      <c r="AP7" s="180">
        <v>1607961</v>
      </c>
      <c r="AQ7" s="180">
        <v>736459</v>
      </c>
      <c r="AR7" s="180">
        <v>816291</v>
      </c>
      <c r="AS7" s="180">
        <v>28705996</v>
      </c>
      <c r="AT7" s="180">
        <v>483258</v>
      </c>
      <c r="AU7" s="180">
        <v>7029195</v>
      </c>
      <c r="AV7" s="180">
        <v>1115878</v>
      </c>
      <c r="AW7" s="180">
        <v>517323</v>
      </c>
      <c r="AX7" s="180">
        <v>168153</v>
      </c>
      <c r="AY7" s="180">
        <v>631019</v>
      </c>
      <c r="AZ7" s="180">
        <v>6239503</v>
      </c>
      <c r="BA7" s="180">
        <v>1168780</v>
      </c>
      <c r="BB7" s="180">
        <v>220118</v>
      </c>
      <c r="BC7" s="180">
        <v>1475992</v>
      </c>
      <c r="BD7" s="180">
        <v>8123733</v>
      </c>
      <c r="BE7" s="180">
        <v>1485726</v>
      </c>
      <c r="BF7" s="180">
        <v>17020945</v>
      </c>
      <c r="BG7" s="180"/>
      <c r="BH7" s="180">
        <v>325777</v>
      </c>
      <c r="BI7" s="180">
        <v>539063</v>
      </c>
      <c r="BJ7" s="180">
        <v>16120101</v>
      </c>
      <c r="BK7" s="180">
        <v>1773319</v>
      </c>
      <c r="BL7" s="180">
        <v>14856958</v>
      </c>
      <c r="BM7" s="180">
        <v>11571941</v>
      </c>
      <c r="BN7" s="180">
        <v>7195398</v>
      </c>
      <c r="BO7" s="180">
        <v>3262016</v>
      </c>
      <c r="BP7" s="180"/>
      <c r="BQ7" s="180">
        <v>3032071</v>
      </c>
      <c r="BR7" s="180"/>
      <c r="BS7" s="180">
        <v>2846126</v>
      </c>
      <c r="BT7" s="180">
        <v>1793310</v>
      </c>
      <c r="BU7" s="180"/>
      <c r="BV7" s="180">
        <v>4431017</v>
      </c>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row>
    <row r="8" spans="1:99" x14ac:dyDescent="0.3">
      <c r="A8" s="155">
        <v>11</v>
      </c>
      <c r="B8" s="180" t="s">
        <v>194</v>
      </c>
      <c r="C8" s="180"/>
      <c r="D8" s="180">
        <v>656680</v>
      </c>
      <c r="E8" s="180">
        <v>0</v>
      </c>
      <c r="F8" s="180"/>
      <c r="G8" s="180"/>
      <c r="H8" s="180">
        <v>538612</v>
      </c>
      <c r="I8" s="180">
        <v>1671</v>
      </c>
      <c r="J8" s="180"/>
      <c r="K8" s="180">
        <v>0</v>
      </c>
      <c r="L8" s="180">
        <v>1910</v>
      </c>
      <c r="M8" s="180">
        <v>129518</v>
      </c>
      <c r="N8" s="180">
        <v>67857</v>
      </c>
      <c r="O8" s="180">
        <v>68462</v>
      </c>
      <c r="P8" s="180"/>
      <c r="Q8" s="180">
        <v>130016</v>
      </c>
      <c r="R8" s="180">
        <v>44665</v>
      </c>
      <c r="S8" s="180">
        <v>0</v>
      </c>
      <c r="T8" s="180">
        <v>0</v>
      </c>
      <c r="U8" s="180"/>
      <c r="V8" s="180"/>
      <c r="W8" s="180"/>
      <c r="X8" s="180">
        <v>385948</v>
      </c>
      <c r="Y8" s="180">
        <v>158262</v>
      </c>
      <c r="Z8" s="180">
        <v>2484571</v>
      </c>
      <c r="AA8" s="180">
        <v>460022</v>
      </c>
      <c r="AB8" s="180">
        <v>80507</v>
      </c>
      <c r="AC8" s="180">
        <v>50793</v>
      </c>
      <c r="AD8" s="180">
        <v>0</v>
      </c>
      <c r="AE8" s="180">
        <v>0</v>
      </c>
      <c r="AF8" s="180">
        <v>64572</v>
      </c>
      <c r="AG8" s="180">
        <v>0</v>
      </c>
      <c r="AH8" s="180">
        <v>143297</v>
      </c>
      <c r="AI8" s="180">
        <v>4064</v>
      </c>
      <c r="AJ8" s="180">
        <v>227565</v>
      </c>
      <c r="AK8" s="180">
        <v>21455</v>
      </c>
      <c r="AL8" s="180">
        <v>7063</v>
      </c>
      <c r="AM8" s="180">
        <v>147270</v>
      </c>
      <c r="AN8" s="180">
        <v>74848</v>
      </c>
      <c r="AO8" s="180">
        <v>0</v>
      </c>
      <c r="AP8" s="180">
        <v>0</v>
      </c>
      <c r="AQ8" s="180">
        <v>29544</v>
      </c>
      <c r="AR8" s="180">
        <v>78204</v>
      </c>
      <c r="AS8" s="180">
        <v>0</v>
      </c>
      <c r="AT8" s="180">
        <v>69934</v>
      </c>
      <c r="AU8" s="180">
        <v>490855</v>
      </c>
      <c r="AV8" s="180">
        <v>146154</v>
      </c>
      <c r="AW8" s="180">
        <v>60527</v>
      </c>
      <c r="AX8" s="180">
        <v>24892</v>
      </c>
      <c r="AY8" s="180">
        <v>126420</v>
      </c>
      <c r="AZ8" s="180">
        <v>313640</v>
      </c>
      <c r="BA8" s="180">
        <v>32990</v>
      </c>
      <c r="BB8" s="180">
        <v>36438</v>
      </c>
      <c r="BC8" s="180">
        <v>47727</v>
      </c>
      <c r="BD8" s="180">
        <v>111003</v>
      </c>
      <c r="BE8" s="180">
        <v>84666</v>
      </c>
      <c r="BF8" s="180">
        <v>495713</v>
      </c>
      <c r="BG8" s="180"/>
      <c r="BH8" s="180">
        <v>13283</v>
      </c>
      <c r="BI8" s="180">
        <v>42955</v>
      </c>
      <c r="BJ8" s="180">
        <v>415097</v>
      </c>
      <c r="BK8" s="180">
        <v>96405</v>
      </c>
      <c r="BL8" s="180">
        <v>0</v>
      </c>
      <c r="BM8" s="180">
        <v>131134</v>
      </c>
      <c r="BN8" s="180">
        <v>173243</v>
      </c>
      <c r="BO8" s="180">
        <v>148268</v>
      </c>
      <c r="BP8" s="180"/>
      <c r="BQ8" s="180">
        <v>35048</v>
      </c>
      <c r="BR8" s="180"/>
      <c r="BS8" s="180">
        <v>0</v>
      </c>
      <c r="BT8" s="180">
        <v>111965</v>
      </c>
      <c r="BU8" s="180"/>
      <c r="BV8" s="180">
        <v>0</v>
      </c>
      <c r="BW8" s="180"/>
      <c r="BX8" s="180"/>
      <c r="BY8" s="180"/>
      <c r="BZ8" s="180"/>
      <c r="CA8" s="180"/>
      <c r="CB8" s="180"/>
      <c r="CC8" s="180"/>
      <c r="CD8" s="180"/>
      <c r="CE8" s="180"/>
      <c r="CF8" s="180"/>
      <c r="CG8" s="180"/>
      <c r="CH8" s="180"/>
      <c r="CI8" s="180"/>
      <c r="CJ8" s="180"/>
      <c r="CK8" s="180"/>
      <c r="CL8" s="180"/>
      <c r="CM8" s="180"/>
      <c r="CN8" s="180"/>
      <c r="CO8" s="180"/>
      <c r="CP8" s="180"/>
      <c r="CQ8" s="180"/>
      <c r="CR8" s="180"/>
      <c r="CS8" s="180"/>
      <c r="CT8" s="180"/>
      <c r="CU8" s="180"/>
    </row>
    <row r="9" spans="1:99" x14ac:dyDescent="0.3">
      <c r="A9" s="155">
        <v>16</v>
      </c>
      <c r="B9" s="180" t="s">
        <v>197</v>
      </c>
      <c r="C9" s="180"/>
      <c r="D9" s="180">
        <v>5867120</v>
      </c>
      <c r="E9" s="180">
        <v>516016563</v>
      </c>
      <c r="F9" s="180"/>
      <c r="G9" s="180"/>
      <c r="H9" s="180">
        <v>2823824</v>
      </c>
      <c r="I9" s="180">
        <v>39441</v>
      </c>
      <c r="J9" s="180"/>
      <c r="K9" s="180">
        <v>1272859</v>
      </c>
      <c r="L9" s="180">
        <v>3596671</v>
      </c>
      <c r="M9" s="180">
        <v>18364790</v>
      </c>
      <c r="N9" s="180">
        <v>175947</v>
      </c>
      <c r="O9" s="180">
        <v>777422</v>
      </c>
      <c r="P9" s="180"/>
      <c r="Q9" s="180">
        <v>622586</v>
      </c>
      <c r="R9" s="180">
        <v>1752830</v>
      </c>
      <c r="S9" s="180">
        <v>1711966</v>
      </c>
      <c r="T9" s="180">
        <v>16539082</v>
      </c>
      <c r="U9" s="180"/>
      <c r="V9" s="180"/>
      <c r="W9" s="180"/>
      <c r="X9" s="180">
        <v>9575782</v>
      </c>
      <c r="Y9" s="180">
        <v>2051965</v>
      </c>
      <c r="Z9" s="180">
        <v>70131453</v>
      </c>
      <c r="AA9" s="180">
        <v>12369192</v>
      </c>
      <c r="AB9" s="180">
        <v>337280</v>
      </c>
      <c r="AC9" s="180">
        <v>431310</v>
      </c>
      <c r="AD9" s="180">
        <v>1309278</v>
      </c>
      <c r="AE9" s="180">
        <v>1548384</v>
      </c>
      <c r="AF9" s="180">
        <v>618732</v>
      </c>
      <c r="AG9" s="180">
        <v>1198458</v>
      </c>
      <c r="AH9" s="180">
        <v>10318352</v>
      </c>
      <c r="AI9" s="180">
        <v>154559</v>
      </c>
      <c r="AJ9" s="180">
        <v>3516447</v>
      </c>
      <c r="AK9" s="180">
        <v>190728</v>
      </c>
      <c r="AL9" s="180">
        <v>1315406</v>
      </c>
      <c r="AM9" s="180">
        <v>4962301</v>
      </c>
      <c r="AN9" s="180">
        <v>425348</v>
      </c>
      <c r="AO9" s="180">
        <v>47002428</v>
      </c>
      <c r="AP9" s="180">
        <v>1537401</v>
      </c>
      <c r="AQ9" s="180">
        <v>172918</v>
      </c>
      <c r="AR9" s="180">
        <v>247950</v>
      </c>
      <c r="AS9" s="180">
        <v>38043596</v>
      </c>
      <c r="AT9" s="180">
        <v>279818</v>
      </c>
      <c r="AU9" s="180">
        <v>2792654</v>
      </c>
      <c r="AV9" s="180">
        <v>1970639</v>
      </c>
      <c r="AW9" s="180">
        <v>402048</v>
      </c>
      <c r="AX9" s="180">
        <v>414773</v>
      </c>
      <c r="AY9" s="180">
        <v>428054</v>
      </c>
      <c r="AZ9" s="180">
        <v>7229366</v>
      </c>
      <c r="BA9" s="180">
        <v>2092652</v>
      </c>
      <c r="BB9" s="180">
        <v>37743</v>
      </c>
      <c r="BC9" s="180">
        <v>410771</v>
      </c>
      <c r="BD9" s="180">
        <v>6228280</v>
      </c>
      <c r="BE9" s="180">
        <v>1444447</v>
      </c>
      <c r="BF9" s="180">
        <v>27012928</v>
      </c>
      <c r="BG9" s="180"/>
      <c r="BH9" s="180">
        <v>398274</v>
      </c>
      <c r="BI9" s="180">
        <v>244367</v>
      </c>
      <c r="BJ9" s="180">
        <v>15860719</v>
      </c>
      <c r="BK9" s="180">
        <v>1505006</v>
      </c>
      <c r="BL9" s="180">
        <v>22747808</v>
      </c>
      <c r="BM9" s="180">
        <v>8538466</v>
      </c>
      <c r="BN9" s="180">
        <v>9590141</v>
      </c>
      <c r="BO9" s="180">
        <v>2076736</v>
      </c>
      <c r="BP9" s="180"/>
      <c r="BQ9" s="180">
        <v>3812874</v>
      </c>
      <c r="BR9" s="180"/>
      <c r="BS9" s="180">
        <v>3324241</v>
      </c>
      <c r="BT9" s="180">
        <v>1458954</v>
      </c>
      <c r="BU9" s="180"/>
      <c r="BV9" s="180">
        <v>2904557</v>
      </c>
      <c r="BW9" s="180"/>
      <c r="BX9" s="180"/>
      <c r="BY9" s="180"/>
      <c r="BZ9" s="180"/>
      <c r="CA9" s="180"/>
      <c r="CB9" s="180"/>
      <c r="CC9" s="180"/>
      <c r="CD9" s="180"/>
      <c r="CE9" s="180"/>
      <c r="CF9" s="180"/>
      <c r="CG9" s="180"/>
      <c r="CH9" s="180"/>
      <c r="CI9" s="180"/>
      <c r="CJ9" s="180"/>
      <c r="CK9" s="180"/>
      <c r="CL9" s="180"/>
      <c r="CM9" s="180"/>
      <c r="CN9" s="180"/>
      <c r="CO9" s="180"/>
      <c r="CP9" s="180"/>
      <c r="CQ9" s="180"/>
      <c r="CR9" s="180"/>
      <c r="CS9" s="180"/>
      <c r="CT9" s="180"/>
      <c r="CU9" s="180"/>
    </row>
    <row r="10" spans="1:99" x14ac:dyDescent="0.3">
      <c r="A10" s="155">
        <v>17</v>
      </c>
      <c r="B10" s="180" t="s">
        <v>200</v>
      </c>
      <c r="C10" s="180"/>
      <c r="D10" s="180">
        <v>790004</v>
      </c>
      <c r="E10" s="180">
        <v>5557592</v>
      </c>
      <c r="F10" s="180"/>
      <c r="G10" s="180"/>
      <c r="H10" s="180">
        <v>584549</v>
      </c>
      <c r="I10" s="180">
        <v>0</v>
      </c>
      <c r="J10" s="180"/>
      <c r="K10" s="180">
        <v>250000</v>
      </c>
      <c r="L10" s="180">
        <v>196483</v>
      </c>
      <c r="M10" s="180">
        <v>0</v>
      </c>
      <c r="N10" s="180">
        <v>0</v>
      </c>
      <c r="O10" s="180">
        <v>0</v>
      </c>
      <c r="P10" s="180"/>
      <c r="Q10" s="180">
        <v>0</v>
      </c>
      <c r="R10" s="180">
        <v>0</v>
      </c>
      <c r="S10" s="180">
        <v>539539</v>
      </c>
      <c r="T10" s="180">
        <v>2304854</v>
      </c>
      <c r="U10" s="180"/>
      <c r="V10" s="180"/>
      <c r="W10" s="180"/>
      <c r="X10" s="180">
        <v>1105012</v>
      </c>
      <c r="Y10" s="180">
        <v>21</v>
      </c>
      <c r="Z10" s="180">
        <v>5005757</v>
      </c>
      <c r="AA10" s="180">
        <v>0</v>
      </c>
      <c r="AB10" s="180">
        <v>0</v>
      </c>
      <c r="AC10" s="180">
        <v>0</v>
      </c>
      <c r="AD10" s="180">
        <v>0</v>
      </c>
      <c r="AE10" s="180">
        <v>0</v>
      </c>
      <c r="AF10" s="180">
        <v>0</v>
      </c>
      <c r="AG10" s="180">
        <v>0</v>
      </c>
      <c r="AH10" s="180">
        <v>133000</v>
      </c>
      <c r="AI10" s="180">
        <v>0</v>
      </c>
      <c r="AJ10" s="180">
        <v>0</v>
      </c>
      <c r="AK10" s="180">
        <v>0</v>
      </c>
      <c r="AL10" s="180">
        <v>0</v>
      </c>
      <c r="AM10" s="180">
        <v>245000</v>
      </c>
      <c r="AN10" s="180">
        <v>0</v>
      </c>
      <c r="AO10" s="180">
        <v>0</v>
      </c>
      <c r="AP10" s="180">
        <v>0</v>
      </c>
      <c r="AQ10" s="180">
        <v>0</v>
      </c>
      <c r="AR10" s="180">
        <v>0</v>
      </c>
      <c r="AS10" s="180">
        <v>356139</v>
      </c>
      <c r="AT10" s="180">
        <v>0</v>
      </c>
      <c r="AU10" s="180">
        <v>238952</v>
      </c>
      <c r="AV10" s="180">
        <v>33599</v>
      </c>
      <c r="AW10" s="180">
        <v>0</v>
      </c>
      <c r="AX10" s="180">
        <v>0</v>
      </c>
      <c r="AY10" s="180">
        <v>0</v>
      </c>
      <c r="AZ10" s="180">
        <v>1306535</v>
      </c>
      <c r="BA10" s="180">
        <v>0</v>
      </c>
      <c r="BB10" s="180">
        <v>3250</v>
      </c>
      <c r="BC10" s="180">
        <v>0</v>
      </c>
      <c r="BD10" s="180">
        <v>683856</v>
      </c>
      <c r="BE10" s="180">
        <v>0</v>
      </c>
      <c r="BF10" s="180">
        <v>3300000</v>
      </c>
      <c r="BG10" s="180"/>
      <c r="BH10" s="180">
        <v>0</v>
      </c>
      <c r="BI10" s="180">
        <v>0</v>
      </c>
      <c r="BJ10" s="180">
        <v>293040</v>
      </c>
      <c r="BK10" s="180">
        <v>0</v>
      </c>
      <c r="BL10" s="180">
        <v>0</v>
      </c>
      <c r="BM10" s="180">
        <v>705236</v>
      </c>
      <c r="BN10" s="180">
        <v>0</v>
      </c>
      <c r="BO10" s="180">
        <v>0</v>
      </c>
      <c r="BP10" s="180"/>
      <c r="BQ10" s="180">
        <v>0</v>
      </c>
      <c r="BR10" s="180"/>
      <c r="BS10" s="180">
        <v>475000</v>
      </c>
      <c r="BT10" s="180">
        <v>0</v>
      </c>
      <c r="BU10" s="180"/>
      <c r="BV10" s="180">
        <v>0</v>
      </c>
      <c r="BW10" s="180"/>
      <c r="BX10" s="180"/>
      <c r="BY10" s="180"/>
      <c r="BZ10" s="180"/>
      <c r="CA10" s="180"/>
      <c r="CB10" s="180"/>
      <c r="CC10" s="180"/>
      <c r="CD10" s="180"/>
      <c r="CE10" s="180"/>
      <c r="CF10" s="180"/>
      <c r="CG10" s="180"/>
      <c r="CH10" s="180"/>
      <c r="CI10" s="180"/>
      <c r="CJ10" s="180"/>
      <c r="CK10" s="180"/>
      <c r="CL10" s="180"/>
      <c r="CM10" s="180"/>
      <c r="CN10" s="180"/>
      <c r="CO10" s="180"/>
      <c r="CP10" s="180"/>
      <c r="CQ10" s="180"/>
      <c r="CR10" s="180"/>
      <c r="CS10" s="180"/>
      <c r="CT10" s="180"/>
      <c r="CU10" s="180"/>
    </row>
    <row r="11" spans="1:99" x14ac:dyDescent="0.3">
      <c r="A11" s="155">
        <v>20</v>
      </c>
      <c r="B11" s="180" t="s">
        <v>201</v>
      </c>
      <c r="C11" s="180"/>
      <c r="D11" s="180">
        <v>0</v>
      </c>
      <c r="E11" s="180">
        <v>75483874</v>
      </c>
      <c r="F11" s="180"/>
      <c r="G11" s="180"/>
      <c r="H11" s="180">
        <v>0</v>
      </c>
      <c r="I11" s="180">
        <v>0</v>
      </c>
      <c r="J11" s="180"/>
      <c r="K11" s="180">
        <v>0</v>
      </c>
      <c r="L11" s="180">
        <v>0</v>
      </c>
      <c r="M11" s="180">
        <v>14500</v>
      </c>
      <c r="N11" s="180">
        <v>0</v>
      </c>
      <c r="O11" s="180">
        <v>0</v>
      </c>
      <c r="P11" s="180"/>
      <c r="Q11" s="180">
        <v>0</v>
      </c>
      <c r="R11" s="180">
        <v>0</v>
      </c>
      <c r="S11" s="180">
        <v>602689</v>
      </c>
      <c r="T11" s="180">
        <v>0</v>
      </c>
      <c r="U11" s="180"/>
      <c r="V11" s="180"/>
      <c r="W11" s="180"/>
      <c r="X11" s="180">
        <v>0</v>
      </c>
      <c r="Y11" s="180">
        <v>215000</v>
      </c>
      <c r="Z11" s="180">
        <v>649820</v>
      </c>
      <c r="AA11" s="180">
        <v>2744500</v>
      </c>
      <c r="AB11" s="180">
        <v>0</v>
      </c>
      <c r="AC11" s="180">
        <v>0</v>
      </c>
      <c r="AD11" s="180">
        <v>0</v>
      </c>
      <c r="AE11" s="180">
        <v>0</v>
      </c>
      <c r="AF11" s="180">
        <v>130501</v>
      </c>
      <c r="AG11" s="180">
        <v>0</v>
      </c>
      <c r="AH11" s="180">
        <v>0</v>
      </c>
      <c r="AI11" s="180">
        <v>0</v>
      </c>
      <c r="AJ11" s="180">
        <v>0</v>
      </c>
      <c r="AK11" s="180">
        <v>0</v>
      </c>
      <c r="AL11" s="180">
        <v>0</v>
      </c>
      <c r="AM11" s="180">
        <v>0</v>
      </c>
      <c r="AN11" s="180">
        <v>0</v>
      </c>
      <c r="AO11" s="180">
        <v>3575040</v>
      </c>
      <c r="AP11" s="180">
        <v>15000</v>
      </c>
      <c r="AQ11" s="180">
        <v>0</v>
      </c>
      <c r="AR11" s="180">
        <v>0</v>
      </c>
      <c r="AS11" s="180">
        <v>930569</v>
      </c>
      <c r="AT11" s="180">
        <v>0</v>
      </c>
      <c r="AU11" s="180">
        <v>0</v>
      </c>
      <c r="AV11" s="180">
        <v>0</v>
      </c>
      <c r="AW11" s="180">
        <v>5000</v>
      </c>
      <c r="AX11" s="180">
        <v>0</v>
      </c>
      <c r="AY11" s="180">
        <v>0</v>
      </c>
      <c r="AZ11" s="180">
        <v>1131535</v>
      </c>
      <c r="BA11" s="180">
        <v>0</v>
      </c>
      <c r="BB11" s="180">
        <v>0</v>
      </c>
      <c r="BC11" s="180">
        <v>0</v>
      </c>
      <c r="BD11" s="180">
        <v>902599</v>
      </c>
      <c r="BE11" s="180">
        <v>0</v>
      </c>
      <c r="BF11" s="180">
        <v>1615941</v>
      </c>
      <c r="BG11" s="180"/>
      <c r="BH11" s="180">
        <v>0</v>
      </c>
      <c r="BI11" s="180">
        <v>0</v>
      </c>
      <c r="BJ11" s="180">
        <v>152000</v>
      </c>
      <c r="BK11" s="180">
        <v>0</v>
      </c>
      <c r="BL11" s="180">
        <v>801484</v>
      </c>
      <c r="BM11" s="180">
        <v>0</v>
      </c>
      <c r="BN11" s="180">
        <v>0</v>
      </c>
      <c r="BO11" s="180">
        <v>0</v>
      </c>
      <c r="BP11" s="180"/>
      <c r="BQ11" s="180">
        <v>177062</v>
      </c>
      <c r="BR11" s="180"/>
      <c r="BS11" s="180">
        <v>809890</v>
      </c>
      <c r="BT11" s="180">
        <v>0</v>
      </c>
      <c r="BU11" s="180"/>
      <c r="BV11" s="180">
        <v>0</v>
      </c>
      <c r="BW11" s="180"/>
      <c r="BX11" s="180"/>
      <c r="BY11" s="180"/>
      <c r="BZ11" s="180"/>
      <c r="CA11" s="180"/>
      <c r="CB11" s="180"/>
      <c r="CC11" s="180"/>
      <c r="CD11" s="180"/>
      <c r="CE11" s="180"/>
      <c r="CF11" s="180"/>
      <c r="CG11" s="180"/>
      <c r="CH11" s="180"/>
      <c r="CI11" s="180"/>
      <c r="CJ11" s="180"/>
      <c r="CK11" s="180"/>
      <c r="CL11" s="180"/>
      <c r="CM11" s="180"/>
      <c r="CN11" s="180"/>
      <c r="CO11" s="180"/>
      <c r="CP11" s="180"/>
      <c r="CQ11" s="180"/>
      <c r="CR11" s="180"/>
      <c r="CS11" s="180"/>
      <c r="CT11" s="180"/>
      <c r="CU11" s="180"/>
    </row>
    <row r="12" spans="1:99" x14ac:dyDescent="0.3">
      <c r="A12" s="155">
        <v>22</v>
      </c>
      <c r="B12" s="180" t="s">
        <v>203</v>
      </c>
      <c r="C12" s="180"/>
      <c r="D12" s="180">
        <v>0</v>
      </c>
      <c r="E12" s="180">
        <v>500771</v>
      </c>
      <c r="F12" s="180"/>
      <c r="G12" s="180"/>
      <c r="H12" s="180">
        <v>0</v>
      </c>
      <c r="I12" s="180">
        <v>0</v>
      </c>
      <c r="J12" s="180"/>
      <c r="K12" s="180">
        <v>0</v>
      </c>
      <c r="L12" s="180">
        <v>0</v>
      </c>
      <c r="M12" s="180">
        <v>0</v>
      </c>
      <c r="N12" s="180">
        <v>0</v>
      </c>
      <c r="O12" s="180">
        <v>0</v>
      </c>
      <c r="P12" s="180"/>
      <c r="Q12" s="180">
        <v>0</v>
      </c>
      <c r="R12" s="180">
        <v>0</v>
      </c>
      <c r="S12" s="180">
        <v>33611</v>
      </c>
      <c r="T12" s="180">
        <v>0</v>
      </c>
      <c r="U12" s="180"/>
      <c r="V12" s="180"/>
      <c r="W12" s="180"/>
      <c r="X12" s="180">
        <v>0</v>
      </c>
      <c r="Y12" s="180">
        <v>11623</v>
      </c>
      <c r="Z12" s="180">
        <v>0</v>
      </c>
      <c r="AA12" s="180">
        <v>0</v>
      </c>
      <c r="AB12" s="180">
        <v>0</v>
      </c>
      <c r="AC12" s="180">
        <v>0</v>
      </c>
      <c r="AD12" s="180">
        <v>0</v>
      </c>
      <c r="AE12" s="180">
        <v>313463</v>
      </c>
      <c r="AF12" s="180">
        <v>0</v>
      </c>
      <c r="AG12" s="180">
        <v>0</v>
      </c>
      <c r="AH12" s="180">
        <v>0</v>
      </c>
      <c r="AI12" s="180">
        <v>0</v>
      </c>
      <c r="AJ12" s="180">
        <v>0</v>
      </c>
      <c r="AK12" s="180">
        <v>0</v>
      </c>
      <c r="AL12" s="180">
        <v>0</v>
      </c>
      <c r="AM12" s="180">
        <v>18246</v>
      </c>
      <c r="AN12" s="180">
        <v>0</v>
      </c>
      <c r="AO12" s="180">
        <v>0</v>
      </c>
      <c r="AP12" s="180">
        <v>0</v>
      </c>
      <c r="AQ12" s="180">
        <v>0</v>
      </c>
      <c r="AR12" s="180">
        <v>0</v>
      </c>
      <c r="AS12" s="180">
        <v>358787</v>
      </c>
      <c r="AT12" s="180">
        <v>0</v>
      </c>
      <c r="AU12" s="180">
        <v>0</v>
      </c>
      <c r="AV12" s="180">
        <v>266864</v>
      </c>
      <c r="AW12" s="180">
        <v>0</v>
      </c>
      <c r="AX12" s="180">
        <v>0</v>
      </c>
      <c r="AY12" s="180">
        <v>0</v>
      </c>
      <c r="AZ12" s="180">
        <v>153414</v>
      </c>
      <c r="BA12" s="180">
        <v>0</v>
      </c>
      <c r="BB12" s="180">
        <v>0</v>
      </c>
      <c r="BC12" s="180">
        <v>0</v>
      </c>
      <c r="BD12" s="180">
        <v>100981</v>
      </c>
      <c r="BE12" s="180">
        <v>0</v>
      </c>
      <c r="BF12" s="180">
        <v>5686464</v>
      </c>
      <c r="BG12" s="180"/>
      <c r="BH12" s="180">
        <v>0</v>
      </c>
      <c r="BI12" s="180">
        <v>0</v>
      </c>
      <c r="BJ12" s="180">
        <v>8000</v>
      </c>
      <c r="BK12" s="180">
        <v>0</v>
      </c>
      <c r="BL12" s="180">
        <v>85657</v>
      </c>
      <c r="BM12" s="180">
        <v>0</v>
      </c>
      <c r="BN12" s="180">
        <v>0</v>
      </c>
      <c r="BO12" s="180">
        <v>0</v>
      </c>
      <c r="BP12" s="180"/>
      <c r="BQ12" s="180">
        <v>0</v>
      </c>
      <c r="BR12" s="180"/>
      <c r="BS12" s="180">
        <v>23858</v>
      </c>
      <c r="BT12" s="180">
        <v>15277</v>
      </c>
      <c r="BU12" s="180"/>
      <c r="BV12" s="180">
        <v>650650</v>
      </c>
      <c r="BW12" s="180"/>
      <c r="BX12" s="180"/>
      <c r="BY12" s="180"/>
      <c r="BZ12" s="180"/>
      <c r="CA12" s="180"/>
      <c r="CB12" s="180"/>
      <c r="CC12" s="180"/>
      <c r="CD12" s="180"/>
      <c r="CE12" s="180"/>
      <c r="CF12" s="180"/>
      <c r="CG12" s="180"/>
      <c r="CH12" s="180"/>
      <c r="CI12" s="180"/>
      <c r="CJ12" s="180"/>
      <c r="CK12" s="180"/>
      <c r="CL12" s="180"/>
      <c r="CM12" s="180"/>
      <c r="CN12" s="180"/>
      <c r="CO12" s="180"/>
      <c r="CP12" s="180"/>
      <c r="CQ12" s="180"/>
      <c r="CR12" s="180"/>
      <c r="CS12" s="180"/>
      <c r="CT12" s="180"/>
      <c r="CU12" s="180"/>
    </row>
    <row r="13" spans="1:99" x14ac:dyDescent="0.3">
      <c r="A13" s="155">
        <v>23</v>
      </c>
      <c r="B13" s="180" t="s">
        <v>206</v>
      </c>
      <c r="C13" s="180"/>
      <c r="D13" s="180">
        <v>687372</v>
      </c>
      <c r="E13" s="180">
        <v>23690201</v>
      </c>
      <c r="F13" s="180"/>
      <c r="G13" s="180"/>
      <c r="H13" s="180">
        <v>1012714</v>
      </c>
      <c r="I13" s="180">
        <v>3075</v>
      </c>
      <c r="J13" s="180"/>
      <c r="K13" s="180">
        <v>381081</v>
      </c>
      <c r="L13" s="180">
        <v>-118208</v>
      </c>
      <c r="M13" s="180">
        <v>1577758</v>
      </c>
      <c r="N13" s="180">
        <v>86636</v>
      </c>
      <c r="O13" s="180">
        <v>237111</v>
      </c>
      <c r="P13" s="180"/>
      <c r="Q13" s="180">
        <v>229317</v>
      </c>
      <c r="R13" s="180">
        <v>210099</v>
      </c>
      <c r="S13" s="180">
        <v>59709</v>
      </c>
      <c r="T13" s="180">
        <v>1992239</v>
      </c>
      <c r="U13" s="180"/>
      <c r="V13" s="180"/>
      <c r="W13" s="180"/>
      <c r="X13" s="180">
        <v>795431</v>
      </c>
      <c r="Y13" s="180">
        <v>242819</v>
      </c>
      <c r="Z13" s="180">
        <v>4191735</v>
      </c>
      <c r="AA13" s="180">
        <v>-649659</v>
      </c>
      <c r="AB13" s="180">
        <v>25106</v>
      </c>
      <c r="AC13" s="180">
        <v>129485</v>
      </c>
      <c r="AD13" s="180">
        <v>48998</v>
      </c>
      <c r="AE13" s="180">
        <v>239092</v>
      </c>
      <c r="AF13" s="180">
        <v>92861</v>
      </c>
      <c r="AG13" s="180">
        <v>18988</v>
      </c>
      <c r="AH13" s="180">
        <v>-676166</v>
      </c>
      <c r="AI13" s="180">
        <v>46228</v>
      </c>
      <c r="AJ13" s="180">
        <v>347915</v>
      </c>
      <c r="AK13" s="180">
        <v>21167</v>
      </c>
      <c r="AL13" s="180">
        <v>27756</v>
      </c>
      <c r="AM13" s="180">
        <v>-67669</v>
      </c>
      <c r="AN13" s="180">
        <v>69339</v>
      </c>
      <c r="AO13" s="180">
        <v>4554243</v>
      </c>
      <c r="AP13" s="180">
        <v>278543</v>
      </c>
      <c r="AQ13" s="180">
        <v>71195</v>
      </c>
      <c r="AR13" s="180">
        <v>105281</v>
      </c>
      <c r="AS13" s="180">
        <v>4526824</v>
      </c>
      <c r="AT13" s="180">
        <v>756</v>
      </c>
      <c r="AU13" s="180">
        <v>101417</v>
      </c>
      <c r="AV13" s="180">
        <v>395173</v>
      </c>
      <c r="AW13" s="180">
        <v>62513</v>
      </c>
      <c r="AX13" s="180">
        <v>55462</v>
      </c>
      <c r="AY13" s="180">
        <v>60309</v>
      </c>
      <c r="AZ13" s="180">
        <v>1387426</v>
      </c>
      <c r="BA13" s="180">
        <v>-82515</v>
      </c>
      <c r="BB13" s="180">
        <v>-16269</v>
      </c>
      <c r="BC13" s="180">
        <v>78528</v>
      </c>
      <c r="BD13" s="180">
        <v>363782</v>
      </c>
      <c r="BE13" s="180">
        <v>28465</v>
      </c>
      <c r="BF13" s="180">
        <v>4818180</v>
      </c>
      <c r="BG13" s="180"/>
      <c r="BH13" s="180">
        <v>39362</v>
      </c>
      <c r="BI13" s="180">
        <v>5538</v>
      </c>
      <c r="BJ13" s="180">
        <v>18435</v>
      </c>
      <c r="BK13" s="180">
        <v>256177</v>
      </c>
      <c r="BL13" s="180">
        <v>1396822</v>
      </c>
      <c r="BM13" s="180">
        <v>3306528</v>
      </c>
      <c r="BN13" s="180">
        <v>2239433</v>
      </c>
      <c r="BO13" s="180">
        <v>584422</v>
      </c>
      <c r="BP13" s="180"/>
      <c r="BQ13" s="180">
        <v>453126</v>
      </c>
      <c r="BR13" s="180"/>
      <c r="BS13" s="180">
        <v>-155910</v>
      </c>
      <c r="BT13" s="180">
        <v>184983</v>
      </c>
      <c r="BU13" s="180"/>
      <c r="BV13" s="180">
        <v>928304</v>
      </c>
      <c r="BW13" s="180"/>
      <c r="BX13" s="180"/>
      <c r="BY13" s="180"/>
      <c r="BZ13" s="180"/>
      <c r="CA13" s="180"/>
      <c r="CB13" s="180"/>
      <c r="CC13" s="180"/>
      <c r="CD13" s="180"/>
      <c r="CE13" s="180"/>
      <c r="CF13" s="180"/>
      <c r="CG13" s="180"/>
      <c r="CH13" s="180"/>
      <c r="CI13" s="180"/>
      <c r="CJ13" s="180"/>
      <c r="CK13" s="180"/>
      <c r="CL13" s="180"/>
      <c r="CM13" s="180"/>
      <c r="CN13" s="180"/>
      <c r="CO13" s="180"/>
      <c r="CP13" s="180"/>
      <c r="CQ13" s="180"/>
      <c r="CR13" s="180"/>
      <c r="CS13" s="180"/>
      <c r="CT13" s="180"/>
      <c r="CU13" s="180"/>
    </row>
    <row r="14" spans="1:99" s="560" customFormat="1" x14ac:dyDescent="0.3">
      <c r="A14" s="559">
        <v>44</v>
      </c>
      <c r="B14" s="560" t="s">
        <v>908</v>
      </c>
      <c r="D14" s="560">
        <v>7072079</v>
      </c>
      <c r="E14" s="560">
        <v>541517208</v>
      </c>
      <c r="H14" s="560">
        <v>1402785</v>
      </c>
      <c r="I14" s="560">
        <v>0</v>
      </c>
      <c r="K14" s="560">
        <v>0</v>
      </c>
      <c r="L14" s="560">
        <v>734556</v>
      </c>
      <c r="M14" s="560">
        <v>10073208</v>
      </c>
      <c r="N14" s="560">
        <v>0</v>
      </c>
      <c r="O14" s="560">
        <v>562881</v>
      </c>
      <c r="Q14" s="560">
        <v>0</v>
      </c>
      <c r="R14" s="560">
        <v>0</v>
      </c>
      <c r="S14" s="560">
        <v>2055017</v>
      </c>
      <c r="T14" s="560">
        <v>0</v>
      </c>
      <c r="X14" s="560">
        <v>4746219</v>
      </c>
      <c r="Y14" s="560">
        <v>0</v>
      </c>
      <c r="Z14" s="560">
        <v>19143151</v>
      </c>
      <c r="AA14" s="560">
        <v>0</v>
      </c>
      <c r="AB14" s="560">
        <v>54922</v>
      </c>
      <c r="AC14" s="560">
        <v>245792</v>
      </c>
      <c r="AD14" s="560">
        <v>978788</v>
      </c>
      <c r="AE14" s="560">
        <v>544873</v>
      </c>
      <c r="AF14" s="560">
        <v>462358</v>
      </c>
      <c r="AG14" s="560">
        <v>223253</v>
      </c>
      <c r="AH14" s="560">
        <v>2509388</v>
      </c>
      <c r="AI14" s="560">
        <v>0</v>
      </c>
      <c r="AJ14" s="560">
        <v>0</v>
      </c>
      <c r="AK14" s="560">
        <v>0</v>
      </c>
      <c r="AL14" s="560">
        <v>1050637</v>
      </c>
      <c r="AM14" s="560">
        <v>1128139</v>
      </c>
      <c r="AN14" s="560">
        <v>411554</v>
      </c>
      <c r="AO14" s="560">
        <v>35376722</v>
      </c>
      <c r="AP14" s="560">
        <v>696720</v>
      </c>
      <c r="AQ14" s="560">
        <v>0</v>
      </c>
      <c r="AR14" s="560">
        <v>73906</v>
      </c>
      <c r="AS14" s="560">
        <v>19856771</v>
      </c>
      <c r="AT14" s="560">
        <v>715105</v>
      </c>
      <c r="AU14" s="560">
        <v>5044706</v>
      </c>
      <c r="AV14" s="560">
        <v>819127</v>
      </c>
      <c r="AW14" s="560">
        <v>880632</v>
      </c>
      <c r="AX14" s="560">
        <v>0</v>
      </c>
      <c r="AY14" s="560">
        <v>15684</v>
      </c>
      <c r="AZ14" s="560">
        <v>6614690</v>
      </c>
      <c r="BA14" s="560">
        <v>330695</v>
      </c>
      <c r="BB14" s="560">
        <v>788492</v>
      </c>
      <c r="BC14" s="560">
        <v>582069</v>
      </c>
      <c r="BD14" s="560">
        <v>7723314</v>
      </c>
      <c r="BE14" s="560">
        <v>544037</v>
      </c>
      <c r="BF14" s="560">
        <v>14501268</v>
      </c>
      <c r="BH14" s="560">
        <v>0</v>
      </c>
      <c r="BI14" s="560">
        <v>899762</v>
      </c>
      <c r="BJ14" s="560">
        <v>15594310</v>
      </c>
      <c r="BK14" s="560">
        <v>1180634</v>
      </c>
      <c r="BL14" s="560">
        <v>18132007</v>
      </c>
      <c r="BM14" s="560">
        <v>0</v>
      </c>
      <c r="BN14" s="560">
        <v>4955336</v>
      </c>
      <c r="BO14" s="560">
        <v>1566543</v>
      </c>
      <c r="BQ14" s="560">
        <v>0</v>
      </c>
      <c r="BS14" s="560">
        <v>847799</v>
      </c>
      <c r="BT14" s="560">
        <v>634233</v>
      </c>
      <c r="BV14" s="560">
        <v>379718</v>
      </c>
    </row>
    <row r="15" spans="1:99" s="560" customFormat="1" x14ac:dyDescent="0.3">
      <c r="A15" s="559">
        <v>45</v>
      </c>
      <c r="B15" s="560" t="s">
        <v>909</v>
      </c>
      <c r="D15" s="560">
        <v>420846</v>
      </c>
      <c r="E15" s="560">
        <v>47669156</v>
      </c>
      <c r="H15" s="560">
        <v>5770</v>
      </c>
      <c r="I15" s="560">
        <v>0</v>
      </c>
      <c r="K15" s="560">
        <v>0</v>
      </c>
      <c r="L15" s="560">
        <v>315609</v>
      </c>
      <c r="M15" s="560">
        <v>2114999</v>
      </c>
      <c r="N15" s="560">
        <v>0</v>
      </c>
      <c r="O15" s="560">
        <v>27204</v>
      </c>
      <c r="Q15" s="560">
        <v>0</v>
      </c>
      <c r="R15" s="560">
        <v>0</v>
      </c>
      <c r="S15" s="560">
        <v>273228</v>
      </c>
      <c r="T15" s="560">
        <v>0</v>
      </c>
      <c r="X15" s="560">
        <v>276410</v>
      </c>
      <c r="Y15" s="560">
        <v>0</v>
      </c>
      <c r="Z15" s="560">
        <v>1962738</v>
      </c>
      <c r="AA15" s="560">
        <v>0</v>
      </c>
      <c r="AB15" s="560">
        <v>68966</v>
      </c>
      <c r="AC15" s="560">
        <v>183460</v>
      </c>
      <c r="AD15" s="560">
        <v>83285</v>
      </c>
      <c r="AE15" s="560">
        <v>494857</v>
      </c>
      <c r="AF15" s="560">
        <v>53782</v>
      </c>
      <c r="AG15" s="560">
        <v>106003</v>
      </c>
      <c r="AH15" s="560">
        <v>1865244</v>
      </c>
      <c r="AI15" s="560">
        <v>0</v>
      </c>
      <c r="AJ15" s="560">
        <v>0</v>
      </c>
      <c r="AK15" s="560">
        <v>0</v>
      </c>
      <c r="AL15" s="560">
        <v>101177</v>
      </c>
      <c r="AM15" s="560">
        <v>165028</v>
      </c>
      <c r="AN15" s="560">
        <v>40491</v>
      </c>
      <c r="AO15" s="560">
        <v>7851726</v>
      </c>
      <c r="AP15" s="560">
        <v>99317</v>
      </c>
      <c r="AQ15" s="560">
        <v>0</v>
      </c>
      <c r="AR15" s="560">
        <v>17080</v>
      </c>
      <c r="AS15" s="560">
        <v>5109369</v>
      </c>
      <c r="AT15" s="560">
        <v>66294</v>
      </c>
      <c r="AU15" s="560">
        <v>195914</v>
      </c>
      <c r="AV15" s="560">
        <v>81816</v>
      </c>
      <c r="AW15" s="560">
        <v>82235</v>
      </c>
      <c r="AX15" s="560">
        <v>0</v>
      </c>
      <c r="AY15" s="560">
        <v>0</v>
      </c>
      <c r="AZ15" s="560">
        <v>291412</v>
      </c>
      <c r="BA15" s="560">
        <v>39510</v>
      </c>
      <c r="BB15" s="560">
        <v>26326</v>
      </c>
      <c r="BC15" s="560">
        <v>2492</v>
      </c>
      <c r="BD15" s="560">
        <v>212234</v>
      </c>
      <c r="BE15" s="560">
        <v>206703</v>
      </c>
      <c r="BF15" s="560">
        <v>2934304</v>
      </c>
      <c r="BH15" s="560">
        <v>0</v>
      </c>
      <c r="BI15" s="560">
        <v>34419</v>
      </c>
      <c r="BJ15" s="560">
        <v>1059690</v>
      </c>
      <c r="BK15" s="560">
        <v>157974</v>
      </c>
      <c r="BL15" s="560">
        <v>1359531</v>
      </c>
      <c r="BM15" s="560">
        <v>0</v>
      </c>
      <c r="BN15" s="560">
        <v>561143</v>
      </c>
      <c r="BO15" s="560">
        <v>243151</v>
      </c>
      <c r="BQ15" s="560">
        <v>0</v>
      </c>
      <c r="BS15" s="560">
        <v>519681</v>
      </c>
      <c r="BT15" s="560">
        <v>124394</v>
      </c>
      <c r="BV15" s="560">
        <v>322693</v>
      </c>
    </row>
    <row r="16" spans="1:99" s="560" customFormat="1" x14ac:dyDescent="0.3">
      <c r="A16" s="559">
        <v>47</v>
      </c>
      <c r="B16" s="560" t="s">
        <v>910</v>
      </c>
      <c r="D16" s="560">
        <v>0</v>
      </c>
      <c r="E16" s="560">
        <v>0</v>
      </c>
      <c r="H16" s="560">
        <v>0</v>
      </c>
      <c r="I16" s="560">
        <v>0</v>
      </c>
      <c r="K16" s="560">
        <v>0</v>
      </c>
      <c r="L16" s="560">
        <v>1363331</v>
      </c>
      <c r="M16" s="560">
        <v>0</v>
      </c>
      <c r="N16" s="560">
        <v>0</v>
      </c>
      <c r="O16" s="560">
        <v>0</v>
      </c>
      <c r="Q16" s="560">
        <v>0</v>
      </c>
      <c r="R16" s="560">
        <v>0</v>
      </c>
      <c r="S16" s="560">
        <v>0</v>
      </c>
      <c r="T16" s="560">
        <v>0</v>
      </c>
      <c r="X16" s="560">
        <v>0</v>
      </c>
      <c r="Y16" s="560">
        <v>0</v>
      </c>
      <c r="Z16" s="560">
        <v>49161477</v>
      </c>
      <c r="AA16" s="560">
        <v>0</v>
      </c>
      <c r="AB16" s="560">
        <v>0</v>
      </c>
      <c r="AC16" s="560">
        <v>0</v>
      </c>
      <c r="AD16" s="560">
        <v>0</v>
      </c>
      <c r="AE16" s="560">
        <v>0</v>
      </c>
      <c r="AF16" s="560">
        <v>0</v>
      </c>
      <c r="AG16" s="560">
        <v>0</v>
      </c>
      <c r="AH16" s="560">
        <v>0</v>
      </c>
      <c r="AI16" s="560">
        <v>0</v>
      </c>
      <c r="AJ16" s="560">
        <v>0</v>
      </c>
      <c r="AK16" s="560">
        <v>0</v>
      </c>
      <c r="AL16" s="560">
        <v>0</v>
      </c>
      <c r="AM16" s="560">
        <v>0</v>
      </c>
      <c r="AN16" s="560">
        <v>0</v>
      </c>
      <c r="AO16" s="560">
        <v>0</v>
      </c>
      <c r="AP16" s="560">
        <v>0</v>
      </c>
      <c r="AQ16" s="560">
        <v>0</v>
      </c>
      <c r="AR16" s="560">
        <v>0</v>
      </c>
      <c r="AS16" s="560">
        <v>0</v>
      </c>
      <c r="AT16" s="560">
        <v>0</v>
      </c>
      <c r="AU16" s="560">
        <v>0</v>
      </c>
      <c r="AV16" s="560">
        <v>2325814</v>
      </c>
      <c r="AW16" s="560">
        <v>0</v>
      </c>
      <c r="AX16" s="560">
        <v>0</v>
      </c>
      <c r="AY16" s="560">
        <v>0</v>
      </c>
      <c r="AZ16" s="560">
        <v>4103285</v>
      </c>
      <c r="BA16" s="560">
        <v>0</v>
      </c>
      <c r="BB16" s="560">
        <v>0</v>
      </c>
      <c r="BC16" s="560">
        <v>0</v>
      </c>
      <c r="BD16" s="560">
        <v>0</v>
      </c>
      <c r="BE16" s="560">
        <v>2661755</v>
      </c>
      <c r="BF16" s="560">
        <v>10722989</v>
      </c>
      <c r="BH16" s="560">
        <v>0</v>
      </c>
      <c r="BI16" s="560">
        <v>0</v>
      </c>
      <c r="BJ16" s="560">
        <v>15217825</v>
      </c>
      <c r="BK16" s="560">
        <v>0</v>
      </c>
      <c r="BL16" s="560">
        <v>0</v>
      </c>
      <c r="BM16" s="560">
        <v>0</v>
      </c>
      <c r="BN16" s="560">
        <v>8287506</v>
      </c>
      <c r="BO16" s="560">
        <v>0</v>
      </c>
      <c r="BQ16" s="560">
        <v>0</v>
      </c>
      <c r="BS16" s="560">
        <v>0</v>
      </c>
      <c r="BT16" s="560">
        <v>0</v>
      </c>
      <c r="BV16" s="560">
        <v>0</v>
      </c>
    </row>
    <row r="17" spans="1:99" s="560" customFormat="1" x14ac:dyDescent="0.3">
      <c r="A17" s="559">
        <v>48</v>
      </c>
      <c r="B17" s="560" t="s">
        <v>115</v>
      </c>
      <c r="D17" s="560">
        <v>0</v>
      </c>
      <c r="E17" s="560">
        <v>0</v>
      </c>
      <c r="H17" s="560">
        <v>0</v>
      </c>
      <c r="I17" s="560">
        <v>0</v>
      </c>
      <c r="K17" s="560">
        <v>0</v>
      </c>
      <c r="L17" s="560">
        <v>495182</v>
      </c>
      <c r="M17" s="560">
        <v>0</v>
      </c>
      <c r="N17" s="560">
        <v>0</v>
      </c>
      <c r="O17" s="560">
        <v>0</v>
      </c>
      <c r="Q17" s="560">
        <v>0</v>
      </c>
      <c r="R17" s="560">
        <v>0</v>
      </c>
      <c r="S17" s="560">
        <v>0</v>
      </c>
      <c r="T17" s="560">
        <v>0</v>
      </c>
      <c r="X17" s="560">
        <v>0</v>
      </c>
      <c r="Y17" s="560">
        <v>0</v>
      </c>
      <c r="Z17" s="560">
        <v>8372361</v>
      </c>
      <c r="AA17" s="560">
        <v>0</v>
      </c>
      <c r="AB17" s="560">
        <v>0</v>
      </c>
      <c r="AC17" s="560">
        <v>0</v>
      </c>
      <c r="AD17" s="560">
        <v>0</v>
      </c>
      <c r="AE17" s="560">
        <v>0</v>
      </c>
      <c r="AF17" s="560">
        <v>0</v>
      </c>
      <c r="AG17" s="560">
        <v>0</v>
      </c>
      <c r="AH17" s="560">
        <v>0</v>
      </c>
      <c r="AI17" s="560">
        <v>0</v>
      </c>
      <c r="AJ17" s="560">
        <v>0</v>
      </c>
      <c r="AK17" s="560">
        <v>0</v>
      </c>
      <c r="AL17" s="560">
        <v>0</v>
      </c>
      <c r="AM17" s="560">
        <v>0</v>
      </c>
      <c r="AN17" s="560">
        <v>0</v>
      </c>
      <c r="AO17" s="560">
        <v>0</v>
      </c>
      <c r="AP17" s="560">
        <v>0</v>
      </c>
      <c r="AQ17" s="560">
        <v>0</v>
      </c>
      <c r="AR17" s="560">
        <v>0</v>
      </c>
      <c r="AS17" s="560">
        <v>0</v>
      </c>
      <c r="AT17" s="560">
        <v>0</v>
      </c>
      <c r="AU17" s="560">
        <v>0</v>
      </c>
      <c r="AV17" s="560">
        <v>273617</v>
      </c>
      <c r="AW17" s="560">
        <v>0</v>
      </c>
      <c r="AX17" s="560">
        <v>0</v>
      </c>
      <c r="AY17" s="560">
        <v>0</v>
      </c>
      <c r="AZ17" s="560">
        <v>809121</v>
      </c>
      <c r="BA17" s="560">
        <v>0</v>
      </c>
      <c r="BB17" s="560">
        <v>0</v>
      </c>
      <c r="BC17" s="560">
        <v>0</v>
      </c>
      <c r="BD17" s="560">
        <v>0</v>
      </c>
      <c r="BE17" s="560">
        <v>228301</v>
      </c>
      <c r="BF17" s="560">
        <v>1979533</v>
      </c>
      <c r="BH17" s="560">
        <v>0</v>
      </c>
      <c r="BI17" s="560">
        <v>0</v>
      </c>
      <c r="BJ17" s="560">
        <v>2159093</v>
      </c>
      <c r="BK17" s="560">
        <v>0</v>
      </c>
      <c r="BL17" s="560">
        <v>0</v>
      </c>
      <c r="BM17" s="560">
        <v>0</v>
      </c>
      <c r="BN17" s="560">
        <v>825518</v>
      </c>
      <c r="BO17" s="560">
        <v>0</v>
      </c>
      <c r="BQ17" s="560">
        <v>0</v>
      </c>
      <c r="BS17" s="560">
        <v>0</v>
      </c>
      <c r="BT17" s="560">
        <v>0</v>
      </c>
      <c r="BV17" s="560">
        <v>0</v>
      </c>
    </row>
    <row r="18" spans="1:99" x14ac:dyDescent="0.3">
      <c r="A18" s="155">
        <v>49</v>
      </c>
      <c r="B18" s="180" t="s">
        <v>219</v>
      </c>
      <c r="C18" s="180"/>
      <c r="D18" s="180">
        <v>896794</v>
      </c>
      <c r="E18" s="180">
        <v>47775543</v>
      </c>
      <c r="F18" s="180"/>
      <c r="G18" s="180"/>
      <c r="H18" s="180">
        <v>189656</v>
      </c>
      <c r="I18" s="180">
        <v>0</v>
      </c>
      <c r="J18" s="180"/>
      <c r="K18" s="180">
        <v>0</v>
      </c>
      <c r="L18" s="180">
        <v>510448</v>
      </c>
      <c r="M18" s="180">
        <v>1995716</v>
      </c>
      <c r="N18" s="180">
        <v>0</v>
      </c>
      <c r="O18" s="180">
        <v>190719</v>
      </c>
      <c r="P18" s="180"/>
      <c r="Q18" s="180">
        <v>0</v>
      </c>
      <c r="R18" s="180">
        <v>0</v>
      </c>
      <c r="S18" s="180">
        <v>140407</v>
      </c>
      <c r="T18" s="180">
        <v>0</v>
      </c>
      <c r="U18" s="180"/>
      <c r="V18" s="180"/>
      <c r="W18" s="180"/>
      <c r="X18" s="180">
        <v>1142865</v>
      </c>
      <c r="Y18" s="180">
        <v>0</v>
      </c>
      <c r="Z18" s="180">
        <v>3530017</v>
      </c>
      <c r="AA18" s="180">
        <v>0</v>
      </c>
      <c r="AB18" s="180">
        <v>62265</v>
      </c>
      <c r="AC18" s="180">
        <v>107397</v>
      </c>
      <c r="AD18" s="180">
        <v>360537</v>
      </c>
      <c r="AE18" s="180">
        <v>181337</v>
      </c>
      <c r="AF18" s="180">
        <v>224265</v>
      </c>
      <c r="AG18" s="180">
        <v>140019</v>
      </c>
      <c r="AH18" s="180">
        <v>874187</v>
      </c>
      <c r="AI18" s="180">
        <v>0</v>
      </c>
      <c r="AJ18" s="180">
        <v>0</v>
      </c>
      <c r="AK18" s="180">
        <v>0</v>
      </c>
      <c r="AL18" s="180">
        <v>142760</v>
      </c>
      <c r="AM18" s="180">
        <v>391057</v>
      </c>
      <c r="AN18" s="180">
        <v>107199</v>
      </c>
      <c r="AO18" s="180">
        <v>5015477</v>
      </c>
      <c r="AP18" s="180">
        <v>156236</v>
      </c>
      <c r="AQ18" s="180">
        <v>0</v>
      </c>
      <c r="AR18" s="180">
        <v>25788</v>
      </c>
      <c r="AS18" s="180">
        <v>6450977</v>
      </c>
      <c r="AT18" s="180">
        <v>175337</v>
      </c>
      <c r="AU18" s="180">
        <v>221253</v>
      </c>
      <c r="AV18" s="180">
        <v>536631</v>
      </c>
      <c r="AW18" s="180">
        <v>165162</v>
      </c>
      <c r="AX18" s="180">
        <v>0</v>
      </c>
      <c r="AY18" s="180">
        <v>0</v>
      </c>
      <c r="AZ18" s="180">
        <v>641164</v>
      </c>
      <c r="BA18" s="180">
        <v>79875</v>
      </c>
      <c r="BB18" s="180">
        <v>108782</v>
      </c>
      <c r="BC18" s="180">
        <v>50238</v>
      </c>
      <c r="BD18" s="180">
        <v>536932</v>
      </c>
      <c r="BE18" s="180">
        <v>326308</v>
      </c>
      <c r="BF18" s="180">
        <v>2812589</v>
      </c>
      <c r="BG18" s="180"/>
      <c r="BH18" s="180">
        <v>0</v>
      </c>
      <c r="BI18" s="180">
        <v>51512</v>
      </c>
      <c r="BJ18" s="180">
        <v>654224</v>
      </c>
      <c r="BK18" s="180">
        <v>325095</v>
      </c>
      <c r="BL18" s="180">
        <v>1965810</v>
      </c>
      <c r="BM18" s="180">
        <v>0</v>
      </c>
      <c r="BN18" s="180">
        <v>622685</v>
      </c>
      <c r="BO18" s="180">
        <v>235904</v>
      </c>
      <c r="BP18" s="180"/>
      <c r="BQ18" s="180">
        <v>0</v>
      </c>
      <c r="BR18" s="180"/>
      <c r="BS18" s="180">
        <v>723263</v>
      </c>
      <c r="BT18" s="180">
        <v>109655</v>
      </c>
      <c r="BU18" s="180"/>
      <c r="BV18" s="180">
        <v>643593</v>
      </c>
      <c r="BW18" s="180"/>
      <c r="BX18" s="180"/>
      <c r="BY18" s="180"/>
      <c r="BZ18" s="180"/>
      <c r="CA18" s="180"/>
      <c r="CB18" s="180"/>
      <c r="CC18" s="180"/>
      <c r="CD18" s="180"/>
      <c r="CE18" s="180"/>
      <c r="CF18" s="180"/>
      <c r="CG18" s="180"/>
      <c r="CH18" s="180"/>
      <c r="CI18" s="180"/>
      <c r="CJ18" s="180"/>
      <c r="CK18" s="180"/>
      <c r="CL18" s="180"/>
      <c r="CM18" s="180"/>
      <c r="CN18" s="180"/>
      <c r="CO18" s="180"/>
      <c r="CP18" s="180"/>
      <c r="CQ18" s="180"/>
      <c r="CR18" s="180"/>
      <c r="CS18" s="180"/>
      <c r="CT18" s="180"/>
      <c r="CU18" s="180"/>
    </row>
    <row r="19" spans="1:99" x14ac:dyDescent="0.3">
      <c r="A19" s="155">
        <v>50</v>
      </c>
      <c r="B19" s="180" t="s">
        <v>92</v>
      </c>
      <c r="C19" s="180"/>
      <c r="D19" s="180">
        <v>269306</v>
      </c>
      <c r="E19" s="180">
        <v>105636975</v>
      </c>
      <c r="F19" s="180"/>
      <c r="G19" s="180"/>
      <c r="H19" s="180">
        <v>292739</v>
      </c>
      <c r="I19" s="180">
        <v>0</v>
      </c>
      <c r="J19" s="180"/>
      <c r="K19" s="180">
        <v>0</v>
      </c>
      <c r="L19" s="180">
        <v>3436030</v>
      </c>
      <c r="M19" s="180">
        <v>443157</v>
      </c>
      <c r="N19" s="180">
        <v>0</v>
      </c>
      <c r="O19" s="180">
        <v>-74243</v>
      </c>
      <c r="P19" s="180"/>
      <c r="Q19" s="180">
        <v>0</v>
      </c>
      <c r="R19" s="180">
        <v>0</v>
      </c>
      <c r="S19" s="180">
        <v>190076</v>
      </c>
      <c r="T19" s="180">
        <v>0</v>
      </c>
      <c r="U19" s="180"/>
      <c r="V19" s="180"/>
      <c r="W19" s="180"/>
      <c r="X19" s="180">
        <v>-164833</v>
      </c>
      <c r="Y19" s="180">
        <v>0</v>
      </c>
      <c r="Z19" s="180">
        <v>-2386862</v>
      </c>
      <c r="AA19" s="180">
        <v>0</v>
      </c>
      <c r="AB19" s="180">
        <v>-89297</v>
      </c>
      <c r="AC19" s="180">
        <v>121684</v>
      </c>
      <c r="AD19" s="180">
        <v>-190598</v>
      </c>
      <c r="AE19" s="180">
        <v>258144</v>
      </c>
      <c r="AF19" s="180">
        <v>295150</v>
      </c>
      <c r="AG19" s="180">
        <v>21093</v>
      </c>
      <c r="AH19" s="180">
        <v>-889026</v>
      </c>
      <c r="AI19" s="180">
        <v>0</v>
      </c>
      <c r="AJ19" s="180">
        <v>0</v>
      </c>
      <c r="AK19" s="180">
        <v>0</v>
      </c>
      <c r="AL19" s="180">
        <v>21398</v>
      </c>
      <c r="AM19" s="180">
        <v>264737</v>
      </c>
      <c r="AN19" s="180">
        <v>-56710</v>
      </c>
      <c r="AO19" s="180">
        <v>6687290</v>
      </c>
      <c r="AP19" s="180">
        <v>230228</v>
      </c>
      <c r="AQ19" s="180">
        <v>0</v>
      </c>
      <c r="AR19" s="180">
        <v>-11482</v>
      </c>
      <c r="AS19" s="180">
        <v>4493223</v>
      </c>
      <c r="AT19" s="180">
        <v>82561</v>
      </c>
      <c r="AU19" s="180">
        <v>212851</v>
      </c>
      <c r="AV19" s="180">
        <v>9872</v>
      </c>
      <c r="AW19" s="180">
        <v>320000</v>
      </c>
      <c r="AX19" s="180">
        <v>0</v>
      </c>
      <c r="AY19" s="180">
        <v>2</v>
      </c>
      <c r="AZ19" s="180">
        <v>2705820</v>
      </c>
      <c r="BA19" s="180">
        <v>55569</v>
      </c>
      <c r="BB19" s="180">
        <v>58536</v>
      </c>
      <c r="BC19" s="180">
        <v>-7139</v>
      </c>
      <c r="BD19" s="180">
        <v>2048816</v>
      </c>
      <c r="BE19" s="180">
        <v>-164351</v>
      </c>
      <c r="BF19" s="180">
        <v>3714506</v>
      </c>
      <c r="BG19" s="180"/>
      <c r="BH19" s="180">
        <v>0</v>
      </c>
      <c r="BI19" s="180">
        <v>59599</v>
      </c>
      <c r="BJ19" s="180">
        <v>4518138</v>
      </c>
      <c r="BK19" s="180">
        <v>180590</v>
      </c>
      <c r="BL19" s="180">
        <v>4437330</v>
      </c>
      <c r="BM19" s="180">
        <v>0</v>
      </c>
      <c r="BN19" s="180">
        <v>3755081</v>
      </c>
      <c r="BO19" s="180">
        <v>7159091</v>
      </c>
      <c r="BP19" s="180"/>
      <c r="BQ19" s="180">
        <v>0</v>
      </c>
      <c r="BR19" s="180"/>
      <c r="BS19" s="180">
        <v>303339</v>
      </c>
      <c r="BT19" s="180">
        <v>34018</v>
      </c>
      <c r="BU19" s="180"/>
      <c r="BV19" s="180">
        <v>-99461</v>
      </c>
      <c r="BW19" s="180"/>
      <c r="BX19" s="180"/>
      <c r="BY19" s="180"/>
      <c r="BZ19" s="180"/>
      <c r="CA19" s="180"/>
      <c r="CB19" s="180"/>
      <c r="CC19" s="180"/>
      <c r="CD19" s="180"/>
      <c r="CE19" s="180"/>
      <c r="CF19" s="180"/>
      <c r="CG19" s="180"/>
      <c r="CH19" s="180"/>
      <c r="CI19" s="180"/>
      <c r="CJ19" s="180"/>
      <c r="CK19" s="180"/>
      <c r="CL19" s="180"/>
      <c r="CM19" s="180"/>
      <c r="CN19" s="180"/>
      <c r="CO19" s="180"/>
      <c r="CP19" s="180"/>
      <c r="CQ19" s="180"/>
      <c r="CR19" s="180"/>
      <c r="CS19" s="180"/>
      <c r="CT19" s="180"/>
      <c r="CU19" s="180"/>
    </row>
    <row r="20" spans="1:99" x14ac:dyDescent="0.3">
      <c r="A20" s="155">
        <v>51</v>
      </c>
      <c r="B20" s="180" t="s">
        <v>237</v>
      </c>
      <c r="C20" s="180"/>
      <c r="D20" s="180">
        <v>1045117</v>
      </c>
      <c r="E20" s="180">
        <v>165267636</v>
      </c>
      <c r="F20" s="180"/>
      <c r="G20" s="180"/>
      <c r="H20" s="180">
        <v>385864</v>
      </c>
      <c r="I20" s="180">
        <v>0</v>
      </c>
      <c r="J20" s="180"/>
      <c r="K20" s="180">
        <v>0</v>
      </c>
      <c r="L20" s="180">
        <v>378337</v>
      </c>
      <c r="M20" s="180">
        <v>1547107</v>
      </c>
      <c r="N20" s="180">
        <v>0</v>
      </c>
      <c r="O20" s="180">
        <v>124381</v>
      </c>
      <c r="P20" s="180"/>
      <c r="Q20" s="180">
        <v>0</v>
      </c>
      <c r="R20" s="180">
        <v>0</v>
      </c>
      <c r="S20" s="180">
        <v>324027</v>
      </c>
      <c r="T20" s="180">
        <v>0</v>
      </c>
      <c r="U20" s="180"/>
      <c r="V20" s="180"/>
      <c r="W20" s="180"/>
      <c r="X20" s="180">
        <v>966264</v>
      </c>
      <c r="Y20" s="180">
        <v>0</v>
      </c>
      <c r="Z20" s="180">
        <v>1194022</v>
      </c>
      <c r="AA20" s="180">
        <v>0</v>
      </c>
      <c r="AB20" s="180">
        <v>-21021</v>
      </c>
      <c r="AC20" s="180">
        <v>82626</v>
      </c>
      <c r="AD20" s="180">
        <v>-38979</v>
      </c>
      <c r="AE20" s="180">
        <v>326475</v>
      </c>
      <c r="AF20" s="180">
        <v>213017</v>
      </c>
      <c r="AG20" s="180">
        <v>-10308</v>
      </c>
      <c r="AH20" s="180">
        <v>208776</v>
      </c>
      <c r="AI20" s="180">
        <v>0</v>
      </c>
      <c r="AJ20" s="180">
        <v>0</v>
      </c>
      <c r="AK20" s="180">
        <v>0</v>
      </c>
      <c r="AL20" s="180">
        <v>144127</v>
      </c>
      <c r="AM20" s="180">
        <v>130641</v>
      </c>
      <c r="AN20" s="180">
        <v>-2496</v>
      </c>
      <c r="AO20" s="180">
        <v>9065376</v>
      </c>
      <c r="AP20" s="180">
        <v>382196</v>
      </c>
      <c r="AQ20" s="180">
        <v>0</v>
      </c>
      <c r="AR20" s="180">
        <v>13773</v>
      </c>
      <c r="AS20" s="180">
        <v>6113243</v>
      </c>
      <c r="AT20" s="180">
        <v>117542</v>
      </c>
      <c r="AU20" s="180">
        <v>452360</v>
      </c>
      <c r="AV20" s="180">
        <v>548810</v>
      </c>
      <c r="AW20" s="180">
        <v>450849</v>
      </c>
      <c r="AX20" s="180">
        <v>0</v>
      </c>
      <c r="AY20" s="180">
        <v>0</v>
      </c>
      <c r="AZ20" s="180">
        <v>1708099</v>
      </c>
      <c r="BA20" s="180">
        <v>149434</v>
      </c>
      <c r="BB20" s="180">
        <v>182312</v>
      </c>
      <c r="BC20" s="180">
        <v>43472</v>
      </c>
      <c r="BD20" s="180">
        <v>2944150</v>
      </c>
      <c r="BE20" s="180">
        <v>240455</v>
      </c>
      <c r="BF20" s="180">
        <v>6491914</v>
      </c>
      <c r="BG20" s="180"/>
      <c r="BH20" s="180">
        <v>0</v>
      </c>
      <c r="BI20" s="180">
        <v>112749</v>
      </c>
      <c r="BJ20" s="180">
        <v>2822896</v>
      </c>
      <c r="BK20" s="180">
        <v>226484</v>
      </c>
      <c r="BL20" s="180">
        <v>3937569</v>
      </c>
      <c r="BM20" s="180">
        <v>0</v>
      </c>
      <c r="BN20" s="180">
        <v>1931771</v>
      </c>
      <c r="BO20" s="180">
        <v>255595</v>
      </c>
      <c r="BP20" s="180"/>
      <c r="BQ20" s="180">
        <v>0</v>
      </c>
      <c r="BR20" s="180"/>
      <c r="BS20" s="180">
        <v>230801</v>
      </c>
      <c r="BT20" s="180">
        <v>-75145</v>
      </c>
      <c r="BU20" s="180"/>
      <c r="BV20" s="180">
        <v>67570</v>
      </c>
      <c r="BW20" s="180"/>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180"/>
      <c r="CT20" s="180"/>
      <c r="CU20" s="180"/>
    </row>
    <row r="21" spans="1:99" x14ac:dyDescent="0.3">
      <c r="A21" s="155">
        <v>52</v>
      </c>
      <c r="B21" s="180" t="s">
        <v>230</v>
      </c>
      <c r="C21" s="180"/>
      <c r="D21" s="180">
        <v>0</v>
      </c>
      <c r="E21" s="180">
        <v>0</v>
      </c>
      <c r="F21" s="180"/>
      <c r="G21" s="180"/>
      <c r="H21" s="180">
        <v>0</v>
      </c>
      <c r="I21" s="180">
        <v>0</v>
      </c>
      <c r="J21" s="180"/>
      <c r="K21" s="180">
        <v>0</v>
      </c>
      <c r="L21" s="180">
        <v>96058</v>
      </c>
      <c r="M21" s="180">
        <v>0</v>
      </c>
      <c r="N21" s="180">
        <v>0</v>
      </c>
      <c r="O21" s="180">
        <v>0</v>
      </c>
      <c r="P21" s="180"/>
      <c r="Q21" s="180">
        <v>0</v>
      </c>
      <c r="R21" s="180">
        <v>0</v>
      </c>
      <c r="S21" s="180">
        <v>0</v>
      </c>
      <c r="T21" s="180">
        <v>0</v>
      </c>
      <c r="U21" s="180"/>
      <c r="V21" s="180"/>
      <c r="W21" s="180"/>
      <c r="X21" s="180">
        <v>0</v>
      </c>
      <c r="Y21" s="180">
        <v>0</v>
      </c>
      <c r="Z21" s="180">
        <v>2215882</v>
      </c>
      <c r="AA21" s="180">
        <v>0</v>
      </c>
      <c r="AB21" s="180">
        <v>0</v>
      </c>
      <c r="AC21" s="180">
        <v>0</v>
      </c>
      <c r="AD21" s="180">
        <v>0</v>
      </c>
      <c r="AE21" s="180">
        <v>0</v>
      </c>
      <c r="AF21" s="180">
        <v>0</v>
      </c>
      <c r="AG21" s="180">
        <v>0</v>
      </c>
      <c r="AH21" s="180">
        <v>0</v>
      </c>
      <c r="AI21" s="180">
        <v>0</v>
      </c>
      <c r="AJ21" s="180">
        <v>0</v>
      </c>
      <c r="AK21" s="180">
        <v>0</v>
      </c>
      <c r="AL21" s="180">
        <v>0</v>
      </c>
      <c r="AM21" s="180">
        <v>0</v>
      </c>
      <c r="AN21" s="180">
        <v>0</v>
      </c>
      <c r="AO21" s="180">
        <v>0</v>
      </c>
      <c r="AP21" s="180">
        <v>0</v>
      </c>
      <c r="AQ21" s="180">
        <v>0</v>
      </c>
      <c r="AR21" s="180">
        <v>0</v>
      </c>
      <c r="AS21" s="180">
        <v>0</v>
      </c>
      <c r="AT21" s="180">
        <v>0</v>
      </c>
      <c r="AU21" s="180">
        <v>0</v>
      </c>
      <c r="AV21" s="180">
        <v>22774</v>
      </c>
      <c r="AW21" s="180">
        <v>0</v>
      </c>
      <c r="AX21" s="180">
        <v>0</v>
      </c>
      <c r="AY21" s="180">
        <v>0</v>
      </c>
      <c r="AZ21" s="180">
        <v>112466</v>
      </c>
      <c r="BA21" s="180">
        <v>0</v>
      </c>
      <c r="BB21" s="180">
        <v>0</v>
      </c>
      <c r="BC21" s="180">
        <v>0</v>
      </c>
      <c r="BD21" s="180">
        <v>0</v>
      </c>
      <c r="BE21" s="180">
        <v>123608</v>
      </c>
      <c r="BF21" s="180">
        <v>779177</v>
      </c>
      <c r="BG21" s="180"/>
      <c r="BH21" s="180">
        <v>0</v>
      </c>
      <c r="BI21" s="180">
        <v>0</v>
      </c>
      <c r="BJ21" s="180">
        <v>667384</v>
      </c>
      <c r="BK21" s="180">
        <v>0</v>
      </c>
      <c r="BL21" s="180">
        <v>0</v>
      </c>
      <c r="BM21" s="180">
        <v>0</v>
      </c>
      <c r="BN21" s="180">
        <v>426270</v>
      </c>
      <c r="BO21" s="180">
        <v>0</v>
      </c>
      <c r="BP21" s="180"/>
      <c r="BQ21" s="180">
        <v>0</v>
      </c>
      <c r="BR21" s="180"/>
      <c r="BS21" s="180">
        <v>0</v>
      </c>
      <c r="BT21" s="180">
        <v>0</v>
      </c>
      <c r="BU21" s="180"/>
      <c r="BV21" s="180">
        <v>0</v>
      </c>
      <c r="BW21" s="180"/>
      <c r="BX21" s="180"/>
      <c r="BY21" s="180"/>
      <c r="BZ21" s="180"/>
      <c r="CA21" s="180"/>
      <c r="CB21" s="180"/>
      <c r="CC21" s="180"/>
      <c r="CD21" s="180"/>
      <c r="CE21" s="180"/>
      <c r="CF21" s="180"/>
      <c r="CG21" s="180"/>
      <c r="CH21" s="180"/>
      <c r="CI21" s="180"/>
      <c r="CJ21" s="180"/>
      <c r="CK21" s="180"/>
      <c r="CL21" s="180"/>
      <c r="CM21" s="180"/>
      <c r="CN21" s="180"/>
      <c r="CO21" s="180"/>
      <c r="CP21" s="180"/>
      <c r="CQ21" s="180"/>
      <c r="CR21" s="180"/>
      <c r="CS21" s="180"/>
      <c r="CT21" s="180"/>
      <c r="CU21" s="180"/>
    </row>
    <row r="22" spans="1:99" x14ac:dyDescent="0.3">
      <c r="A22" s="155">
        <v>53</v>
      </c>
      <c r="B22" s="180" t="s">
        <v>93</v>
      </c>
      <c r="C22" s="180"/>
      <c r="D22" s="180">
        <v>0</v>
      </c>
      <c r="E22" s="180">
        <v>0</v>
      </c>
      <c r="F22" s="180"/>
      <c r="G22" s="180"/>
      <c r="H22" s="180">
        <v>0</v>
      </c>
      <c r="I22" s="180">
        <v>0</v>
      </c>
      <c r="J22" s="180"/>
      <c r="K22" s="180">
        <v>0</v>
      </c>
      <c r="L22" s="180">
        <v>-264270</v>
      </c>
      <c r="M22" s="180">
        <v>0</v>
      </c>
      <c r="N22" s="180">
        <v>0</v>
      </c>
      <c r="O22" s="180">
        <v>0</v>
      </c>
      <c r="P22" s="180"/>
      <c r="Q22" s="180">
        <v>0</v>
      </c>
      <c r="R22" s="180">
        <v>0</v>
      </c>
      <c r="S22" s="180">
        <v>0</v>
      </c>
      <c r="T22" s="180">
        <v>0</v>
      </c>
      <c r="U22" s="180"/>
      <c r="V22" s="180"/>
      <c r="W22" s="180"/>
      <c r="X22" s="180">
        <v>0</v>
      </c>
      <c r="Y22" s="180">
        <v>0</v>
      </c>
      <c r="Z22" s="180">
        <v>1703873</v>
      </c>
      <c r="AA22" s="180">
        <v>0</v>
      </c>
      <c r="AB22" s="180">
        <v>0</v>
      </c>
      <c r="AC22" s="180">
        <v>0</v>
      </c>
      <c r="AD22" s="180">
        <v>0</v>
      </c>
      <c r="AE22" s="180">
        <v>0</v>
      </c>
      <c r="AF22" s="180">
        <v>0</v>
      </c>
      <c r="AG22" s="180">
        <v>0</v>
      </c>
      <c r="AH22" s="180">
        <v>0</v>
      </c>
      <c r="AI22" s="180">
        <v>0</v>
      </c>
      <c r="AJ22" s="180">
        <v>0</v>
      </c>
      <c r="AK22" s="180">
        <v>0</v>
      </c>
      <c r="AL22" s="180">
        <v>0</v>
      </c>
      <c r="AM22" s="180">
        <v>0</v>
      </c>
      <c r="AN22" s="180">
        <v>0</v>
      </c>
      <c r="AO22" s="180">
        <v>0</v>
      </c>
      <c r="AP22" s="180">
        <v>0</v>
      </c>
      <c r="AQ22" s="180">
        <v>0</v>
      </c>
      <c r="AR22" s="180">
        <v>0</v>
      </c>
      <c r="AS22" s="180">
        <v>0</v>
      </c>
      <c r="AT22" s="180">
        <v>0</v>
      </c>
      <c r="AU22" s="180">
        <v>0</v>
      </c>
      <c r="AV22" s="180">
        <v>470347</v>
      </c>
      <c r="AW22" s="180">
        <v>0</v>
      </c>
      <c r="AX22" s="180">
        <v>0</v>
      </c>
      <c r="AY22" s="180">
        <v>0</v>
      </c>
      <c r="AZ22" s="180">
        <v>840181</v>
      </c>
      <c r="BA22" s="180">
        <v>0</v>
      </c>
      <c r="BB22" s="180">
        <v>0</v>
      </c>
      <c r="BC22" s="180">
        <v>0</v>
      </c>
      <c r="BD22" s="180">
        <v>0</v>
      </c>
      <c r="BE22" s="180">
        <v>-96102</v>
      </c>
      <c r="BF22" s="180">
        <v>2437664</v>
      </c>
      <c r="BG22" s="180"/>
      <c r="BH22" s="180">
        <v>0</v>
      </c>
      <c r="BI22" s="180">
        <v>0</v>
      </c>
      <c r="BJ22" s="180">
        <v>822190</v>
      </c>
      <c r="BK22" s="180">
        <v>0</v>
      </c>
      <c r="BL22" s="180">
        <v>0</v>
      </c>
      <c r="BM22" s="180">
        <v>0</v>
      </c>
      <c r="BN22" s="180">
        <v>660295</v>
      </c>
      <c r="BO22" s="180">
        <v>0</v>
      </c>
      <c r="BP22" s="180"/>
      <c r="BQ22" s="180">
        <v>0</v>
      </c>
      <c r="BR22" s="180"/>
      <c r="BS22" s="180">
        <v>0</v>
      </c>
      <c r="BT22" s="180">
        <v>0</v>
      </c>
      <c r="BU22" s="180"/>
      <c r="BV22" s="180">
        <v>0</v>
      </c>
      <c r="BW22" s="180"/>
      <c r="BX22" s="180"/>
      <c r="BY22" s="180"/>
      <c r="BZ22" s="180"/>
      <c r="CA22" s="180"/>
      <c r="CB22" s="180"/>
      <c r="CC22" s="180"/>
      <c r="CD22" s="180"/>
      <c r="CE22" s="180"/>
      <c r="CF22" s="180"/>
      <c r="CG22" s="180"/>
      <c r="CH22" s="180"/>
      <c r="CI22" s="180"/>
      <c r="CJ22" s="180"/>
      <c r="CK22" s="180"/>
      <c r="CL22" s="180"/>
      <c r="CM22" s="180"/>
      <c r="CN22" s="180"/>
      <c r="CO22" s="180"/>
      <c r="CP22" s="180"/>
      <c r="CQ22" s="180"/>
      <c r="CR22" s="180"/>
      <c r="CS22" s="180"/>
      <c r="CT22" s="180"/>
      <c r="CU22" s="180"/>
    </row>
    <row r="23" spans="1:99" x14ac:dyDescent="0.3">
      <c r="A23" s="155">
        <v>55</v>
      </c>
      <c r="B23" s="180" t="s">
        <v>240</v>
      </c>
      <c r="C23" s="180"/>
      <c r="D23" s="180">
        <v>0</v>
      </c>
      <c r="E23" s="180">
        <v>0</v>
      </c>
      <c r="F23" s="180"/>
      <c r="G23" s="180"/>
      <c r="H23" s="180">
        <v>0</v>
      </c>
      <c r="I23" s="180">
        <v>0</v>
      </c>
      <c r="J23" s="180"/>
      <c r="K23" s="180">
        <v>0</v>
      </c>
      <c r="L23" s="180">
        <v>308150</v>
      </c>
      <c r="M23" s="180">
        <v>0</v>
      </c>
      <c r="N23" s="180">
        <v>0</v>
      </c>
      <c r="O23" s="180">
        <v>0</v>
      </c>
      <c r="P23" s="180"/>
      <c r="Q23" s="180">
        <v>0</v>
      </c>
      <c r="R23" s="180">
        <v>0</v>
      </c>
      <c r="S23" s="180">
        <v>0</v>
      </c>
      <c r="T23" s="180">
        <v>0</v>
      </c>
      <c r="U23" s="180"/>
      <c r="V23" s="180"/>
      <c r="W23" s="180"/>
      <c r="X23" s="180">
        <v>0</v>
      </c>
      <c r="Y23" s="180">
        <v>0</v>
      </c>
      <c r="Z23" s="180">
        <v>5655630</v>
      </c>
      <c r="AA23" s="180">
        <v>0</v>
      </c>
      <c r="AB23" s="180">
        <v>0</v>
      </c>
      <c r="AC23" s="180">
        <v>0</v>
      </c>
      <c r="AD23" s="180">
        <v>0</v>
      </c>
      <c r="AE23" s="180">
        <v>0</v>
      </c>
      <c r="AF23" s="180">
        <v>0</v>
      </c>
      <c r="AG23" s="180">
        <v>0</v>
      </c>
      <c r="AH23" s="180">
        <v>0</v>
      </c>
      <c r="AI23" s="180">
        <v>0</v>
      </c>
      <c r="AJ23" s="180">
        <v>0</v>
      </c>
      <c r="AK23" s="180">
        <v>0</v>
      </c>
      <c r="AL23" s="180">
        <v>0</v>
      </c>
      <c r="AM23" s="180">
        <v>0</v>
      </c>
      <c r="AN23" s="180">
        <v>0</v>
      </c>
      <c r="AO23" s="180">
        <v>0</v>
      </c>
      <c r="AP23" s="180">
        <v>0</v>
      </c>
      <c r="AQ23" s="180">
        <v>0</v>
      </c>
      <c r="AR23" s="180">
        <v>0</v>
      </c>
      <c r="AS23" s="180">
        <v>0</v>
      </c>
      <c r="AT23" s="180">
        <v>0</v>
      </c>
      <c r="AU23" s="180">
        <v>0</v>
      </c>
      <c r="AV23" s="180">
        <v>106237</v>
      </c>
      <c r="AW23" s="180">
        <v>0</v>
      </c>
      <c r="AX23" s="180">
        <v>0</v>
      </c>
      <c r="AY23" s="180">
        <v>0</v>
      </c>
      <c r="AZ23" s="180">
        <v>734520</v>
      </c>
      <c r="BA23" s="180">
        <v>0</v>
      </c>
      <c r="BB23" s="180">
        <v>0</v>
      </c>
      <c r="BC23" s="180">
        <v>0</v>
      </c>
      <c r="BD23" s="180">
        <v>0</v>
      </c>
      <c r="BE23" s="180">
        <v>177089</v>
      </c>
      <c r="BF23" s="180">
        <v>4249944</v>
      </c>
      <c r="BG23" s="180"/>
      <c r="BH23" s="180">
        <v>0</v>
      </c>
      <c r="BI23" s="180">
        <v>0</v>
      </c>
      <c r="BJ23" s="180">
        <v>1024807</v>
      </c>
      <c r="BK23" s="180">
        <v>0</v>
      </c>
      <c r="BL23" s="180">
        <v>0</v>
      </c>
      <c r="BM23" s="180">
        <v>0</v>
      </c>
      <c r="BN23" s="180">
        <v>1210556</v>
      </c>
      <c r="BO23" s="180">
        <v>0</v>
      </c>
      <c r="BP23" s="180"/>
      <c r="BQ23" s="180">
        <v>0</v>
      </c>
      <c r="BR23" s="180"/>
      <c r="BS23" s="180">
        <v>0</v>
      </c>
      <c r="BT23" s="180">
        <v>0</v>
      </c>
      <c r="BU23" s="180"/>
      <c r="BV23" s="180">
        <v>0</v>
      </c>
      <c r="BW23" s="180"/>
      <c r="BX23" s="180"/>
      <c r="BY23" s="180"/>
      <c r="BZ23" s="180"/>
      <c r="CA23" s="180"/>
      <c r="CB23" s="180"/>
      <c r="CC23" s="180"/>
      <c r="CD23" s="180"/>
      <c r="CE23" s="180"/>
      <c r="CF23" s="180"/>
      <c r="CG23" s="180"/>
      <c r="CH23" s="180"/>
      <c r="CI23" s="180"/>
      <c r="CJ23" s="180"/>
      <c r="CK23" s="180"/>
      <c r="CL23" s="180"/>
      <c r="CM23" s="180"/>
      <c r="CN23" s="180"/>
      <c r="CO23" s="180"/>
      <c r="CP23" s="180"/>
      <c r="CQ23" s="180"/>
      <c r="CR23" s="180"/>
      <c r="CS23" s="180"/>
      <c r="CT23" s="180"/>
      <c r="CU23" s="180"/>
    </row>
    <row r="24" spans="1:99" x14ac:dyDescent="0.3">
      <c r="A24" s="155">
        <v>61</v>
      </c>
      <c r="B24" s="180" t="s">
        <v>254</v>
      </c>
      <c r="C24" s="180"/>
      <c r="D24" s="180">
        <v>98.53</v>
      </c>
      <c r="E24" s="180">
        <v>99.83</v>
      </c>
      <c r="F24" s="180"/>
      <c r="G24" s="180"/>
      <c r="H24" s="180">
        <v>99.08</v>
      </c>
      <c r="I24" s="180">
        <v>95.58</v>
      </c>
      <c r="J24" s="180"/>
      <c r="K24" s="180">
        <v>0</v>
      </c>
      <c r="L24" s="180">
        <v>94.08</v>
      </c>
      <c r="M24" s="180">
        <v>98.82</v>
      </c>
      <c r="N24" s="180">
        <v>94.93</v>
      </c>
      <c r="O24" s="180">
        <v>96.93</v>
      </c>
      <c r="P24" s="180"/>
      <c r="Q24" s="180">
        <v>99.13</v>
      </c>
      <c r="R24" s="180">
        <v>98.76</v>
      </c>
      <c r="S24" s="180">
        <v>99.22</v>
      </c>
      <c r="T24" s="180">
        <v>98.91</v>
      </c>
      <c r="U24" s="180"/>
      <c r="V24" s="180"/>
      <c r="W24" s="180"/>
      <c r="X24" s="180">
        <v>98.92</v>
      </c>
      <c r="Y24" s="180">
        <v>98.71</v>
      </c>
      <c r="Z24" s="180">
        <v>95.67</v>
      </c>
      <c r="AA24" s="180">
        <v>99.87</v>
      </c>
      <c r="AB24" s="180">
        <v>61.01</v>
      </c>
      <c r="AC24" s="180">
        <v>91.75</v>
      </c>
      <c r="AD24" s="180">
        <v>97.07</v>
      </c>
      <c r="AE24" s="180">
        <v>95.16</v>
      </c>
      <c r="AF24" s="180">
        <v>99.58</v>
      </c>
      <c r="AG24" s="180">
        <v>94.3</v>
      </c>
      <c r="AH24" s="180">
        <v>99.16</v>
      </c>
      <c r="AI24" s="180">
        <v>95</v>
      </c>
      <c r="AJ24" s="180">
        <v>99.38</v>
      </c>
      <c r="AK24" s="180">
        <v>98.85</v>
      </c>
      <c r="AL24" s="180">
        <v>98.14</v>
      </c>
      <c r="AM24" s="180">
        <v>99.03</v>
      </c>
      <c r="AN24" s="180">
        <v>99.54</v>
      </c>
      <c r="AO24" s="180">
        <v>98.49</v>
      </c>
      <c r="AP24" s="180">
        <v>99.08</v>
      </c>
      <c r="AQ24" s="180">
        <v>97.11</v>
      </c>
      <c r="AR24" s="180">
        <v>95.1</v>
      </c>
      <c r="AS24" s="180">
        <v>99.13</v>
      </c>
      <c r="AT24" s="180">
        <v>97.96</v>
      </c>
      <c r="AU24" s="180">
        <v>97.7</v>
      </c>
      <c r="AV24" s="180">
        <v>95.97</v>
      </c>
      <c r="AW24" s="180">
        <v>90.21</v>
      </c>
      <c r="AX24" s="180">
        <v>99.67</v>
      </c>
      <c r="AY24" s="180">
        <v>96.19</v>
      </c>
      <c r="AZ24" s="180">
        <v>99.85</v>
      </c>
      <c r="BA24" s="180">
        <v>99.6</v>
      </c>
      <c r="BB24" s="180">
        <v>94.85</v>
      </c>
      <c r="BC24" s="180">
        <v>98.79</v>
      </c>
      <c r="BD24" s="180">
        <v>99.16</v>
      </c>
      <c r="BE24" s="180">
        <v>96.58</v>
      </c>
      <c r="BF24" s="180">
        <v>98.83</v>
      </c>
      <c r="BG24" s="180"/>
      <c r="BH24" s="180">
        <v>99.1</v>
      </c>
      <c r="BI24" s="180">
        <v>99.67</v>
      </c>
      <c r="BJ24" s="180">
        <v>99.88</v>
      </c>
      <c r="BK24" s="180">
        <v>99.51</v>
      </c>
      <c r="BL24" s="180">
        <v>99.84</v>
      </c>
      <c r="BM24" s="180">
        <v>99.85</v>
      </c>
      <c r="BN24" s="180">
        <v>99.24</v>
      </c>
      <c r="BO24" s="180">
        <v>98.98</v>
      </c>
      <c r="BP24" s="180"/>
      <c r="BQ24" s="180">
        <v>97.64</v>
      </c>
      <c r="BR24" s="180"/>
      <c r="BS24" s="180">
        <v>97.58</v>
      </c>
      <c r="BT24" s="180">
        <v>94.48</v>
      </c>
      <c r="BU24" s="180"/>
      <c r="BV24" s="180">
        <v>97.78</v>
      </c>
      <c r="BW24" s="180"/>
      <c r="BX24" s="180"/>
      <c r="BY24" s="180"/>
      <c r="BZ24" s="180"/>
      <c r="CA24" s="180"/>
      <c r="CB24" s="180"/>
      <c r="CC24" s="180"/>
      <c r="CD24" s="180"/>
      <c r="CE24" s="180"/>
      <c r="CF24" s="180"/>
      <c r="CG24" s="180"/>
      <c r="CH24" s="180"/>
      <c r="CI24" s="180"/>
      <c r="CJ24" s="180"/>
      <c r="CK24" s="180"/>
      <c r="CL24" s="180"/>
      <c r="CM24" s="180"/>
      <c r="CN24" s="180"/>
      <c r="CO24" s="180"/>
      <c r="CP24" s="180"/>
      <c r="CQ24" s="180"/>
      <c r="CR24" s="180"/>
      <c r="CS24" s="180"/>
      <c r="CT24" s="180"/>
      <c r="CU24" s="180"/>
    </row>
    <row r="25" spans="1:99" x14ac:dyDescent="0.3">
      <c r="A25" s="155">
        <v>80</v>
      </c>
      <c r="B25" s="180" t="s">
        <v>209</v>
      </c>
      <c r="C25" s="180"/>
      <c r="D25" s="180">
        <v>6580904</v>
      </c>
      <c r="E25" s="180">
        <v>495605452</v>
      </c>
      <c r="F25" s="180"/>
      <c r="G25" s="180"/>
      <c r="H25" s="180">
        <v>1027109</v>
      </c>
      <c r="I25" s="180">
        <v>0</v>
      </c>
      <c r="J25" s="180"/>
      <c r="K25" s="180">
        <v>0</v>
      </c>
      <c r="L25" s="180">
        <v>284394</v>
      </c>
      <c r="M25" s="180">
        <v>6937486</v>
      </c>
      <c r="N25" s="180">
        <v>0</v>
      </c>
      <c r="O25" s="180">
        <v>528665</v>
      </c>
      <c r="P25" s="180"/>
      <c r="Q25" s="180">
        <v>0</v>
      </c>
      <c r="R25" s="180">
        <v>0</v>
      </c>
      <c r="S25" s="180">
        <v>1834448</v>
      </c>
      <c r="T25" s="180">
        <v>0</v>
      </c>
      <c r="U25" s="180"/>
      <c r="V25" s="180"/>
      <c r="W25" s="180"/>
      <c r="X25" s="180">
        <v>3773158</v>
      </c>
      <c r="Y25" s="180">
        <v>0</v>
      </c>
      <c r="Z25" s="180">
        <v>15281258</v>
      </c>
      <c r="AA25" s="180">
        <v>0</v>
      </c>
      <c r="AB25" s="180">
        <v>0</v>
      </c>
      <c r="AC25" s="180">
        <v>108601</v>
      </c>
      <c r="AD25" s="180">
        <v>687543</v>
      </c>
      <c r="AE25" s="180">
        <v>441666</v>
      </c>
      <c r="AF25" s="180">
        <v>341396</v>
      </c>
      <c r="AG25" s="180">
        <v>90996</v>
      </c>
      <c r="AH25" s="180">
        <v>2509388</v>
      </c>
      <c r="AI25" s="180">
        <v>0</v>
      </c>
      <c r="AJ25" s="180">
        <v>0</v>
      </c>
      <c r="AK25" s="180">
        <v>0</v>
      </c>
      <c r="AL25" s="180">
        <v>969961</v>
      </c>
      <c r="AM25" s="180">
        <v>880868</v>
      </c>
      <c r="AN25" s="180">
        <v>371730</v>
      </c>
      <c r="AO25" s="180">
        <v>35177700</v>
      </c>
      <c r="AP25" s="180">
        <v>573062</v>
      </c>
      <c r="AQ25" s="180">
        <v>0</v>
      </c>
      <c r="AR25" s="180">
        <v>70201</v>
      </c>
      <c r="AS25" s="180">
        <v>14910027</v>
      </c>
      <c r="AT25" s="180">
        <v>697869</v>
      </c>
      <c r="AU25" s="180">
        <v>4813925</v>
      </c>
      <c r="AV25" s="180">
        <v>595899</v>
      </c>
      <c r="AW25" s="180">
        <v>792661</v>
      </c>
      <c r="AX25" s="180">
        <v>0</v>
      </c>
      <c r="AY25" s="180">
        <v>15684</v>
      </c>
      <c r="AZ25" s="180">
        <v>6000655</v>
      </c>
      <c r="BA25" s="180">
        <v>307999</v>
      </c>
      <c r="BB25" s="180">
        <v>716063</v>
      </c>
      <c r="BC25" s="180">
        <v>568246</v>
      </c>
      <c r="BD25" s="180">
        <v>6853897</v>
      </c>
      <c r="BE25" s="180">
        <v>267113</v>
      </c>
      <c r="BF25" s="180">
        <v>11909214</v>
      </c>
      <c r="BG25" s="180"/>
      <c r="BH25" s="180">
        <v>0</v>
      </c>
      <c r="BI25" s="180">
        <v>879953</v>
      </c>
      <c r="BJ25" s="180">
        <v>14177306</v>
      </c>
      <c r="BK25" s="180">
        <v>796874</v>
      </c>
      <c r="BL25" s="180">
        <v>16365072</v>
      </c>
      <c r="BM25" s="180">
        <v>0</v>
      </c>
      <c r="BN25" s="180">
        <v>4311063</v>
      </c>
      <c r="BO25" s="180">
        <v>1289439</v>
      </c>
      <c r="BP25" s="180"/>
      <c r="BQ25" s="180">
        <v>0</v>
      </c>
      <c r="BR25" s="180"/>
      <c r="BS25" s="180">
        <v>767563</v>
      </c>
      <c r="BT25" s="180">
        <v>556544</v>
      </c>
      <c r="BU25" s="180"/>
      <c r="BV25" s="180">
        <v>201157</v>
      </c>
      <c r="BW25" s="180"/>
      <c r="BX25" s="180"/>
      <c r="BY25" s="180"/>
      <c r="BZ25" s="180"/>
      <c r="CA25" s="180"/>
      <c r="CB25" s="180"/>
      <c r="CC25" s="180"/>
      <c r="CD25" s="180"/>
      <c r="CE25" s="180"/>
      <c r="CF25" s="180"/>
      <c r="CG25" s="180"/>
      <c r="CH25" s="180"/>
      <c r="CI25" s="180"/>
      <c r="CJ25" s="180"/>
      <c r="CK25" s="180"/>
      <c r="CL25" s="180"/>
      <c r="CM25" s="180"/>
      <c r="CN25" s="180"/>
      <c r="CO25" s="180"/>
      <c r="CP25" s="180"/>
      <c r="CQ25" s="180"/>
      <c r="CR25" s="180"/>
      <c r="CS25" s="180"/>
      <c r="CT25" s="180"/>
      <c r="CU25" s="180"/>
    </row>
    <row r="26" spans="1:99" x14ac:dyDescent="0.3">
      <c r="A26" s="155">
        <v>81</v>
      </c>
      <c r="B26" s="180" t="s">
        <v>210</v>
      </c>
      <c r="C26" s="180"/>
      <c r="D26" s="180">
        <v>459440</v>
      </c>
      <c r="E26" s="180">
        <v>25972503</v>
      </c>
      <c r="F26" s="180"/>
      <c r="G26" s="180"/>
      <c r="H26" s="180">
        <v>375676</v>
      </c>
      <c r="I26" s="180">
        <v>0</v>
      </c>
      <c r="J26" s="180"/>
      <c r="K26" s="180">
        <v>0</v>
      </c>
      <c r="L26" s="180">
        <v>320810</v>
      </c>
      <c r="M26" s="180">
        <v>2907663</v>
      </c>
      <c r="N26" s="180">
        <v>0</v>
      </c>
      <c r="O26" s="180">
        <v>34216</v>
      </c>
      <c r="P26" s="180"/>
      <c r="Q26" s="180">
        <v>0</v>
      </c>
      <c r="R26" s="180">
        <v>0</v>
      </c>
      <c r="S26" s="180">
        <v>220569</v>
      </c>
      <c r="T26" s="180">
        <v>0</v>
      </c>
      <c r="U26" s="180"/>
      <c r="V26" s="180"/>
      <c r="W26" s="180"/>
      <c r="X26" s="180">
        <v>700430</v>
      </c>
      <c r="Y26" s="180">
        <v>0</v>
      </c>
      <c r="Z26" s="180">
        <v>3030984</v>
      </c>
      <c r="AA26" s="180">
        <v>0</v>
      </c>
      <c r="AB26" s="180">
        <v>54922</v>
      </c>
      <c r="AC26" s="180">
        <v>25638</v>
      </c>
      <c r="AD26" s="180">
        <v>77846</v>
      </c>
      <c r="AE26" s="180">
        <v>93462</v>
      </c>
      <c r="AF26" s="180">
        <v>60196</v>
      </c>
      <c r="AG26" s="180">
        <v>99593</v>
      </c>
      <c r="AH26" s="180">
        <v>1054592</v>
      </c>
      <c r="AI26" s="180">
        <v>0</v>
      </c>
      <c r="AJ26" s="180">
        <v>0</v>
      </c>
      <c r="AK26" s="180">
        <v>0</v>
      </c>
      <c r="AL26" s="180">
        <v>80676</v>
      </c>
      <c r="AM26" s="180">
        <v>247271</v>
      </c>
      <c r="AN26" s="180">
        <v>39824</v>
      </c>
      <c r="AO26" s="180">
        <v>4277841</v>
      </c>
      <c r="AP26" s="180">
        <v>113904</v>
      </c>
      <c r="AQ26" s="180">
        <v>0</v>
      </c>
      <c r="AR26" s="180">
        <v>3705</v>
      </c>
      <c r="AS26" s="180">
        <v>3618742</v>
      </c>
      <c r="AT26" s="180">
        <v>17236</v>
      </c>
      <c r="AU26" s="180">
        <v>116301</v>
      </c>
      <c r="AV26" s="180">
        <v>171870</v>
      </c>
      <c r="AW26" s="180">
        <v>87791</v>
      </c>
      <c r="AX26" s="180">
        <v>0</v>
      </c>
      <c r="AY26" s="180">
        <v>0</v>
      </c>
      <c r="AZ26" s="180">
        <v>862767</v>
      </c>
      <c r="BA26" s="180">
        <v>22696</v>
      </c>
      <c r="BB26" s="180">
        <v>70201</v>
      </c>
      <c r="BC26" s="180">
        <v>13823</v>
      </c>
      <c r="BD26" s="180">
        <v>657244</v>
      </c>
      <c r="BE26" s="180">
        <v>246211</v>
      </c>
      <c r="BF26" s="180">
        <v>1827113</v>
      </c>
      <c r="BG26" s="180"/>
      <c r="BH26" s="180">
        <v>0</v>
      </c>
      <c r="BI26" s="180">
        <v>19809</v>
      </c>
      <c r="BJ26" s="180">
        <v>1183652</v>
      </c>
      <c r="BK26" s="180">
        <v>216164</v>
      </c>
      <c r="BL26" s="180">
        <v>1639238</v>
      </c>
      <c r="BM26" s="180">
        <v>0</v>
      </c>
      <c r="BN26" s="180">
        <v>552830</v>
      </c>
      <c r="BO26" s="180">
        <v>160529</v>
      </c>
      <c r="BP26" s="180"/>
      <c r="BQ26" s="180">
        <v>0</v>
      </c>
      <c r="BR26" s="180"/>
      <c r="BS26" s="180">
        <v>74597</v>
      </c>
      <c r="BT26" s="180">
        <v>77189</v>
      </c>
      <c r="BU26" s="180"/>
      <c r="BV26" s="180">
        <v>178561</v>
      </c>
      <c r="BW26" s="180"/>
      <c r="BX26" s="180"/>
      <c r="BY26" s="180"/>
      <c r="BZ26" s="180"/>
      <c r="CA26" s="180"/>
      <c r="CB26" s="180"/>
      <c r="CC26" s="180"/>
      <c r="CD26" s="180"/>
      <c r="CE26" s="180"/>
      <c r="CF26" s="180"/>
      <c r="CG26" s="180"/>
      <c r="CH26" s="180"/>
      <c r="CI26" s="180"/>
      <c r="CJ26" s="180"/>
      <c r="CK26" s="180"/>
      <c r="CL26" s="180"/>
      <c r="CM26" s="180"/>
      <c r="CN26" s="180"/>
      <c r="CO26" s="180"/>
      <c r="CP26" s="180"/>
      <c r="CQ26" s="180"/>
      <c r="CR26" s="180"/>
      <c r="CS26" s="180"/>
      <c r="CT26" s="180"/>
      <c r="CU26" s="180"/>
    </row>
    <row r="27" spans="1:99" s="562" customFormat="1" x14ac:dyDescent="0.3">
      <c r="A27" s="561">
        <v>82</v>
      </c>
      <c r="B27" s="562" t="s">
        <v>309</v>
      </c>
      <c r="D27" s="562">
        <v>1187975</v>
      </c>
      <c r="E27" s="562">
        <v>861462012</v>
      </c>
      <c r="H27" s="562">
        <v>0</v>
      </c>
      <c r="I27" s="562">
        <v>0</v>
      </c>
      <c r="K27" s="562">
        <v>0</v>
      </c>
      <c r="L27" s="562">
        <v>4075519</v>
      </c>
      <c r="M27" s="562">
        <v>17831388</v>
      </c>
      <c r="N27" s="562">
        <v>0</v>
      </c>
      <c r="O27" s="562">
        <v>172287</v>
      </c>
      <c r="Q27" s="562">
        <v>0</v>
      </c>
      <c r="R27" s="562">
        <v>0</v>
      </c>
      <c r="S27" s="562">
        <v>1228569</v>
      </c>
      <c r="T27" s="562">
        <v>0</v>
      </c>
      <c r="X27" s="562">
        <v>0</v>
      </c>
      <c r="Y27" s="562">
        <v>0</v>
      </c>
      <c r="Z27" s="562">
        <v>6170768</v>
      </c>
      <c r="AA27" s="562">
        <v>0</v>
      </c>
      <c r="AB27" s="562">
        <v>314415</v>
      </c>
      <c r="AC27" s="562">
        <v>832505</v>
      </c>
      <c r="AD27" s="562">
        <v>127453</v>
      </c>
      <c r="AE27" s="562">
        <v>0</v>
      </c>
      <c r="AF27" s="562">
        <v>100000</v>
      </c>
      <c r="AG27" s="562">
        <v>599100</v>
      </c>
      <c r="AH27" s="562">
        <v>0</v>
      </c>
      <c r="AI27" s="562">
        <v>0</v>
      </c>
      <c r="AJ27" s="562">
        <v>0</v>
      </c>
      <c r="AK27" s="562">
        <v>0</v>
      </c>
      <c r="AL27" s="562">
        <v>1401653</v>
      </c>
      <c r="AM27" s="562">
        <v>1612572</v>
      </c>
      <c r="AN27" s="562">
        <v>0</v>
      </c>
      <c r="AO27" s="562">
        <v>46801597</v>
      </c>
      <c r="AP27" s="562">
        <v>2145351</v>
      </c>
      <c r="AQ27" s="562">
        <v>0</v>
      </c>
      <c r="AR27" s="562">
        <v>0</v>
      </c>
      <c r="AS27" s="562">
        <v>53870583</v>
      </c>
      <c r="AT27" s="562">
        <v>1418521</v>
      </c>
      <c r="AU27" s="562">
        <v>0</v>
      </c>
      <c r="AV27" s="562">
        <v>183000</v>
      </c>
      <c r="AW27" s="562">
        <v>0</v>
      </c>
      <c r="AX27" s="562">
        <v>0</v>
      </c>
      <c r="AY27" s="562">
        <v>0</v>
      </c>
      <c r="AZ27" s="562">
        <v>2392195</v>
      </c>
      <c r="BA27" s="562">
        <v>0</v>
      </c>
      <c r="BB27" s="562">
        <v>0</v>
      </c>
      <c r="BC27" s="562">
        <v>0</v>
      </c>
      <c r="BD27" s="562">
        <v>0</v>
      </c>
      <c r="BE27" s="562">
        <v>2555462</v>
      </c>
      <c r="BF27" s="562">
        <v>58676395</v>
      </c>
      <c r="BH27" s="562">
        <v>0</v>
      </c>
      <c r="BI27" s="562">
        <v>0</v>
      </c>
      <c r="BJ27" s="562">
        <v>10777066</v>
      </c>
      <c r="BK27" s="562">
        <v>782936</v>
      </c>
      <c r="BL27" s="562">
        <v>201081</v>
      </c>
      <c r="BM27" s="562">
        <v>0</v>
      </c>
      <c r="BN27" s="562">
        <v>721035</v>
      </c>
      <c r="BO27" s="562">
        <v>3320109</v>
      </c>
      <c r="BQ27" s="562">
        <v>0</v>
      </c>
      <c r="BS27" s="562">
        <v>7138205</v>
      </c>
      <c r="BT27" s="562">
        <v>694151</v>
      </c>
      <c r="BV27" s="562">
        <v>915316</v>
      </c>
    </row>
    <row r="28" spans="1:99" s="562" customFormat="1" x14ac:dyDescent="0.3">
      <c r="A28" s="561">
        <v>83</v>
      </c>
      <c r="B28" s="562" t="s">
        <v>94</v>
      </c>
      <c r="D28" s="562">
        <v>14766135</v>
      </c>
      <c r="E28" s="562">
        <v>1499468031</v>
      </c>
      <c r="H28" s="562">
        <v>5885123</v>
      </c>
      <c r="I28" s="562">
        <v>0</v>
      </c>
      <c r="K28" s="562">
        <v>0</v>
      </c>
      <c r="L28" s="562">
        <v>14858048</v>
      </c>
      <c r="M28" s="562">
        <v>45203796</v>
      </c>
      <c r="N28" s="562">
        <v>133712</v>
      </c>
      <c r="O28" s="562">
        <v>5238161</v>
      </c>
      <c r="Q28" s="562">
        <v>0</v>
      </c>
      <c r="R28" s="562">
        <v>0</v>
      </c>
      <c r="S28" s="562">
        <v>2477359</v>
      </c>
      <c r="T28" s="562">
        <v>0</v>
      </c>
      <c r="X28" s="562">
        <v>15915901</v>
      </c>
      <c r="Y28" s="562">
        <v>0</v>
      </c>
      <c r="Z28" s="562">
        <v>87046894</v>
      </c>
      <c r="AA28" s="562">
        <v>0</v>
      </c>
      <c r="AB28" s="562">
        <v>1221205</v>
      </c>
      <c r="AC28" s="562">
        <v>5480449</v>
      </c>
      <c r="AD28" s="562">
        <v>7896503</v>
      </c>
      <c r="AE28" s="562">
        <v>2831006</v>
      </c>
      <c r="AF28" s="562">
        <v>5017412</v>
      </c>
      <c r="AG28" s="562">
        <v>3070985</v>
      </c>
      <c r="AH28" s="562">
        <v>18644586</v>
      </c>
      <c r="AI28" s="562">
        <v>0</v>
      </c>
      <c r="AJ28" s="562">
        <v>0</v>
      </c>
      <c r="AK28" s="562">
        <v>0</v>
      </c>
      <c r="AL28" s="562">
        <v>2793746</v>
      </c>
      <c r="AM28" s="562">
        <v>7900862</v>
      </c>
      <c r="AN28" s="562">
        <v>1546704</v>
      </c>
      <c r="AO28" s="562">
        <v>131422642</v>
      </c>
      <c r="AP28" s="562">
        <v>3525915</v>
      </c>
      <c r="AQ28" s="562">
        <v>0</v>
      </c>
      <c r="AR28" s="562">
        <v>1079632</v>
      </c>
      <c r="AS28" s="562">
        <v>130448286</v>
      </c>
      <c r="AT28" s="562">
        <v>4961245</v>
      </c>
      <c r="AU28" s="562">
        <v>10258310</v>
      </c>
      <c r="AV28" s="562">
        <v>6744922</v>
      </c>
      <c r="AW28" s="562">
        <v>7350328</v>
      </c>
      <c r="AX28" s="562">
        <v>0</v>
      </c>
      <c r="AY28" s="562">
        <v>15684</v>
      </c>
      <c r="AZ28" s="562">
        <v>12505042</v>
      </c>
      <c r="BA28" s="562">
        <v>2368692</v>
      </c>
      <c r="BB28" s="562">
        <v>3202014</v>
      </c>
      <c r="BC28" s="562">
        <v>1262966</v>
      </c>
      <c r="BD28" s="562">
        <v>18223830</v>
      </c>
      <c r="BE28" s="562">
        <v>6584610</v>
      </c>
      <c r="BF28" s="562">
        <v>79602149</v>
      </c>
      <c r="BH28" s="562">
        <v>0</v>
      </c>
      <c r="BI28" s="562">
        <v>2354456</v>
      </c>
      <c r="BJ28" s="562">
        <v>28103059</v>
      </c>
      <c r="BK28" s="562">
        <v>6181557</v>
      </c>
      <c r="BL28" s="562">
        <v>59608690</v>
      </c>
      <c r="BM28" s="562">
        <v>0</v>
      </c>
      <c r="BN28" s="562">
        <v>22331405</v>
      </c>
      <c r="BO28" s="562">
        <v>14210173</v>
      </c>
      <c r="BQ28" s="562">
        <v>0</v>
      </c>
      <c r="BS28" s="562">
        <v>8647276</v>
      </c>
      <c r="BT28" s="562">
        <v>3084227</v>
      </c>
      <c r="BV28" s="562">
        <v>13928413</v>
      </c>
    </row>
    <row r="29" spans="1:99" s="562" customFormat="1" x14ac:dyDescent="0.3">
      <c r="A29" s="561">
        <v>84</v>
      </c>
      <c r="B29" s="562" t="s">
        <v>218</v>
      </c>
      <c r="D29" s="562">
        <v>2536927</v>
      </c>
      <c r="E29" s="562">
        <v>282605040</v>
      </c>
      <c r="H29" s="562">
        <v>1603883</v>
      </c>
      <c r="I29" s="562">
        <v>0</v>
      </c>
      <c r="K29" s="562">
        <v>0</v>
      </c>
      <c r="L29" s="562">
        <v>1408334</v>
      </c>
      <c r="M29" s="562">
        <v>8890495</v>
      </c>
      <c r="N29" s="562">
        <v>0</v>
      </c>
      <c r="O29" s="562">
        <v>328854</v>
      </c>
      <c r="Q29" s="562">
        <v>0</v>
      </c>
      <c r="R29" s="562">
        <v>0</v>
      </c>
      <c r="S29" s="562">
        <v>1146272</v>
      </c>
      <c r="T29" s="562">
        <v>0</v>
      </c>
      <c r="X29" s="562">
        <v>6839043</v>
      </c>
      <c r="Y29" s="562">
        <v>0</v>
      </c>
      <c r="Z29" s="562">
        <v>25099951</v>
      </c>
      <c r="AA29" s="562">
        <v>0</v>
      </c>
      <c r="AB29" s="562">
        <v>173731</v>
      </c>
      <c r="AC29" s="562">
        <v>186403</v>
      </c>
      <c r="AD29" s="562">
        <v>876030</v>
      </c>
      <c r="AE29" s="562">
        <v>644088</v>
      </c>
      <c r="AF29" s="562">
        <v>714418</v>
      </c>
      <c r="AG29" s="562">
        <v>466226</v>
      </c>
      <c r="AH29" s="562">
        <v>5328389</v>
      </c>
      <c r="AI29" s="562">
        <v>0</v>
      </c>
      <c r="AJ29" s="562">
        <v>0</v>
      </c>
      <c r="AK29" s="562">
        <v>0</v>
      </c>
      <c r="AL29" s="562">
        <v>726393</v>
      </c>
      <c r="AM29" s="562">
        <v>1127528</v>
      </c>
      <c r="AN29" s="562">
        <v>604188</v>
      </c>
      <c r="AO29" s="562">
        <v>30655034</v>
      </c>
      <c r="AP29" s="562">
        <v>1218019</v>
      </c>
      <c r="AQ29" s="562">
        <v>0</v>
      </c>
      <c r="AR29" s="562">
        <v>53999</v>
      </c>
      <c r="AS29" s="562">
        <v>24014366</v>
      </c>
      <c r="AT29" s="562">
        <v>281753</v>
      </c>
      <c r="AU29" s="562">
        <v>1104118</v>
      </c>
      <c r="AV29" s="562">
        <v>1604286</v>
      </c>
      <c r="AW29" s="562">
        <v>906607</v>
      </c>
      <c r="AX29" s="562">
        <v>0</v>
      </c>
      <c r="AY29" s="562">
        <v>0</v>
      </c>
      <c r="AZ29" s="562">
        <v>5361952</v>
      </c>
      <c r="BA29" s="562">
        <v>280691</v>
      </c>
      <c r="BB29" s="562">
        <v>530951</v>
      </c>
      <c r="BC29" s="562">
        <v>94081</v>
      </c>
      <c r="BD29" s="562">
        <v>5611868</v>
      </c>
      <c r="BE29" s="562">
        <v>1606427</v>
      </c>
      <c r="BF29" s="562">
        <v>12994139</v>
      </c>
      <c r="BH29" s="562">
        <v>0</v>
      </c>
      <c r="BI29" s="562">
        <v>243291</v>
      </c>
      <c r="BJ29" s="562">
        <v>9981885</v>
      </c>
      <c r="BK29" s="562">
        <v>947041</v>
      </c>
      <c r="BL29" s="562">
        <v>10337646</v>
      </c>
      <c r="BM29" s="562">
        <v>0</v>
      </c>
      <c r="BN29" s="562">
        <v>5512436</v>
      </c>
      <c r="BO29" s="562">
        <v>1573823</v>
      </c>
      <c r="BQ29" s="562">
        <v>0</v>
      </c>
      <c r="BS29" s="562">
        <v>1372281</v>
      </c>
      <c r="BT29" s="562">
        <v>492673</v>
      </c>
      <c r="BV29" s="562">
        <v>2371784</v>
      </c>
    </row>
    <row r="30" spans="1:99" s="562" customFormat="1" ht="13.95" customHeight="1" x14ac:dyDescent="0.3">
      <c r="A30" s="561">
        <v>85</v>
      </c>
      <c r="B30" s="562" t="s">
        <v>220</v>
      </c>
      <c r="D30" s="562">
        <v>2584831</v>
      </c>
      <c r="E30" s="562">
        <v>161445767</v>
      </c>
      <c r="H30" s="562">
        <v>1328268</v>
      </c>
      <c r="I30" s="562">
        <v>0</v>
      </c>
      <c r="K30" s="562">
        <v>0</v>
      </c>
      <c r="L30" s="562">
        <v>1659270</v>
      </c>
      <c r="M30" s="562">
        <v>8736342</v>
      </c>
      <c r="N30" s="562">
        <v>0</v>
      </c>
      <c r="O30" s="562">
        <v>403944</v>
      </c>
      <c r="Q30" s="562">
        <v>0</v>
      </c>
      <c r="R30" s="562">
        <v>0</v>
      </c>
      <c r="S30" s="562">
        <v>921398</v>
      </c>
      <c r="T30" s="562">
        <v>0</v>
      </c>
      <c r="X30" s="562">
        <v>7016320</v>
      </c>
      <c r="Y30" s="562">
        <v>0</v>
      </c>
      <c r="Z30" s="562">
        <v>27505503</v>
      </c>
      <c r="AA30" s="562">
        <v>0</v>
      </c>
      <c r="AB30" s="562">
        <v>276832</v>
      </c>
      <c r="AC30" s="562">
        <v>320738</v>
      </c>
      <c r="AD30" s="562">
        <v>1097585</v>
      </c>
      <c r="AE30" s="562">
        <v>640738</v>
      </c>
      <c r="AF30" s="562">
        <v>658125</v>
      </c>
      <c r="AG30" s="562">
        <v>609089</v>
      </c>
      <c r="AH30" s="562">
        <v>6175666</v>
      </c>
      <c r="AI30" s="562">
        <v>0</v>
      </c>
      <c r="AJ30" s="562">
        <v>0</v>
      </c>
      <c r="AK30" s="562">
        <v>0</v>
      </c>
      <c r="AL30" s="562">
        <v>724592</v>
      </c>
      <c r="AM30" s="562">
        <v>1331571</v>
      </c>
      <c r="AN30" s="562">
        <v>660914</v>
      </c>
      <c r="AO30" s="562">
        <v>22417549</v>
      </c>
      <c r="AP30" s="562">
        <v>915207</v>
      </c>
      <c r="AQ30" s="562">
        <v>0</v>
      </c>
      <c r="AR30" s="562">
        <v>67575</v>
      </c>
      <c r="AS30" s="562">
        <v>23867911</v>
      </c>
      <c r="AT30" s="562">
        <v>340133</v>
      </c>
      <c r="AU30" s="562">
        <v>908339</v>
      </c>
      <c r="AV30" s="562">
        <v>1596702</v>
      </c>
      <c r="AW30" s="562">
        <v>678826</v>
      </c>
      <c r="AX30" s="562">
        <v>0</v>
      </c>
      <c r="AY30" s="562">
        <v>0</v>
      </c>
      <c r="AZ30" s="562">
        <v>4247694</v>
      </c>
      <c r="BA30" s="562">
        <v>223046</v>
      </c>
      <c r="BB30" s="562">
        <v>469534</v>
      </c>
      <c r="BC30" s="562">
        <v>102355</v>
      </c>
      <c r="BD30" s="562">
        <v>3268333</v>
      </c>
      <c r="BE30" s="562">
        <v>1705086</v>
      </c>
      <c r="BF30" s="562">
        <v>9385994</v>
      </c>
      <c r="BH30" s="562">
        <v>0</v>
      </c>
      <c r="BI30" s="562">
        <v>183911</v>
      </c>
      <c r="BJ30" s="562">
        <v>6938963</v>
      </c>
      <c r="BK30" s="562">
        <v>1176757</v>
      </c>
      <c r="BL30" s="562">
        <v>8999808</v>
      </c>
      <c r="BM30" s="562">
        <v>0</v>
      </c>
      <c r="BN30" s="562">
        <v>4178847</v>
      </c>
      <c r="BO30" s="562">
        <v>1521981</v>
      </c>
      <c r="BQ30" s="562">
        <v>0</v>
      </c>
      <c r="BS30" s="562">
        <v>1963325</v>
      </c>
      <c r="BT30" s="562">
        <v>758391</v>
      </c>
      <c r="BV30" s="562">
        <v>2797252</v>
      </c>
    </row>
    <row r="31" spans="1:99" x14ac:dyDescent="0.3">
      <c r="A31" s="155">
        <v>88</v>
      </c>
      <c r="B31" s="180" t="s">
        <v>217</v>
      </c>
      <c r="C31" s="180"/>
      <c r="D31" s="180">
        <v>2446017</v>
      </c>
      <c r="E31" s="180">
        <v>275944735</v>
      </c>
      <c r="F31" s="180"/>
      <c r="G31" s="180"/>
      <c r="H31" s="180">
        <v>1512446</v>
      </c>
      <c r="I31" s="180">
        <v>0</v>
      </c>
      <c r="J31" s="180"/>
      <c r="K31" s="180">
        <v>0</v>
      </c>
      <c r="L31" s="180">
        <v>1373750</v>
      </c>
      <c r="M31" s="180">
        <v>8763890</v>
      </c>
      <c r="N31" s="180">
        <v>0</v>
      </c>
      <c r="O31" s="180">
        <v>328854</v>
      </c>
      <c r="P31" s="180"/>
      <c r="Q31" s="180">
        <v>0</v>
      </c>
      <c r="R31" s="180">
        <v>0</v>
      </c>
      <c r="S31" s="180">
        <v>1112883</v>
      </c>
      <c r="T31" s="180">
        <v>0</v>
      </c>
      <c r="U31" s="180"/>
      <c r="V31" s="180"/>
      <c r="W31" s="180"/>
      <c r="X31" s="180">
        <v>6755042</v>
      </c>
      <c r="Y31" s="180">
        <v>0</v>
      </c>
      <c r="Z31" s="180">
        <v>23666405</v>
      </c>
      <c r="AA31" s="180">
        <v>0</v>
      </c>
      <c r="AB31" s="180">
        <v>173731</v>
      </c>
      <c r="AC31" s="180">
        <v>180188</v>
      </c>
      <c r="AD31" s="180">
        <v>861590</v>
      </c>
      <c r="AE31" s="180">
        <v>594367</v>
      </c>
      <c r="AF31" s="180">
        <v>696227</v>
      </c>
      <c r="AG31" s="180">
        <v>466226</v>
      </c>
      <c r="AH31" s="180">
        <v>5153694</v>
      </c>
      <c r="AI31" s="180">
        <v>0</v>
      </c>
      <c r="AJ31" s="180">
        <v>0</v>
      </c>
      <c r="AK31" s="180">
        <v>0</v>
      </c>
      <c r="AL31" s="180">
        <v>705259</v>
      </c>
      <c r="AM31" s="180">
        <v>1127528</v>
      </c>
      <c r="AN31" s="180">
        <v>354213</v>
      </c>
      <c r="AO31" s="180">
        <v>27827463</v>
      </c>
      <c r="AP31" s="180">
        <v>958999</v>
      </c>
      <c r="AQ31" s="180">
        <v>0</v>
      </c>
      <c r="AR31" s="180">
        <v>53999</v>
      </c>
      <c r="AS31" s="180">
        <v>23061022</v>
      </c>
      <c r="AT31" s="180">
        <v>281753</v>
      </c>
      <c r="AU31" s="180">
        <v>1053125</v>
      </c>
      <c r="AV31" s="180">
        <v>1580131</v>
      </c>
      <c r="AW31" s="180">
        <v>906607</v>
      </c>
      <c r="AX31" s="180">
        <v>0</v>
      </c>
      <c r="AY31" s="180">
        <v>0</v>
      </c>
      <c r="AZ31" s="180">
        <v>4893548</v>
      </c>
      <c r="BA31" s="180">
        <v>272576</v>
      </c>
      <c r="BB31" s="180">
        <v>530816</v>
      </c>
      <c r="BC31" s="180">
        <v>94081</v>
      </c>
      <c r="BD31" s="180">
        <v>3304132</v>
      </c>
      <c r="BE31" s="180">
        <v>1606427</v>
      </c>
      <c r="BF31" s="180">
        <v>12220983</v>
      </c>
      <c r="BG31" s="180"/>
      <c r="BH31" s="180">
        <v>0</v>
      </c>
      <c r="BI31" s="180">
        <v>243197</v>
      </c>
      <c r="BJ31" s="180">
        <v>9860823</v>
      </c>
      <c r="BK31" s="180">
        <v>875641</v>
      </c>
      <c r="BL31" s="180">
        <v>10337646</v>
      </c>
      <c r="BM31" s="180">
        <v>0</v>
      </c>
      <c r="BN31" s="180">
        <v>5510805</v>
      </c>
      <c r="BO31" s="180">
        <v>1457816</v>
      </c>
      <c r="BP31" s="180"/>
      <c r="BQ31" s="180">
        <v>0</v>
      </c>
      <c r="BR31" s="180"/>
      <c r="BS31" s="180">
        <v>1366131</v>
      </c>
      <c r="BT31" s="180">
        <v>411730</v>
      </c>
      <c r="BU31" s="180"/>
      <c r="BV31" s="180">
        <v>2154331</v>
      </c>
      <c r="BW31" s="180"/>
      <c r="BX31" s="180"/>
      <c r="BY31" s="180"/>
      <c r="BZ31" s="180"/>
      <c r="CA31" s="180"/>
      <c r="CB31" s="180"/>
      <c r="CC31" s="180"/>
      <c r="CD31" s="180"/>
      <c r="CE31" s="180"/>
      <c r="CF31" s="180"/>
      <c r="CG31" s="180"/>
      <c r="CH31" s="180"/>
      <c r="CI31" s="180"/>
      <c r="CJ31" s="180"/>
      <c r="CK31" s="180"/>
      <c r="CL31" s="180"/>
      <c r="CM31" s="180"/>
      <c r="CN31" s="180"/>
      <c r="CO31" s="180"/>
      <c r="CP31" s="180"/>
      <c r="CQ31" s="180"/>
      <c r="CR31" s="180"/>
      <c r="CS31" s="180"/>
      <c r="CT31" s="180"/>
      <c r="CU31" s="180"/>
    </row>
    <row r="32" spans="1:99" x14ac:dyDescent="0.3">
      <c r="A32" s="155">
        <v>89</v>
      </c>
      <c r="B32" s="180" t="s">
        <v>221</v>
      </c>
      <c r="C32" s="180"/>
      <c r="D32" s="180">
        <v>36376</v>
      </c>
      <c r="E32" s="180">
        <v>22563463</v>
      </c>
      <c r="F32" s="180"/>
      <c r="G32" s="180"/>
      <c r="H32" s="180">
        <v>0</v>
      </c>
      <c r="I32" s="180">
        <v>0</v>
      </c>
      <c r="J32" s="180"/>
      <c r="K32" s="180">
        <v>0</v>
      </c>
      <c r="L32" s="180">
        <v>18427</v>
      </c>
      <c r="M32" s="180">
        <v>281523</v>
      </c>
      <c r="N32" s="180">
        <v>0</v>
      </c>
      <c r="O32" s="180">
        <v>1000</v>
      </c>
      <c r="P32" s="180"/>
      <c r="Q32" s="180">
        <v>0</v>
      </c>
      <c r="R32" s="180">
        <v>0</v>
      </c>
      <c r="S32" s="180">
        <v>37650</v>
      </c>
      <c r="T32" s="180">
        <v>0</v>
      </c>
      <c r="U32" s="180"/>
      <c r="V32" s="180"/>
      <c r="W32" s="180"/>
      <c r="X32" s="180">
        <v>0</v>
      </c>
      <c r="Y32" s="180">
        <v>0</v>
      </c>
      <c r="Z32" s="180">
        <v>121783</v>
      </c>
      <c r="AA32" s="180">
        <v>0</v>
      </c>
      <c r="AB32" s="180">
        <v>0</v>
      </c>
      <c r="AC32" s="180">
        <v>0</v>
      </c>
      <c r="AD32" s="180">
        <v>0</v>
      </c>
      <c r="AE32" s="180">
        <v>6359</v>
      </c>
      <c r="AF32" s="180">
        <v>0</v>
      </c>
      <c r="AG32" s="180">
        <v>28509</v>
      </c>
      <c r="AH32" s="180">
        <v>90193</v>
      </c>
      <c r="AI32" s="180">
        <v>0</v>
      </c>
      <c r="AJ32" s="180">
        <v>0</v>
      </c>
      <c r="AK32" s="180">
        <v>0</v>
      </c>
      <c r="AL32" s="180">
        <v>61417</v>
      </c>
      <c r="AM32" s="180">
        <v>33201</v>
      </c>
      <c r="AN32" s="180">
        <v>0</v>
      </c>
      <c r="AO32" s="180">
        <v>1690959</v>
      </c>
      <c r="AP32" s="180">
        <v>52588</v>
      </c>
      <c r="AQ32" s="180">
        <v>0</v>
      </c>
      <c r="AR32" s="180">
        <v>0</v>
      </c>
      <c r="AS32" s="180">
        <v>1918424</v>
      </c>
      <c r="AT32" s="180">
        <v>0</v>
      </c>
      <c r="AU32" s="180">
        <v>7949</v>
      </c>
      <c r="AV32" s="180">
        <v>9077</v>
      </c>
      <c r="AW32" s="180">
        <v>7734</v>
      </c>
      <c r="AX32" s="180">
        <v>0</v>
      </c>
      <c r="AY32" s="180">
        <v>0</v>
      </c>
      <c r="AZ32" s="180">
        <v>61325</v>
      </c>
      <c r="BA32" s="180">
        <v>2076</v>
      </c>
      <c r="BB32" s="180">
        <v>0</v>
      </c>
      <c r="BC32" s="180">
        <v>0</v>
      </c>
      <c r="BD32" s="180">
        <v>0</v>
      </c>
      <c r="BE32" s="180">
        <v>66439</v>
      </c>
      <c r="BF32" s="180">
        <v>856887</v>
      </c>
      <c r="BG32" s="180"/>
      <c r="BH32" s="180">
        <v>0</v>
      </c>
      <c r="BI32" s="180">
        <v>0</v>
      </c>
      <c r="BJ32" s="180">
        <v>51375</v>
      </c>
      <c r="BK32" s="180">
        <v>0</v>
      </c>
      <c r="BL32" s="180">
        <v>12560</v>
      </c>
      <c r="BM32" s="180">
        <v>0</v>
      </c>
      <c r="BN32" s="180">
        <v>7407</v>
      </c>
      <c r="BO32" s="180">
        <v>0</v>
      </c>
      <c r="BP32" s="180"/>
      <c r="BQ32" s="180">
        <v>0</v>
      </c>
      <c r="BR32" s="180"/>
      <c r="BS32" s="180">
        <v>5428</v>
      </c>
      <c r="BT32" s="180">
        <v>11787</v>
      </c>
      <c r="BU32" s="180"/>
      <c r="BV32" s="180">
        <v>5731</v>
      </c>
      <c r="BW32" s="180"/>
      <c r="BX32" s="180"/>
      <c r="BY32" s="180"/>
      <c r="BZ32" s="180"/>
      <c r="CA32" s="180"/>
      <c r="CB32" s="180"/>
      <c r="CC32" s="180"/>
      <c r="CD32" s="180"/>
      <c r="CE32" s="180"/>
      <c r="CF32" s="180"/>
      <c r="CG32" s="180"/>
      <c r="CH32" s="180"/>
      <c r="CI32" s="180"/>
      <c r="CJ32" s="180"/>
      <c r="CK32" s="180"/>
      <c r="CL32" s="180"/>
      <c r="CM32" s="180"/>
      <c r="CN32" s="180"/>
      <c r="CO32" s="180"/>
      <c r="CP32" s="180"/>
      <c r="CQ32" s="180"/>
      <c r="CR32" s="180"/>
      <c r="CS32" s="180"/>
      <c r="CT32" s="180"/>
      <c r="CU32" s="180"/>
    </row>
    <row r="33" spans="1:99" x14ac:dyDescent="0.3">
      <c r="A33" s="155">
        <v>90</v>
      </c>
      <c r="B33" s="180" t="s">
        <v>214</v>
      </c>
      <c r="C33" s="180"/>
      <c r="D33" s="180">
        <v>0</v>
      </c>
      <c r="E33" s="180">
        <v>0</v>
      </c>
      <c r="F33" s="180"/>
      <c r="G33" s="180"/>
      <c r="H33" s="180">
        <v>0</v>
      </c>
      <c r="I33" s="180">
        <v>0</v>
      </c>
      <c r="J33" s="180"/>
      <c r="K33" s="180">
        <v>0</v>
      </c>
      <c r="L33" s="180">
        <v>372401</v>
      </c>
      <c r="M33" s="180">
        <v>0</v>
      </c>
      <c r="N33" s="180">
        <v>0</v>
      </c>
      <c r="O33" s="180">
        <v>0</v>
      </c>
      <c r="P33" s="180"/>
      <c r="Q33" s="180">
        <v>0</v>
      </c>
      <c r="R33" s="180">
        <v>0</v>
      </c>
      <c r="S33" s="180">
        <v>0</v>
      </c>
      <c r="T33" s="180">
        <v>0</v>
      </c>
      <c r="U33" s="180"/>
      <c r="V33" s="180"/>
      <c r="W33" s="180"/>
      <c r="X33" s="180">
        <v>0</v>
      </c>
      <c r="Y33" s="180">
        <v>0</v>
      </c>
      <c r="Z33" s="180">
        <v>37054904</v>
      </c>
      <c r="AA33" s="180">
        <v>0</v>
      </c>
      <c r="AB33" s="180">
        <v>0</v>
      </c>
      <c r="AC33" s="180">
        <v>0</v>
      </c>
      <c r="AD33" s="180">
        <v>0</v>
      </c>
      <c r="AE33" s="180">
        <v>0</v>
      </c>
      <c r="AF33" s="180">
        <v>0</v>
      </c>
      <c r="AG33" s="180">
        <v>0</v>
      </c>
      <c r="AH33" s="180">
        <v>0</v>
      </c>
      <c r="AI33" s="180">
        <v>0</v>
      </c>
      <c r="AJ33" s="180">
        <v>0</v>
      </c>
      <c r="AK33" s="180">
        <v>0</v>
      </c>
      <c r="AL33" s="180">
        <v>0</v>
      </c>
      <c r="AM33" s="180">
        <v>0</v>
      </c>
      <c r="AN33" s="180">
        <v>0</v>
      </c>
      <c r="AO33" s="180">
        <v>0</v>
      </c>
      <c r="AP33" s="180">
        <v>0</v>
      </c>
      <c r="AQ33" s="180">
        <v>0</v>
      </c>
      <c r="AR33" s="180">
        <v>0</v>
      </c>
      <c r="AS33" s="180">
        <v>0</v>
      </c>
      <c r="AT33" s="180">
        <v>0</v>
      </c>
      <c r="AU33" s="180">
        <v>0</v>
      </c>
      <c r="AV33" s="180">
        <v>1770529</v>
      </c>
      <c r="AW33" s="180">
        <v>0</v>
      </c>
      <c r="AX33" s="180">
        <v>0</v>
      </c>
      <c r="AY33" s="180">
        <v>0</v>
      </c>
      <c r="AZ33" s="180">
        <v>2791366</v>
      </c>
      <c r="BA33" s="180">
        <v>0</v>
      </c>
      <c r="BB33" s="180">
        <v>0</v>
      </c>
      <c r="BC33" s="180">
        <v>0</v>
      </c>
      <c r="BD33" s="180">
        <v>0</v>
      </c>
      <c r="BE33" s="180">
        <v>2261742</v>
      </c>
      <c r="BF33" s="180">
        <v>7780609</v>
      </c>
      <c r="BG33" s="180"/>
      <c r="BH33" s="180">
        <v>0</v>
      </c>
      <c r="BI33" s="180">
        <v>0</v>
      </c>
      <c r="BJ33" s="180">
        <v>11362912</v>
      </c>
      <c r="BK33" s="180">
        <v>0</v>
      </c>
      <c r="BL33" s="180">
        <v>0</v>
      </c>
      <c r="BM33" s="180">
        <v>0</v>
      </c>
      <c r="BN33" s="180">
        <v>7177432</v>
      </c>
      <c r="BO33" s="180">
        <v>0</v>
      </c>
      <c r="BP33" s="180"/>
      <c r="BQ33" s="180">
        <v>0</v>
      </c>
      <c r="BR33" s="180"/>
      <c r="BS33" s="180">
        <v>0</v>
      </c>
      <c r="BT33" s="180">
        <v>0</v>
      </c>
      <c r="BU33" s="180"/>
      <c r="BV33" s="180">
        <v>0</v>
      </c>
      <c r="BW33" s="180"/>
      <c r="BX33" s="180"/>
      <c r="BY33" s="180"/>
      <c r="BZ33" s="180"/>
      <c r="CA33" s="180"/>
      <c r="CB33" s="180"/>
      <c r="CC33" s="180"/>
      <c r="CD33" s="180"/>
      <c r="CE33" s="180"/>
      <c r="CF33" s="180"/>
      <c r="CG33" s="180"/>
      <c r="CH33" s="180"/>
      <c r="CI33" s="180"/>
      <c r="CJ33" s="180"/>
      <c r="CK33" s="180"/>
      <c r="CL33" s="180"/>
      <c r="CM33" s="180"/>
      <c r="CN33" s="180"/>
      <c r="CO33" s="180"/>
      <c r="CP33" s="180"/>
      <c r="CQ33" s="180"/>
      <c r="CR33" s="180"/>
      <c r="CS33" s="180"/>
      <c r="CT33" s="180"/>
      <c r="CU33" s="180"/>
    </row>
    <row r="34" spans="1:99" x14ac:dyDescent="0.3">
      <c r="A34" s="155">
        <v>91</v>
      </c>
      <c r="B34" s="180" t="s">
        <v>215</v>
      </c>
      <c r="C34" s="180"/>
      <c r="D34" s="180">
        <v>0</v>
      </c>
      <c r="E34" s="180">
        <v>0</v>
      </c>
      <c r="F34" s="180"/>
      <c r="G34" s="180"/>
      <c r="H34" s="180">
        <v>0</v>
      </c>
      <c r="I34" s="180">
        <v>0</v>
      </c>
      <c r="J34" s="180"/>
      <c r="K34" s="180">
        <v>0</v>
      </c>
      <c r="L34" s="180">
        <v>555173</v>
      </c>
      <c r="M34" s="180">
        <v>0</v>
      </c>
      <c r="N34" s="180">
        <v>0</v>
      </c>
      <c r="O34" s="180">
        <v>0</v>
      </c>
      <c r="P34" s="180"/>
      <c r="Q34" s="180">
        <v>0</v>
      </c>
      <c r="R34" s="180">
        <v>0</v>
      </c>
      <c r="S34" s="180">
        <v>0</v>
      </c>
      <c r="T34" s="180">
        <v>0</v>
      </c>
      <c r="U34" s="180"/>
      <c r="V34" s="180"/>
      <c r="W34" s="180"/>
      <c r="X34" s="180">
        <v>0</v>
      </c>
      <c r="Y34" s="180">
        <v>0</v>
      </c>
      <c r="Z34" s="180">
        <v>9552872</v>
      </c>
      <c r="AA34" s="180">
        <v>0</v>
      </c>
      <c r="AB34" s="180">
        <v>0</v>
      </c>
      <c r="AC34" s="180">
        <v>0</v>
      </c>
      <c r="AD34" s="180">
        <v>0</v>
      </c>
      <c r="AE34" s="180">
        <v>0</v>
      </c>
      <c r="AF34" s="180">
        <v>0</v>
      </c>
      <c r="AG34" s="180">
        <v>0</v>
      </c>
      <c r="AH34" s="180">
        <v>0</v>
      </c>
      <c r="AI34" s="180">
        <v>0</v>
      </c>
      <c r="AJ34" s="180">
        <v>0</v>
      </c>
      <c r="AK34" s="180">
        <v>0</v>
      </c>
      <c r="AL34" s="180">
        <v>0</v>
      </c>
      <c r="AM34" s="180">
        <v>0</v>
      </c>
      <c r="AN34" s="180">
        <v>0</v>
      </c>
      <c r="AO34" s="180">
        <v>0</v>
      </c>
      <c r="AP34" s="180">
        <v>0</v>
      </c>
      <c r="AQ34" s="180">
        <v>0</v>
      </c>
      <c r="AR34" s="180">
        <v>0</v>
      </c>
      <c r="AS34" s="180">
        <v>0</v>
      </c>
      <c r="AT34" s="180">
        <v>0</v>
      </c>
      <c r="AU34" s="180">
        <v>0</v>
      </c>
      <c r="AV34" s="180">
        <v>229421</v>
      </c>
      <c r="AW34" s="180">
        <v>0</v>
      </c>
      <c r="AX34" s="180">
        <v>0</v>
      </c>
      <c r="AY34" s="180">
        <v>0</v>
      </c>
      <c r="AZ34" s="180">
        <v>1002740</v>
      </c>
      <c r="BA34" s="180">
        <v>0</v>
      </c>
      <c r="BB34" s="180">
        <v>0</v>
      </c>
      <c r="BC34" s="180">
        <v>0</v>
      </c>
      <c r="BD34" s="180">
        <v>0</v>
      </c>
      <c r="BE34" s="180">
        <v>370037</v>
      </c>
      <c r="BF34" s="180">
        <v>3223694</v>
      </c>
      <c r="BG34" s="180"/>
      <c r="BH34" s="180">
        <v>0</v>
      </c>
      <c r="BI34" s="180">
        <v>0</v>
      </c>
      <c r="BJ34" s="180">
        <v>1738621</v>
      </c>
      <c r="BK34" s="180">
        <v>0</v>
      </c>
      <c r="BL34" s="180">
        <v>0</v>
      </c>
      <c r="BM34" s="180">
        <v>0</v>
      </c>
      <c r="BN34" s="180">
        <v>479026</v>
      </c>
      <c r="BO34" s="180">
        <v>0</v>
      </c>
      <c r="BP34" s="180"/>
      <c r="BQ34" s="180">
        <v>0</v>
      </c>
      <c r="BR34" s="180"/>
      <c r="BS34" s="180">
        <v>0</v>
      </c>
      <c r="BT34" s="180">
        <v>0</v>
      </c>
      <c r="BU34" s="180"/>
      <c r="BV34" s="180">
        <v>0</v>
      </c>
      <c r="BW34" s="180"/>
      <c r="BX34" s="180"/>
      <c r="BY34" s="180"/>
      <c r="BZ34" s="180"/>
      <c r="CA34" s="180"/>
      <c r="CB34" s="180"/>
      <c r="CC34" s="180"/>
      <c r="CD34" s="180"/>
      <c r="CE34" s="180"/>
      <c r="CF34" s="180"/>
      <c r="CG34" s="180"/>
      <c r="CH34" s="180"/>
      <c r="CI34" s="180"/>
      <c r="CJ34" s="180"/>
      <c r="CK34" s="180"/>
      <c r="CL34" s="180"/>
      <c r="CM34" s="180"/>
      <c r="CN34" s="180"/>
      <c r="CO34" s="180"/>
      <c r="CP34" s="180"/>
      <c r="CQ34" s="180"/>
      <c r="CR34" s="180"/>
      <c r="CS34" s="180"/>
      <c r="CT34" s="180"/>
      <c r="CU34" s="180"/>
    </row>
    <row r="35" spans="1:99" x14ac:dyDescent="0.3">
      <c r="A35" s="155">
        <v>93</v>
      </c>
      <c r="B35" s="180" t="s">
        <v>228</v>
      </c>
      <c r="C35" s="180"/>
      <c r="D35" s="180">
        <v>0</v>
      </c>
      <c r="E35" s="180">
        <v>0</v>
      </c>
      <c r="F35" s="180"/>
      <c r="G35" s="180"/>
      <c r="H35" s="180">
        <v>0</v>
      </c>
      <c r="I35" s="180">
        <v>0</v>
      </c>
      <c r="J35" s="180"/>
      <c r="K35" s="180">
        <v>0</v>
      </c>
      <c r="L35" s="180">
        <v>4406341</v>
      </c>
      <c r="M35" s="180">
        <v>0</v>
      </c>
      <c r="N35" s="180">
        <v>0</v>
      </c>
      <c r="O35" s="180">
        <v>0</v>
      </c>
      <c r="P35" s="180"/>
      <c r="Q35" s="180">
        <v>0</v>
      </c>
      <c r="R35" s="180">
        <v>0</v>
      </c>
      <c r="S35" s="180">
        <v>0</v>
      </c>
      <c r="T35" s="180">
        <v>0</v>
      </c>
      <c r="U35" s="180"/>
      <c r="V35" s="180"/>
      <c r="W35" s="180"/>
      <c r="X35" s="180">
        <v>0</v>
      </c>
      <c r="Y35" s="180">
        <v>0</v>
      </c>
      <c r="Z35" s="180">
        <v>75005750</v>
      </c>
      <c r="AA35" s="180">
        <v>0</v>
      </c>
      <c r="AB35" s="180">
        <v>0</v>
      </c>
      <c r="AC35" s="180">
        <v>0</v>
      </c>
      <c r="AD35" s="180">
        <v>0</v>
      </c>
      <c r="AE35" s="180">
        <v>0</v>
      </c>
      <c r="AF35" s="180">
        <v>0</v>
      </c>
      <c r="AG35" s="180">
        <v>0</v>
      </c>
      <c r="AH35" s="180">
        <v>0</v>
      </c>
      <c r="AI35" s="180">
        <v>0</v>
      </c>
      <c r="AJ35" s="180">
        <v>0</v>
      </c>
      <c r="AK35" s="180">
        <v>0</v>
      </c>
      <c r="AL35" s="180">
        <v>0</v>
      </c>
      <c r="AM35" s="180">
        <v>0</v>
      </c>
      <c r="AN35" s="180">
        <v>0</v>
      </c>
      <c r="AO35" s="180">
        <v>0</v>
      </c>
      <c r="AP35" s="180">
        <v>0</v>
      </c>
      <c r="AQ35" s="180">
        <v>0</v>
      </c>
      <c r="AR35" s="180">
        <v>0</v>
      </c>
      <c r="AS35" s="180">
        <v>0</v>
      </c>
      <c r="AT35" s="180">
        <v>0</v>
      </c>
      <c r="AU35" s="180">
        <v>0</v>
      </c>
      <c r="AV35" s="180">
        <v>3425787</v>
      </c>
      <c r="AW35" s="180">
        <v>0</v>
      </c>
      <c r="AX35" s="180">
        <v>0</v>
      </c>
      <c r="AY35" s="180">
        <v>0</v>
      </c>
      <c r="AZ35" s="180">
        <v>7898598</v>
      </c>
      <c r="BA35" s="180">
        <v>0</v>
      </c>
      <c r="BB35" s="180">
        <v>0</v>
      </c>
      <c r="BC35" s="180">
        <v>0</v>
      </c>
      <c r="BD35" s="180">
        <v>0</v>
      </c>
      <c r="BE35" s="180">
        <v>2423298</v>
      </c>
      <c r="BF35" s="180">
        <v>22817091</v>
      </c>
      <c r="BG35" s="180"/>
      <c r="BH35" s="180">
        <v>0</v>
      </c>
      <c r="BI35" s="180">
        <v>0</v>
      </c>
      <c r="BJ35" s="180">
        <v>15833777</v>
      </c>
      <c r="BK35" s="180">
        <v>0</v>
      </c>
      <c r="BL35" s="180">
        <v>0</v>
      </c>
      <c r="BM35" s="180">
        <v>0</v>
      </c>
      <c r="BN35" s="180">
        <v>7812707</v>
      </c>
      <c r="BO35" s="180">
        <v>0</v>
      </c>
      <c r="BP35" s="180"/>
      <c r="BQ35" s="180">
        <v>0</v>
      </c>
      <c r="BR35" s="180"/>
      <c r="BS35" s="180">
        <v>0</v>
      </c>
      <c r="BT35" s="180">
        <v>0</v>
      </c>
      <c r="BU35" s="180"/>
      <c r="BV35" s="180">
        <v>0</v>
      </c>
      <c r="BW35" s="180"/>
      <c r="BX35" s="180"/>
      <c r="BY35" s="180"/>
      <c r="BZ35" s="180"/>
      <c r="CA35" s="180"/>
      <c r="CB35" s="180"/>
      <c r="CC35" s="180"/>
      <c r="CD35" s="180"/>
      <c r="CE35" s="180"/>
      <c r="CF35" s="180"/>
      <c r="CG35" s="180"/>
      <c r="CH35" s="180"/>
      <c r="CI35" s="180"/>
      <c r="CJ35" s="180"/>
      <c r="CK35" s="180"/>
      <c r="CL35" s="180"/>
      <c r="CM35" s="180"/>
      <c r="CN35" s="180"/>
      <c r="CO35" s="180"/>
      <c r="CP35" s="180"/>
      <c r="CQ35" s="180"/>
      <c r="CR35" s="180"/>
      <c r="CS35" s="180"/>
      <c r="CT35" s="180"/>
      <c r="CU35" s="180"/>
    </row>
    <row r="36" spans="1:99" x14ac:dyDescent="0.3">
      <c r="A36" s="155">
        <v>94</v>
      </c>
      <c r="B36" s="180" t="s">
        <v>231</v>
      </c>
      <c r="C36" s="180"/>
      <c r="D36" s="180">
        <v>0</v>
      </c>
      <c r="E36" s="180">
        <v>0</v>
      </c>
      <c r="F36" s="180"/>
      <c r="G36" s="180"/>
      <c r="H36" s="180">
        <v>0</v>
      </c>
      <c r="I36" s="180">
        <v>0</v>
      </c>
      <c r="J36" s="180"/>
      <c r="K36" s="180">
        <v>0</v>
      </c>
      <c r="L36" s="180">
        <v>4626718</v>
      </c>
      <c r="M36" s="180">
        <v>0</v>
      </c>
      <c r="N36" s="180">
        <v>0</v>
      </c>
      <c r="O36" s="180">
        <v>0</v>
      </c>
      <c r="P36" s="180"/>
      <c r="Q36" s="180">
        <v>0</v>
      </c>
      <c r="R36" s="180">
        <v>0</v>
      </c>
      <c r="S36" s="180">
        <v>0</v>
      </c>
      <c r="T36" s="180">
        <v>0</v>
      </c>
      <c r="U36" s="180"/>
      <c r="V36" s="180"/>
      <c r="W36" s="180"/>
      <c r="X36" s="180">
        <v>0</v>
      </c>
      <c r="Y36" s="180">
        <v>0</v>
      </c>
      <c r="Z36" s="180">
        <v>71592952</v>
      </c>
      <c r="AA36" s="180">
        <v>0</v>
      </c>
      <c r="AB36" s="180">
        <v>0</v>
      </c>
      <c r="AC36" s="180">
        <v>0</v>
      </c>
      <c r="AD36" s="180">
        <v>0</v>
      </c>
      <c r="AE36" s="180">
        <v>0</v>
      </c>
      <c r="AF36" s="180">
        <v>0</v>
      </c>
      <c r="AG36" s="180">
        <v>0</v>
      </c>
      <c r="AH36" s="180">
        <v>0</v>
      </c>
      <c r="AI36" s="180">
        <v>0</v>
      </c>
      <c r="AJ36" s="180">
        <v>0</v>
      </c>
      <c r="AK36" s="180">
        <v>0</v>
      </c>
      <c r="AL36" s="180">
        <v>0</v>
      </c>
      <c r="AM36" s="180">
        <v>0</v>
      </c>
      <c r="AN36" s="180">
        <v>0</v>
      </c>
      <c r="AO36" s="180">
        <v>0</v>
      </c>
      <c r="AP36" s="180">
        <v>0</v>
      </c>
      <c r="AQ36" s="180">
        <v>0</v>
      </c>
      <c r="AR36" s="180">
        <v>0</v>
      </c>
      <c r="AS36" s="180">
        <v>0</v>
      </c>
      <c r="AT36" s="180">
        <v>0</v>
      </c>
      <c r="AU36" s="180">
        <v>0</v>
      </c>
      <c r="AV36" s="180">
        <v>2937202</v>
      </c>
      <c r="AW36" s="180">
        <v>0</v>
      </c>
      <c r="AX36" s="180">
        <v>0</v>
      </c>
      <c r="AY36" s="180">
        <v>0</v>
      </c>
      <c r="AZ36" s="180">
        <v>6884933</v>
      </c>
      <c r="BA36" s="180">
        <v>0</v>
      </c>
      <c r="BB36" s="180">
        <v>0</v>
      </c>
      <c r="BC36" s="180">
        <v>0</v>
      </c>
      <c r="BD36" s="180">
        <v>0</v>
      </c>
      <c r="BE36" s="180">
        <v>2546020</v>
      </c>
      <c r="BF36" s="180">
        <v>19024220</v>
      </c>
      <c r="BG36" s="180"/>
      <c r="BH36" s="180">
        <v>0</v>
      </c>
      <c r="BI36" s="180">
        <v>0</v>
      </c>
      <c r="BJ36" s="180">
        <v>14967655</v>
      </c>
      <c r="BK36" s="180">
        <v>0</v>
      </c>
      <c r="BL36" s="180">
        <v>0</v>
      </c>
      <c r="BM36" s="180">
        <v>0</v>
      </c>
      <c r="BN36" s="180">
        <v>7263825</v>
      </c>
      <c r="BO36" s="180">
        <v>0</v>
      </c>
      <c r="BP36" s="180"/>
      <c r="BQ36" s="180">
        <v>0</v>
      </c>
      <c r="BR36" s="180"/>
      <c r="BS36" s="180">
        <v>0</v>
      </c>
      <c r="BT36" s="180">
        <v>0</v>
      </c>
      <c r="BU36" s="180"/>
      <c r="BV36" s="180">
        <v>0</v>
      </c>
      <c r="BW36" s="180"/>
      <c r="BX36" s="180"/>
      <c r="BY36" s="180"/>
      <c r="BZ36" s="180"/>
      <c r="CA36" s="180"/>
      <c r="CB36" s="180"/>
      <c r="CC36" s="180"/>
      <c r="CD36" s="180"/>
      <c r="CE36" s="180"/>
      <c r="CF36" s="180"/>
      <c r="CG36" s="180"/>
      <c r="CH36" s="180"/>
      <c r="CI36" s="180"/>
      <c r="CJ36" s="180"/>
      <c r="CK36" s="180"/>
      <c r="CL36" s="180"/>
      <c r="CM36" s="180"/>
      <c r="CN36" s="180"/>
      <c r="CO36" s="180"/>
      <c r="CP36" s="180"/>
      <c r="CQ36" s="180"/>
      <c r="CR36" s="180"/>
      <c r="CS36" s="180"/>
      <c r="CT36" s="180"/>
      <c r="CU36" s="180"/>
    </row>
    <row r="37" spans="1:99" x14ac:dyDescent="0.3">
      <c r="A37" s="155">
        <v>97</v>
      </c>
      <c r="B37" s="180" t="s">
        <v>227</v>
      </c>
      <c r="C37" s="180"/>
      <c r="D37" s="180">
        <v>0</v>
      </c>
      <c r="E37" s="180">
        <v>0</v>
      </c>
      <c r="F37" s="180"/>
      <c r="G37" s="180"/>
      <c r="H37" s="180">
        <v>0</v>
      </c>
      <c r="I37" s="180">
        <v>0</v>
      </c>
      <c r="J37" s="180"/>
      <c r="K37" s="180">
        <v>0</v>
      </c>
      <c r="L37" s="180">
        <v>4405354</v>
      </c>
      <c r="M37" s="180">
        <v>0</v>
      </c>
      <c r="N37" s="180">
        <v>0</v>
      </c>
      <c r="O37" s="180">
        <v>0</v>
      </c>
      <c r="P37" s="180"/>
      <c r="Q37" s="180">
        <v>0</v>
      </c>
      <c r="R37" s="180">
        <v>0</v>
      </c>
      <c r="S37" s="180">
        <v>0</v>
      </c>
      <c r="T37" s="180">
        <v>0</v>
      </c>
      <c r="U37" s="180"/>
      <c r="V37" s="180"/>
      <c r="W37" s="180"/>
      <c r="X37" s="180">
        <v>0</v>
      </c>
      <c r="Y37" s="180">
        <v>0</v>
      </c>
      <c r="Z37" s="180">
        <v>74443295</v>
      </c>
      <c r="AA37" s="180">
        <v>0</v>
      </c>
      <c r="AB37" s="180">
        <v>0</v>
      </c>
      <c r="AC37" s="180">
        <v>0</v>
      </c>
      <c r="AD37" s="180">
        <v>0</v>
      </c>
      <c r="AE37" s="180">
        <v>0</v>
      </c>
      <c r="AF37" s="180">
        <v>0</v>
      </c>
      <c r="AG37" s="180">
        <v>0</v>
      </c>
      <c r="AH37" s="180">
        <v>0</v>
      </c>
      <c r="AI37" s="180">
        <v>0</v>
      </c>
      <c r="AJ37" s="180">
        <v>0</v>
      </c>
      <c r="AK37" s="180">
        <v>0</v>
      </c>
      <c r="AL37" s="180">
        <v>0</v>
      </c>
      <c r="AM37" s="180">
        <v>0</v>
      </c>
      <c r="AN37" s="180">
        <v>0</v>
      </c>
      <c r="AO37" s="180">
        <v>0</v>
      </c>
      <c r="AP37" s="180">
        <v>0</v>
      </c>
      <c r="AQ37" s="180">
        <v>0</v>
      </c>
      <c r="AR37" s="180">
        <v>0</v>
      </c>
      <c r="AS37" s="180">
        <v>0</v>
      </c>
      <c r="AT37" s="180">
        <v>0</v>
      </c>
      <c r="AU37" s="180">
        <v>0</v>
      </c>
      <c r="AV37" s="180">
        <v>3417225</v>
      </c>
      <c r="AW37" s="180">
        <v>0</v>
      </c>
      <c r="AX37" s="180">
        <v>0</v>
      </c>
      <c r="AY37" s="180">
        <v>0</v>
      </c>
      <c r="AZ37" s="180">
        <v>7854091</v>
      </c>
      <c r="BA37" s="180">
        <v>0</v>
      </c>
      <c r="BB37" s="180">
        <v>0</v>
      </c>
      <c r="BC37" s="180">
        <v>0</v>
      </c>
      <c r="BD37" s="180">
        <v>0</v>
      </c>
      <c r="BE37" s="180">
        <v>2423298</v>
      </c>
      <c r="BF37" s="180">
        <v>22205245</v>
      </c>
      <c r="BG37" s="180"/>
      <c r="BH37" s="180">
        <v>0</v>
      </c>
      <c r="BI37" s="180">
        <v>0</v>
      </c>
      <c r="BJ37" s="180">
        <v>15560597</v>
      </c>
      <c r="BK37" s="180">
        <v>0</v>
      </c>
      <c r="BL37" s="180">
        <v>0</v>
      </c>
      <c r="BM37" s="180">
        <v>0</v>
      </c>
      <c r="BN37" s="180">
        <v>7743679</v>
      </c>
      <c r="BO37" s="180">
        <v>0</v>
      </c>
      <c r="BP37" s="180"/>
      <c r="BQ37" s="180">
        <v>0</v>
      </c>
      <c r="BR37" s="180"/>
      <c r="BS37" s="180">
        <v>0</v>
      </c>
      <c r="BT37" s="180">
        <v>0</v>
      </c>
      <c r="BU37" s="180"/>
      <c r="BV37" s="180">
        <v>0</v>
      </c>
      <c r="BW37" s="180"/>
      <c r="BX37" s="180"/>
      <c r="BY37" s="180"/>
      <c r="BZ37" s="180"/>
      <c r="CA37" s="180"/>
      <c r="CB37" s="180"/>
      <c r="CC37" s="180"/>
      <c r="CD37" s="180"/>
      <c r="CE37" s="180"/>
      <c r="CF37" s="180"/>
      <c r="CG37" s="180"/>
      <c r="CH37" s="180"/>
      <c r="CI37" s="180"/>
      <c r="CJ37" s="180"/>
      <c r="CK37" s="180"/>
      <c r="CL37" s="180"/>
      <c r="CM37" s="180"/>
      <c r="CN37" s="180"/>
      <c r="CO37" s="180"/>
      <c r="CP37" s="180"/>
      <c r="CQ37" s="180"/>
      <c r="CR37" s="180"/>
      <c r="CS37" s="180"/>
      <c r="CT37" s="180"/>
      <c r="CU37" s="180"/>
    </row>
    <row r="38" spans="1:99" x14ac:dyDescent="0.3">
      <c r="A38" s="155">
        <v>98</v>
      </c>
      <c r="B38" s="180" t="s">
        <v>232</v>
      </c>
      <c r="C38" s="180"/>
      <c r="D38" s="180">
        <v>0</v>
      </c>
      <c r="E38" s="180">
        <v>0</v>
      </c>
      <c r="F38" s="180"/>
      <c r="G38" s="180"/>
      <c r="H38" s="180">
        <v>0</v>
      </c>
      <c r="I38" s="180">
        <v>0</v>
      </c>
      <c r="J38" s="180"/>
      <c r="K38" s="180">
        <v>0</v>
      </c>
      <c r="L38" s="180">
        <v>18263</v>
      </c>
      <c r="M38" s="180">
        <v>0</v>
      </c>
      <c r="N38" s="180">
        <v>0</v>
      </c>
      <c r="O38" s="180">
        <v>0</v>
      </c>
      <c r="P38" s="180"/>
      <c r="Q38" s="180">
        <v>0</v>
      </c>
      <c r="R38" s="180">
        <v>0</v>
      </c>
      <c r="S38" s="180">
        <v>0</v>
      </c>
      <c r="T38" s="180">
        <v>0</v>
      </c>
      <c r="U38" s="180"/>
      <c r="V38" s="180"/>
      <c r="W38" s="180"/>
      <c r="X38" s="180">
        <v>0</v>
      </c>
      <c r="Y38" s="180">
        <v>0</v>
      </c>
      <c r="Z38" s="180">
        <v>53967</v>
      </c>
      <c r="AA38" s="180">
        <v>0</v>
      </c>
      <c r="AB38" s="180">
        <v>0</v>
      </c>
      <c r="AC38" s="180">
        <v>0</v>
      </c>
      <c r="AD38" s="180">
        <v>0</v>
      </c>
      <c r="AE38" s="180">
        <v>0</v>
      </c>
      <c r="AF38" s="180">
        <v>0</v>
      </c>
      <c r="AG38" s="180">
        <v>0</v>
      </c>
      <c r="AH38" s="180">
        <v>0</v>
      </c>
      <c r="AI38" s="180">
        <v>0</v>
      </c>
      <c r="AJ38" s="180">
        <v>0</v>
      </c>
      <c r="AK38" s="180">
        <v>0</v>
      </c>
      <c r="AL38" s="180">
        <v>0</v>
      </c>
      <c r="AM38" s="180">
        <v>0</v>
      </c>
      <c r="AN38" s="180">
        <v>0</v>
      </c>
      <c r="AO38" s="180">
        <v>0</v>
      </c>
      <c r="AP38" s="180">
        <v>0</v>
      </c>
      <c r="AQ38" s="180">
        <v>0</v>
      </c>
      <c r="AR38" s="180">
        <v>0</v>
      </c>
      <c r="AS38" s="180">
        <v>0</v>
      </c>
      <c r="AT38" s="180">
        <v>0</v>
      </c>
      <c r="AU38" s="180">
        <v>0</v>
      </c>
      <c r="AV38" s="180">
        <v>0</v>
      </c>
      <c r="AW38" s="180">
        <v>0</v>
      </c>
      <c r="AX38" s="180">
        <v>0</v>
      </c>
      <c r="AY38" s="180">
        <v>0</v>
      </c>
      <c r="AZ38" s="180">
        <v>1485</v>
      </c>
      <c r="BA38" s="180">
        <v>0</v>
      </c>
      <c r="BB38" s="180">
        <v>0</v>
      </c>
      <c r="BC38" s="180">
        <v>0</v>
      </c>
      <c r="BD38" s="180">
        <v>0</v>
      </c>
      <c r="BE38" s="180">
        <v>6123</v>
      </c>
      <c r="BF38" s="180">
        <v>53387</v>
      </c>
      <c r="BG38" s="180"/>
      <c r="BH38" s="180">
        <v>0</v>
      </c>
      <c r="BI38" s="180">
        <v>0</v>
      </c>
      <c r="BJ38" s="180">
        <v>54644</v>
      </c>
      <c r="BK38" s="180">
        <v>0</v>
      </c>
      <c r="BL38" s="180">
        <v>0</v>
      </c>
      <c r="BM38" s="180">
        <v>0</v>
      </c>
      <c r="BN38" s="180">
        <v>0</v>
      </c>
      <c r="BO38" s="180">
        <v>0</v>
      </c>
      <c r="BP38" s="180"/>
      <c r="BQ38" s="180">
        <v>0</v>
      </c>
      <c r="BR38" s="180"/>
      <c r="BS38" s="180">
        <v>0</v>
      </c>
      <c r="BT38" s="180">
        <v>0</v>
      </c>
      <c r="BU38" s="180"/>
      <c r="BV38" s="180">
        <v>0</v>
      </c>
      <c r="BW38" s="180"/>
      <c r="BX38" s="180"/>
      <c r="BY38" s="180"/>
      <c r="BZ38" s="180"/>
      <c r="CA38" s="180"/>
      <c r="CB38" s="180"/>
      <c r="CC38" s="180"/>
      <c r="CD38" s="180"/>
      <c r="CE38" s="180"/>
      <c r="CF38" s="180"/>
      <c r="CG38" s="180"/>
      <c r="CH38" s="180"/>
      <c r="CI38" s="180"/>
      <c r="CJ38" s="180"/>
      <c r="CK38" s="180"/>
      <c r="CL38" s="180"/>
      <c r="CM38" s="180"/>
      <c r="CN38" s="180"/>
      <c r="CO38" s="180"/>
      <c r="CP38" s="180"/>
      <c r="CQ38" s="180"/>
      <c r="CR38" s="180"/>
      <c r="CS38" s="180"/>
      <c r="CT38" s="180"/>
      <c r="CU38" s="180"/>
    </row>
    <row r="39" spans="1:99" x14ac:dyDescent="0.3">
      <c r="A39" s="155">
        <v>99</v>
      </c>
      <c r="B39" s="180" t="s">
        <v>229</v>
      </c>
      <c r="C39" s="180"/>
      <c r="D39" s="180">
        <v>0</v>
      </c>
      <c r="E39" s="180">
        <v>0</v>
      </c>
      <c r="F39" s="180"/>
      <c r="G39" s="180"/>
      <c r="H39" s="180">
        <v>0</v>
      </c>
      <c r="I39" s="180">
        <v>0</v>
      </c>
      <c r="J39" s="180"/>
      <c r="K39" s="180">
        <v>0</v>
      </c>
      <c r="L39" s="180">
        <v>3151423</v>
      </c>
      <c r="M39" s="180">
        <v>0</v>
      </c>
      <c r="N39" s="180">
        <v>0</v>
      </c>
      <c r="O39" s="180">
        <v>0</v>
      </c>
      <c r="P39" s="180"/>
      <c r="Q39" s="180">
        <v>0</v>
      </c>
      <c r="R39" s="180">
        <v>0</v>
      </c>
      <c r="S39" s="180">
        <v>0</v>
      </c>
      <c r="T39" s="180">
        <v>0</v>
      </c>
      <c r="U39" s="180"/>
      <c r="V39" s="180"/>
      <c r="W39" s="180"/>
      <c r="X39" s="180">
        <v>0</v>
      </c>
      <c r="Y39" s="180">
        <v>0</v>
      </c>
      <c r="Z39" s="180">
        <v>52732148</v>
      </c>
      <c r="AA39" s="180">
        <v>0</v>
      </c>
      <c r="AB39" s="180">
        <v>0</v>
      </c>
      <c r="AC39" s="180">
        <v>0</v>
      </c>
      <c r="AD39" s="180">
        <v>0</v>
      </c>
      <c r="AE39" s="180">
        <v>0</v>
      </c>
      <c r="AF39" s="180">
        <v>0</v>
      </c>
      <c r="AG39" s="180">
        <v>0</v>
      </c>
      <c r="AH39" s="180">
        <v>0</v>
      </c>
      <c r="AI39" s="180">
        <v>0</v>
      </c>
      <c r="AJ39" s="180">
        <v>0</v>
      </c>
      <c r="AK39" s="180">
        <v>0</v>
      </c>
      <c r="AL39" s="180">
        <v>0</v>
      </c>
      <c r="AM39" s="180">
        <v>0</v>
      </c>
      <c r="AN39" s="180">
        <v>0</v>
      </c>
      <c r="AO39" s="180">
        <v>0</v>
      </c>
      <c r="AP39" s="180">
        <v>0</v>
      </c>
      <c r="AQ39" s="180">
        <v>0</v>
      </c>
      <c r="AR39" s="180">
        <v>0</v>
      </c>
      <c r="AS39" s="180">
        <v>0</v>
      </c>
      <c r="AT39" s="180">
        <v>0</v>
      </c>
      <c r="AU39" s="180">
        <v>0</v>
      </c>
      <c r="AV39" s="180">
        <v>2914428</v>
      </c>
      <c r="AW39" s="180">
        <v>0</v>
      </c>
      <c r="AX39" s="180">
        <v>0</v>
      </c>
      <c r="AY39" s="180">
        <v>0</v>
      </c>
      <c r="AZ39" s="180">
        <v>5611573</v>
      </c>
      <c r="BA39" s="180">
        <v>0</v>
      </c>
      <c r="BB39" s="180">
        <v>0</v>
      </c>
      <c r="BC39" s="180">
        <v>0</v>
      </c>
      <c r="BD39" s="180">
        <v>0</v>
      </c>
      <c r="BE39" s="180">
        <v>1497425</v>
      </c>
      <c r="BF39" s="180">
        <v>13875773</v>
      </c>
      <c r="BG39" s="180"/>
      <c r="BH39" s="180">
        <v>0</v>
      </c>
      <c r="BI39" s="180">
        <v>0</v>
      </c>
      <c r="BJ39" s="180">
        <v>11821114</v>
      </c>
      <c r="BK39" s="180">
        <v>0</v>
      </c>
      <c r="BL39" s="180">
        <v>0</v>
      </c>
      <c r="BM39" s="180">
        <v>0</v>
      </c>
      <c r="BN39" s="180">
        <v>6780012</v>
      </c>
      <c r="BO39" s="180">
        <v>0</v>
      </c>
      <c r="BP39" s="180"/>
      <c r="BQ39" s="180">
        <v>0</v>
      </c>
      <c r="BR39" s="180"/>
      <c r="BS39" s="180">
        <v>0</v>
      </c>
      <c r="BT39" s="180">
        <v>0</v>
      </c>
      <c r="BU39" s="180"/>
      <c r="BV39" s="180">
        <v>0</v>
      </c>
      <c r="BW39" s="180"/>
      <c r="BX39" s="180"/>
      <c r="BY39" s="180"/>
      <c r="BZ39" s="180"/>
      <c r="CA39" s="180"/>
      <c r="CB39" s="180"/>
      <c r="CC39" s="180"/>
      <c r="CD39" s="180"/>
      <c r="CE39" s="180"/>
      <c r="CF39" s="180"/>
      <c r="CG39" s="180"/>
      <c r="CH39" s="180"/>
      <c r="CI39" s="180"/>
      <c r="CJ39" s="180"/>
      <c r="CK39" s="180"/>
      <c r="CL39" s="180"/>
      <c r="CM39" s="180"/>
      <c r="CN39" s="180"/>
      <c r="CO39" s="180"/>
      <c r="CP39" s="180"/>
      <c r="CQ39" s="180"/>
      <c r="CR39" s="180"/>
      <c r="CS39" s="180"/>
      <c r="CT39" s="180"/>
      <c r="CU39" s="180"/>
    </row>
    <row r="40" spans="1:99" x14ac:dyDescent="0.3">
      <c r="A40" s="155">
        <v>100</v>
      </c>
      <c r="B40" s="180" t="s">
        <v>242</v>
      </c>
      <c r="C40" s="180"/>
      <c r="D40" s="180">
        <v>0</v>
      </c>
      <c r="E40" s="180">
        <v>0</v>
      </c>
      <c r="F40" s="180"/>
      <c r="G40" s="180"/>
      <c r="H40" s="180">
        <v>0</v>
      </c>
      <c r="I40" s="180">
        <v>0</v>
      </c>
      <c r="J40" s="180"/>
      <c r="K40" s="180">
        <v>0</v>
      </c>
      <c r="L40" s="180">
        <v>96820</v>
      </c>
      <c r="M40" s="180">
        <v>0</v>
      </c>
      <c r="N40" s="180">
        <v>0</v>
      </c>
      <c r="O40" s="180">
        <v>0</v>
      </c>
      <c r="P40" s="180"/>
      <c r="Q40" s="180">
        <v>0</v>
      </c>
      <c r="R40" s="180">
        <v>0</v>
      </c>
      <c r="S40" s="180">
        <v>0</v>
      </c>
      <c r="T40" s="180">
        <v>0</v>
      </c>
      <c r="U40" s="180"/>
      <c r="V40" s="180"/>
      <c r="W40" s="180"/>
      <c r="X40" s="180">
        <v>0</v>
      </c>
      <c r="Y40" s="180">
        <v>0</v>
      </c>
      <c r="Z40" s="180">
        <v>2059697</v>
      </c>
      <c r="AA40" s="180">
        <v>0</v>
      </c>
      <c r="AB40" s="180">
        <v>0</v>
      </c>
      <c r="AC40" s="180">
        <v>0</v>
      </c>
      <c r="AD40" s="180">
        <v>0</v>
      </c>
      <c r="AE40" s="180">
        <v>0</v>
      </c>
      <c r="AF40" s="180">
        <v>0</v>
      </c>
      <c r="AG40" s="180">
        <v>0</v>
      </c>
      <c r="AH40" s="180">
        <v>0</v>
      </c>
      <c r="AI40" s="180">
        <v>0</v>
      </c>
      <c r="AJ40" s="180">
        <v>0</v>
      </c>
      <c r="AK40" s="180">
        <v>0</v>
      </c>
      <c r="AL40" s="180">
        <v>0</v>
      </c>
      <c r="AM40" s="180">
        <v>0</v>
      </c>
      <c r="AN40" s="180">
        <v>0</v>
      </c>
      <c r="AO40" s="180">
        <v>0</v>
      </c>
      <c r="AP40" s="180">
        <v>0</v>
      </c>
      <c r="AQ40" s="180">
        <v>0</v>
      </c>
      <c r="AR40" s="180">
        <v>0</v>
      </c>
      <c r="AS40" s="180">
        <v>0</v>
      </c>
      <c r="AT40" s="180">
        <v>0</v>
      </c>
      <c r="AU40" s="180">
        <v>0</v>
      </c>
      <c r="AV40" s="180">
        <v>0</v>
      </c>
      <c r="AW40" s="180">
        <v>0</v>
      </c>
      <c r="AX40" s="180">
        <v>0</v>
      </c>
      <c r="AY40" s="180">
        <v>0</v>
      </c>
      <c r="AZ40" s="180">
        <v>27833</v>
      </c>
      <c r="BA40" s="180">
        <v>0</v>
      </c>
      <c r="BB40" s="180">
        <v>0</v>
      </c>
      <c r="BC40" s="180">
        <v>0</v>
      </c>
      <c r="BD40" s="180">
        <v>0</v>
      </c>
      <c r="BE40" s="180">
        <v>16632</v>
      </c>
      <c r="BF40" s="180">
        <v>350179</v>
      </c>
      <c r="BG40" s="180"/>
      <c r="BH40" s="180">
        <v>0</v>
      </c>
      <c r="BI40" s="180">
        <v>0</v>
      </c>
      <c r="BJ40" s="180">
        <v>280755</v>
      </c>
      <c r="BK40" s="180">
        <v>0</v>
      </c>
      <c r="BL40" s="180">
        <v>0</v>
      </c>
      <c r="BM40" s="180">
        <v>0</v>
      </c>
      <c r="BN40" s="180">
        <v>0</v>
      </c>
      <c r="BO40" s="180">
        <v>0</v>
      </c>
      <c r="BP40" s="180"/>
      <c r="BQ40" s="180">
        <v>0</v>
      </c>
      <c r="BR40" s="180"/>
      <c r="BS40" s="180">
        <v>0</v>
      </c>
      <c r="BT40" s="180">
        <v>0</v>
      </c>
      <c r="BU40" s="180"/>
      <c r="BV40" s="180">
        <v>0</v>
      </c>
      <c r="BW40" s="180"/>
      <c r="BX40" s="180"/>
      <c r="BY40" s="180"/>
      <c r="BZ40" s="180"/>
      <c r="CA40" s="180"/>
      <c r="CB40" s="180"/>
      <c r="CC40" s="180"/>
      <c r="CD40" s="180"/>
      <c r="CE40" s="180"/>
      <c r="CF40" s="180"/>
      <c r="CG40" s="180"/>
      <c r="CH40" s="180"/>
      <c r="CI40" s="180"/>
      <c r="CJ40" s="180"/>
      <c r="CK40" s="180"/>
      <c r="CL40" s="180"/>
      <c r="CM40" s="180"/>
      <c r="CN40" s="180"/>
      <c r="CO40" s="180"/>
      <c r="CP40" s="180"/>
      <c r="CQ40" s="180"/>
      <c r="CR40" s="180"/>
      <c r="CS40" s="180"/>
      <c r="CT40" s="180"/>
      <c r="CU40" s="180"/>
    </row>
    <row r="41" spans="1:99" x14ac:dyDescent="0.3">
      <c r="A41" s="155">
        <v>101</v>
      </c>
      <c r="B41" s="180" t="s">
        <v>241</v>
      </c>
      <c r="C41" s="180"/>
      <c r="D41" s="180">
        <v>0</v>
      </c>
      <c r="E41" s="180">
        <v>0</v>
      </c>
      <c r="F41" s="180"/>
      <c r="G41" s="180"/>
      <c r="H41" s="180">
        <v>0</v>
      </c>
      <c r="I41" s="180">
        <v>0</v>
      </c>
      <c r="J41" s="180"/>
      <c r="K41" s="180">
        <v>0</v>
      </c>
      <c r="L41" s="180">
        <v>63174</v>
      </c>
      <c r="M41" s="180">
        <v>0</v>
      </c>
      <c r="N41" s="180">
        <v>0</v>
      </c>
      <c r="O41" s="180">
        <v>0</v>
      </c>
      <c r="P41" s="180"/>
      <c r="Q41" s="180">
        <v>0</v>
      </c>
      <c r="R41" s="180">
        <v>0</v>
      </c>
      <c r="S41" s="180">
        <v>0</v>
      </c>
      <c r="T41" s="180">
        <v>0</v>
      </c>
      <c r="U41" s="180"/>
      <c r="V41" s="180"/>
      <c r="W41" s="180"/>
      <c r="X41" s="180">
        <v>0</v>
      </c>
      <c r="Y41" s="180">
        <v>0</v>
      </c>
      <c r="Z41" s="180">
        <v>6565858</v>
      </c>
      <c r="AA41" s="180">
        <v>0</v>
      </c>
      <c r="AB41" s="180">
        <v>0</v>
      </c>
      <c r="AC41" s="180">
        <v>0</v>
      </c>
      <c r="AD41" s="180">
        <v>0</v>
      </c>
      <c r="AE41" s="180">
        <v>0</v>
      </c>
      <c r="AF41" s="180">
        <v>0</v>
      </c>
      <c r="AG41" s="180">
        <v>0</v>
      </c>
      <c r="AH41" s="180">
        <v>0</v>
      </c>
      <c r="AI41" s="180">
        <v>0</v>
      </c>
      <c r="AJ41" s="180">
        <v>0</v>
      </c>
      <c r="AK41" s="180">
        <v>0</v>
      </c>
      <c r="AL41" s="180">
        <v>0</v>
      </c>
      <c r="AM41" s="180">
        <v>0</v>
      </c>
      <c r="AN41" s="180">
        <v>0</v>
      </c>
      <c r="AO41" s="180">
        <v>0</v>
      </c>
      <c r="AP41" s="180">
        <v>0</v>
      </c>
      <c r="AQ41" s="180">
        <v>0</v>
      </c>
      <c r="AR41" s="180">
        <v>0</v>
      </c>
      <c r="AS41" s="180">
        <v>0</v>
      </c>
      <c r="AT41" s="180">
        <v>0</v>
      </c>
      <c r="AU41" s="180">
        <v>0</v>
      </c>
      <c r="AV41" s="180">
        <v>0</v>
      </c>
      <c r="AW41" s="180">
        <v>0</v>
      </c>
      <c r="AX41" s="180">
        <v>0</v>
      </c>
      <c r="AY41" s="180">
        <v>0</v>
      </c>
      <c r="AZ41" s="180">
        <v>288769</v>
      </c>
      <c r="BA41" s="180">
        <v>0</v>
      </c>
      <c r="BB41" s="180">
        <v>0</v>
      </c>
      <c r="BC41" s="180">
        <v>0</v>
      </c>
      <c r="BD41" s="180">
        <v>0</v>
      </c>
      <c r="BE41" s="180">
        <v>9495</v>
      </c>
      <c r="BF41" s="180">
        <v>6509791</v>
      </c>
      <c r="BG41" s="180"/>
      <c r="BH41" s="180">
        <v>0</v>
      </c>
      <c r="BI41" s="180">
        <v>0</v>
      </c>
      <c r="BJ41" s="180">
        <v>462257</v>
      </c>
      <c r="BK41" s="180">
        <v>0</v>
      </c>
      <c r="BL41" s="180">
        <v>0</v>
      </c>
      <c r="BM41" s="180">
        <v>0</v>
      </c>
      <c r="BN41" s="180">
        <v>496815</v>
      </c>
      <c r="BO41" s="180">
        <v>0</v>
      </c>
      <c r="BP41" s="180"/>
      <c r="BQ41" s="180">
        <v>0</v>
      </c>
      <c r="BR41" s="180"/>
      <c r="BS41" s="180">
        <v>0</v>
      </c>
      <c r="BT41" s="180">
        <v>0</v>
      </c>
      <c r="BU41" s="180"/>
      <c r="BV41" s="180">
        <v>0</v>
      </c>
      <c r="BW41" s="180"/>
      <c r="BX41" s="180"/>
      <c r="BY41" s="180"/>
      <c r="BZ41" s="180"/>
      <c r="CA41" s="180"/>
      <c r="CB41" s="180"/>
      <c r="CC41" s="180"/>
      <c r="CD41" s="180"/>
      <c r="CE41" s="180"/>
      <c r="CF41" s="180"/>
      <c r="CG41" s="180"/>
      <c r="CH41" s="180"/>
      <c r="CI41" s="180"/>
      <c r="CJ41" s="180"/>
      <c r="CK41" s="180"/>
      <c r="CL41" s="180"/>
      <c r="CM41" s="180"/>
      <c r="CN41" s="180"/>
      <c r="CO41" s="180"/>
      <c r="CP41" s="180"/>
      <c r="CQ41" s="180"/>
      <c r="CR41" s="180"/>
      <c r="CS41" s="180"/>
      <c r="CT41" s="180"/>
      <c r="CU41" s="180"/>
    </row>
    <row r="42" spans="1:99" x14ac:dyDescent="0.3">
      <c r="A42" s="155">
        <v>102</v>
      </c>
      <c r="B42" s="180" t="s">
        <v>255</v>
      </c>
      <c r="C42" s="180"/>
      <c r="D42" s="180">
        <v>98.39</v>
      </c>
      <c r="E42" s="180">
        <v>99.82</v>
      </c>
      <c r="F42" s="180"/>
      <c r="G42" s="180"/>
      <c r="H42" s="180">
        <v>98.96</v>
      </c>
      <c r="I42" s="180">
        <v>95.13</v>
      </c>
      <c r="J42" s="180"/>
      <c r="K42" s="180">
        <v>0</v>
      </c>
      <c r="L42" s="180">
        <v>93.31</v>
      </c>
      <c r="M42" s="180">
        <v>98.7</v>
      </c>
      <c r="N42" s="180">
        <v>93.7</v>
      </c>
      <c r="O42" s="180">
        <v>96.55</v>
      </c>
      <c r="P42" s="180"/>
      <c r="Q42" s="180">
        <v>99.02</v>
      </c>
      <c r="R42" s="180">
        <v>98.6</v>
      </c>
      <c r="S42" s="180">
        <v>99.12</v>
      </c>
      <c r="T42" s="180">
        <v>98.77</v>
      </c>
      <c r="U42" s="180"/>
      <c r="V42" s="180"/>
      <c r="W42" s="180"/>
      <c r="X42" s="180">
        <v>98.81</v>
      </c>
      <c r="Y42" s="180">
        <v>98.55</v>
      </c>
      <c r="Z42" s="180">
        <v>95.13</v>
      </c>
      <c r="AA42" s="180">
        <v>99.85</v>
      </c>
      <c r="AB42" s="180">
        <v>51.03</v>
      </c>
      <c r="AC42" s="180">
        <v>90.45</v>
      </c>
      <c r="AD42" s="180">
        <v>96.46</v>
      </c>
      <c r="AE42" s="180">
        <v>94.64</v>
      </c>
      <c r="AF42" s="180">
        <v>99.53</v>
      </c>
      <c r="AG42" s="180">
        <v>93.41</v>
      </c>
      <c r="AH42" s="180">
        <v>99.11</v>
      </c>
      <c r="AI42" s="180">
        <v>94.16</v>
      </c>
      <c r="AJ42" s="180">
        <v>99.34</v>
      </c>
      <c r="AK42" s="180">
        <v>98.73</v>
      </c>
      <c r="AL42" s="180">
        <v>97.97</v>
      </c>
      <c r="AM42" s="180">
        <v>98.94</v>
      </c>
      <c r="AN42" s="180">
        <v>99.46</v>
      </c>
      <c r="AO42" s="180">
        <v>98.33</v>
      </c>
      <c r="AP42" s="180">
        <v>99.04</v>
      </c>
      <c r="AQ42" s="180">
        <v>96.56</v>
      </c>
      <c r="AR42" s="180">
        <v>94.17</v>
      </c>
      <c r="AS42" s="180">
        <v>99.22</v>
      </c>
      <c r="AT42" s="180">
        <v>97.68</v>
      </c>
      <c r="AU42" s="180">
        <v>97.29</v>
      </c>
      <c r="AV42" s="180">
        <v>95.39</v>
      </c>
      <c r="AW42" s="180">
        <v>87.91</v>
      </c>
      <c r="AX42" s="180">
        <v>99.65</v>
      </c>
      <c r="AY42" s="180">
        <v>95.71</v>
      </c>
      <c r="AZ42" s="180">
        <v>99.83</v>
      </c>
      <c r="BA42" s="180">
        <v>99.59</v>
      </c>
      <c r="BB42" s="180">
        <v>94.25</v>
      </c>
      <c r="BC42" s="180">
        <v>98.72</v>
      </c>
      <c r="BD42" s="180">
        <v>99.08</v>
      </c>
      <c r="BE42" s="180">
        <v>95.83</v>
      </c>
      <c r="BF42" s="180">
        <v>98.75</v>
      </c>
      <c r="BG42" s="180"/>
      <c r="BH42" s="180">
        <v>98.96</v>
      </c>
      <c r="BI42" s="180">
        <v>99.62</v>
      </c>
      <c r="BJ42" s="180">
        <v>99.87</v>
      </c>
      <c r="BK42" s="180">
        <v>99.42</v>
      </c>
      <c r="BL42" s="180">
        <v>99.83</v>
      </c>
      <c r="BM42" s="180">
        <v>99.85</v>
      </c>
      <c r="BN42" s="180">
        <v>99.2</v>
      </c>
      <c r="BO42" s="180">
        <v>98.87</v>
      </c>
      <c r="BP42" s="180"/>
      <c r="BQ42" s="180">
        <v>97.39</v>
      </c>
      <c r="BR42" s="180"/>
      <c r="BS42" s="180">
        <v>97.3</v>
      </c>
      <c r="BT42" s="180">
        <v>93.72</v>
      </c>
      <c r="BU42" s="180"/>
      <c r="BV42" s="180">
        <v>97.6</v>
      </c>
      <c r="BW42" s="180"/>
      <c r="BX42" s="180"/>
      <c r="BY42" s="180"/>
      <c r="BZ42" s="180"/>
      <c r="CA42" s="180"/>
      <c r="CB42" s="180"/>
      <c r="CC42" s="180"/>
      <c r="CD42" s="180"/>
      <c r="CE42" s="180"/>
      <c r="CF42" s="180"/>
      <c r="CG42" s="180"/>
      <c r="CH42" s="180"/>
      <c r="CI42" s="180"/>
      <c r="CJ42" s="180"/>
      <c r="CK42" s="180"/>
      <c r="CL42" s="180"/>
      <c r="CM42" s="180"/>
      <c r="CN42" s="180"/>
      <c r="CO42" s="180"/>
      <c r="CP42" s="180"/>
      <c r="CQ42" s="180"/>
      <c r="CR42" s="180"/>
      <c r="CS42" s="180"/>
      <c r="CT42" s="180"/>
      <c r="CU42" s="180"/>
    </row>
    <row r="43" spans="1:99" x14ac:dyDescent="0.3">
      <c r="A43" s="155">
        <v>103</v>
      </c>
      <c r="B43" s="180" t="s">
        <v>256</v>
      </c>
      <c r="C43" s="180"/>
      <c r="D43" s="180">
        <v>100</v>
      </c>
      <c r="E43" s="180">
        <v>100</v>
      </c>
      <c r="F43" s="180"/>
      <c r="G43" s="180"/>
      <c r="H43" s="180">
        <v>100</v>
      </c>
      <c r="I43" s="180">
        <v>100</v>
      </c>
      <c r="J43" s="180"/>
      <c r="K43" s="180">
        <v>0</v>
      </c>
      <c r="L43" s="180">
        <v>100</v>
      </c>
      <c r="M43" s="180">
        <v>100</v>
      </c>
      <c r="N43" s="180">
        <v>100</v>
      </c>
      <c r="O43" s="180">
        <v>100</v>
      </c>
      <c r="P43" s="180"/>
      <c r="Q43" s="180">
        <v>100</v>
      </c>
      <c r="R43" s="180">
        <v>100</v>
      </c>
      <c r="S43" s="180">
        <v>100</v>
      </c>
      <c r="T43" s="180">
        <v>100</v>
      </c>
      <c r="U43" s="180"/>
      <c r="V43" s="180"/>
      <c r="W43" s="180"/>
      <c r="X43" s="180">
        <v>100</v>
      </c>
      <c r="Y43" s="180">
        <v>100</v>
      </c>
      <c r="Z43" s="180">
        <v>99.87</v>
      </c>
      <c r="AA43" s="180">
        <v>100</v>
      </c>
      <c r="AB43" s="180">
        <v>100</v>
      </c>
      <c r="AC43" s="180">
        <v>100</v>
      </c>
      <c r="AD43" s="180">
        <v>100</v>
      </c>
      <c r="AE43" s="180">
        <v>100</v>
      </c>
      <c r="AF43" s="180">
        <v>100</v>
      </c>
      <c r="AG43" s="180">
        <v>100</v>
      </c>
      <c r="AH43" s="180">
        <v>99.81</v>
      </c>
      <c r="AI43" s="180">
        <v>100</v>
      </c>
      <c r="AJ43" s="180">
        <v>100</v>
      </c>
      <c r="AK43" s="180">
        <v>100</v>
      </c>
      <c r="AL43" s="180">
        <v>100</v>
      </c>
      <c r="AM43" s="180">
        <v>100</v>
      </c>
      <c r="AN43" s="180">
        <v>100</v>
      </c>
      <c r="AO43" s="180">
        <v>100</v>
      </c>
      <c r="AP43" s="180">
        <v>100</v>
      </c>
      <c r="AQ43" s="180">
        <v>100</v>
      </c>
      <c r="AR43" s="180">
        <v>100</v>
      </c>
      <c r="AS43" s="180">
        <v>98.22</v>
      </c>
      <c r="AT43" s="180">
        <v>100</v>
      </c>
      <c r="AU43" s="180">
        <v>100</v>
      </c>
      <c r="AV43" s="180">
        <v>100</v>
      </c>
      <c r="AW43" s="180">
        <v>100</v>
      </c>
      <c r="AX43" s="180">
        <v>100</v>
      </c>
      <c r="AY43" s="180">
        <v>100</v>
      </c>
      <c r="AZ43" s="180">
        <v>100</v>
      </c>
      <c r="BA43" s="180">
        <v>100</v>
      </c>
      <c r="BB43" s="180">
        <v>100</v>
      </c>
      <c r="BC43" s="180">
        <v>100</v>
      </c>
      <c r="BD43" s="180">
        <v>100</v>
      </c>
      <c r="BE43" s="180">
        <v>100</v>
      </c>
      <c r="BF43" s="180">
        <v>100</v>
      </c>
      <c r="BG43" s="180"/>
      <c r="BH43" s="180">
        <v>100</v>
      </c>
      <c r="BI43" s="180">
        <v>100</v>
      </c>
      <c r="BJ43" s="180">
        <v>100</v>
      </c>
      <c r="BK43" s="180">
        <v>100</v>
      </c>
      <c r="BL43" s="180">
        <v>100</v>
      </c>
      <c r="BM43" s="180">
        <v>100</v>
      </c>
      <c r="BN43" s="180">
        <v>100</v>
      </c>
      <c r="BO43" s="180">
        <v>100</v>
      </c>
      <c r="BP43" s="180"/>
      <c r="BQ43" s="180">
        <v>100</v>
      </c>
      <c r="BR43" s="180"/>
      <c r="BS43" s="180">
        <v>100</v>
      </c>
      <c r="BT43" s="180">
        <v>100</v>
      </c>
      <c r="BU43" s="180"/>
      <c r="BV43" s="180">
        <v>100</v>
      </c>
      <c r="BW43" s="180"/>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row>
    <row r="44" spans="1:99" x14ac:dyDescent="0.3">
      <c r="A44" s="155">
        <v>171</v>
      </c>
      <c r="B44" s="180" t="s">
        <v>208</v>
      </c>
      <c r="C44" s="180"/>
      <c r="D44" s="180">
        <v>299619</v>
      </c>
      <c r="E44" s="180">
        <v>58489692</v>
      </c>
      <c r="F44" s="180"/>
      <c r="G44" s="180"/>
      <c r="H44" s="180">
        <v>0</v>
      </c>
      <c r="I44" s="180">
        <v>0</v>
      </c>
      <c r="J44" s="180"/>
      <c r="K44" s="180">
        <v>0</v>
      </c>
      <c r="L44" s="180">
        <v>186287</v>
      </c>
      <c r="M44" s="180">
        <v>547955</v>
      </c>
      <c r="N44" s="180">
        <v>0</v>
      </c>
      <c r="O44" s="180">
        <v>17567</v>
      </c>
      <c r="P44" s="180"/>
      <c r="Q44" s="180">
        <v>0</v>
      </c>
      <c r="R44" s="180">
        <v>40848</v>
      </c>
      <c r="S44" s="180">
        <v>0</v>
      </c>
      <c r="T44" s="180">
        <v>1654341</v>
      </c>
      <c r="U44" s="180"/>
      <c r="V44" s="180"/>
      <c r="W44" s="180"/>
      <c r="X44" s="180">
        <v>428038</v>
      </c>
      <c r="Y44" s="180">
        <v>669</v>
      </c>
      <c r="Z44" s="180">
        <v>6306253</v>
      </c>
      <c r="AA44" s="180">
        <v>858300</v>
      </c>
      <c r="AB44" s="180">
        <v>0</v>
      </c>
      <c r="AC44" s="180">
        <v>0</v>
      </c>
      <c r="AD44" s="180">
        <v>3493</v>
      </c>
      <c r="AE44" s="180">
        <v>46512</v>
      </c>
      <c r="AF44" s="180">
        <v>15553</v>
      </c>
      <c r="AG44" s="180">
        <v>8301</v>
      </c>
      <c r="AH44" s="180">
        <v>448460</v>
      </c>
      <c r="AI44" s="180">
        <v>0</v>
      </c>
      <c r="AJ44" s="180">
        <v>154631</v>
      </c>
      <c r="AK44" s="180">
        <v>0</v>
      </c>
      <c r="AL44" s="180">
        <v>53114</v>
      </c>
      <c r="AM44" s="180">
        <v>274529</v>
      </c>
      <c r="AN44" s="180">
        <v>0</v>
      </c>
      <c r="AO44" s="180">
        <v>0</v>
      </c>
      <c r="AP44" s="180">
        <v>35671</v>
      </c>
      <c r="AQ44" s="180">
        <v>0</v>
      </c>
      <c r="AR44" s="180">
        <v>20652</v>
      </c>
      <c r="AS44" s="180">
        <v>1479948</v>
      </c>
      <c r="AT44" s="180">
        <v>12331</v>
      </c>
      <c r="AU44" s="180">
        <v>0</v>
      </c>
      <c r="AV44" s="180">
        <v>0</v>
      </c>
      <c r="AW44" s="180">
        <v>0</v>
      </c>
      <c r="AX44" s="180">
        <v>0</v>
      </c>
      <c r="AY44" s="180">
        <v>0</v>
      </c>
      <c r="AZ44" s="180">
        <v>255439</v>
      </c>
      <c r="BA44" s="180">
        <v>136605</v>
      </c>
      <c r="BB44" s="180">
        <v>0</v>
      </c>
      <c r="BC44" s="180">
        <v>0</v>
      </c>
      <c r="BD44" s="180">
        <v>380573</v>
      </c>
      <c r="BE44" s="180">
        <v>73153</v>
      </c>
      <c r="BF44" s="180">
        <v>6684906</v>
      </c>
      <c r="BG44" s="180"/>
      <c r="BH44" s="180">
        <v>0</v>
      </c>
      <c r="BI44" s="180">
        <v>0</v>
      </c>
      <c r="BJ44" s="180">
        <v>3168809</v>
      </c>
      <c r="BK44" s="180">
        <v>0</v>
      </c>
      <c r="BL44" s="180">
        <v>1462291</v>
      </c>
      <c r="BM44" s="180">
        <v>52128</v>
      </c>
      <c r="BN44" s="180">
        <v>386875</v>
      </c>
      <c r="BO44" s="180">
        <v>0</v>
      </c>
      <c r="BP44" s="180"/>
      <c r="BQ44" s="180">
        <v>2916281</v>
      </c>
      <c r="BR44" s="180"/>
      <c r="BS44" s="180">
        <v>81725</v>
      </c>
      <c r="BT44" s="180">
        <v>60953</v>
      </c>
      <c r="BU44" s="180"/>
      <c r="BV44" s="180">
        <v>74281</v>
      </c>
      <c r="BW44" s="180"/>
      <c r="BX44" s="180"/>
      <c r="BY44" s="180"/>
      <c r="BZ44" s="180"/>
      <c r="CA44" s="180"/>
      <c r="CB44" s="180"/>
      <c r="CC44" s="180"/>
      <c r="CD44" s="180"/>
      <c r="CE44" s="180"/>
      <c r="CF44" s="180"/>
      <c r="CG44" s="180"/>
      <c r="CH44" s="180"/>
      <c r="CI44" s="180"/>
      <c r="CJ44" s="180"/>
      <c r="CK44" s="180"/>
      <c r="CL44" s="180"/>
      <c r="CM44" s="180"/>
      <c r="CN44" s="180"/>
      <c r="CO44" s="180"/>
      <c r="CP44" s="180"/>
      <c r="CQ44" s="180"/>
      <c r="CR44" s="180"/>
      <c r="CS44" s="180"/>
      <c r="CT44" s="180"/>
      <c r="CU44" s="180"/>
    </row>
    <row r="45" spans="1:99" x14ac:dyDescent="0.3">
      <c r="A45" s="155">
        <v>191</v>
      </c>
      <c r="B45" s="180" t="s">
        <v>224</v>
      </c>
      <c r="C45" s="180"/>
      <c r="D45" s="180">
        <v>320955</v>
      </c>
      <c r="E45" s="180">
        <v>24654452</v>
      </c>
      <c r="F45" s="180"/>
      <c r="G45" s="180"/>
      <c r="H45" s="180">
        <v>17124</v>
      </c>
      <c r="I45" s="180">
        <v>0</v>
      </c>
      <c r="J45" s="180"/>
      <c r="K45" s="180">
        <v>0</v>
      </c>
      <c r="L45" s="180">
        <v>3627376</v>
      </c>
      <c r="M45" s="180">
        <v>0</v>
      </c>
      <c r="N45" s="180">
        <v>0</v>
      </c>
      <c r="O45" s="180">
        <v>0</v>
      </c>
      <c r="P45" s="180"/>
      <c r="Q45" s="180">
        <v>0</v>
      </c>
      <c r="R45" s="180">
        <v>0</v>
      </c>
      <c r="S45" s="180">
        <v>0</v>
      </c>
      <c r="T45" s="180">
        <v>0</v>
      </c>
      <c r="U45" s="180"/>
      <c r="V45" s="180"/>
      <c r="W45" s="180"/>
      <c r="X45" s="180">
        <v>0</v>
      </c>
      <c r="Y45" s="180">
        <v>0</v>
      </c>
      <c r="Z45" s="180">
        <v>0</v>
      </c>
      <c r="AA45" s="180">
        <v>0</v>
      </c>
      <c r="AB45" s="180">
        <v>0</v>
      </c>
      <c r="AC45" s="180">
        <v>0</v>
      </c>
      <c r="AD45" s="180">
        <v>0</v>
      </c>
      <c r="AE45" s="180">
        <v>191914</v>
      </c>
      <c r="AF45" s="180">
        <v>73356</v>
      </c>
      <c r="AG45" s="180">
        <v>120800</v>
      </c>
      <c r="AH45" s="180">
        <v>0</v>
      </c>
      <c r="AI45" s="180">
        <v>0</v>
      </c>
      <c r="AJ45" s="180">
        <v>0</v>
      </c>
      <c r="AK45" s="180">
        <v>0</v>
      </c>
      <c r="AL45" s="180">
        <v>0</v>
      </c>
      <c r="AM45" s="180">
        <v>0</v>
      </c>
      <c r="AN45" s="180">
        <v>0</v>
      </c>
      <c r="AO45" s="180">
        <v>0</v>
      </c>
      <c r="AP45" s="180">
        <v>0</v>
      </c>
      <c r="AQ45" s="180">
        <v>0</v>
      </c>
      <c r="AR45" s="180">
        <v>0</v>
      </c>
      <c r="AS45" s="180">
        <v>5773856</v>
      </c>
      <c r="AT45" s="180">
        <v>80267</v>
      </c>
      <c r="AU45" s="180">
        <v>0</v>
      </c>
      <c r="AV45" s="180">
        <v>0</v>
      </c>
      <c r="AW45" s="180">
        <v>60594</v>
      </c>
      <c r="AX45" s="180">
        <v>0</v>
      </c>
      <c r="AY45" s="180">
        <v>0</v>
      </c>
      <c r="AZ45" s="180">
        <v>514726</v>
      </c>
      <c r="BA45" s="180">
        <v>0</v>
      </c>
      <c r="BB45" s="180">
        <v>0</v>
      </c>
      <c r="BC45" s="180">
        <v>0</v>
      </c>
      <c r="BD45" s="180">
        <v>181641</v>
      </c>
      <c r="BE45" s="180">
        <v>0</v>
      </c>
      <c r="BF45" s="180">
        <v>0</v>
      </c>
      <c r="BG45" s="180"/>
      <c r="BH45" s="180">
        <v>0</v>
      </c>
      <c r="BI45" s="180">
        <v>0</v>
      </c>
      <c r="BJ45" s="180">
        <v>1637045</v>
      </c>
      <c r="BK45" s="180">
        <v>297382</v>
      </c>
      <c r="BL45" s="180">
        <v>1950879</v>
      </c>
      <c r="BM45" s="180">
        <v>0</v>
      </c>
      <c r="BN45" s="180">
        <v>1385924</v>
      </c>
      <c r="BO45" s="180">
        <v>7147551</v>
      </c>
      <c r="BP45" s="180"/>
      <c r="BQ45" s="180">
        <v>0</v>
      </c>
      <c r="BR45" s="180"/>
      <c r="BS45" s="180">
        <v>773421</v>
      </c>
      <c r="BT45" s="180">
        <v>308001</v>
      </c>
      <c r="BU45" s="180"/>
      <c r="BV45" s="180">
        <v>13125</v>
      </c>
      <c r="BW45" s="180"/>
      <c r="BX45" s="180"/>
      <c r="BY45" s="180"/>
      <c r="BZ45" s="180"/>
      <c r="CA45" s="180"/>
      <c r="CB45" s="180"/>
      <c r="CC45" s="180"/>
      <c r="CD45" s="180"/>
      <c r="CE45" s="180"/>
      <c r="CF45" s="180"/>
      <c r="CG45" s="180"/>
      <c r="CH45" s="180"/>
      <c r="CI45" s="180"/>
      <c r="CJ45" s="180"/>
      <c r="CK45" s="180"/>
      <c r="CL45" s="180"/>
      <c r="CM45" s="180"/>
      <c r="CN45" s="180"/>
      <c r="CO45" s="180"/>
      <c r="CP45" s="180"/>
      <c r="CQ45" s="180"/>
      <c r="CR45" s="180"/>
      <c r="CS45" s="180"/>
      <c r="CT45" s="180"/>
      <c r="CU45" s="180"/>
    </row>
    <row r="46" spans="1:99" x14ac:dyDescent="0.3">
      <c r="A46" s="155">
        <v>192</v>
      </c>
      <c r="B46" s="180" t="s">
        <v>235</v>
      </c>
      <c r="C46" s="180"/>
      <c r="D46" s="180">
        <v>0</v>
      </c>
      <c r="E46" s="180">
        <v>0</v>
      </c>
      <c r="F46" s="180"/>
      <c r="G46" s="180"/>
      <c r="H46" s="180">
        <v>0</v>
      </c>
      <c r="I46" s="180">
        <v>0</v>
      </c>
      <c r="J46" s="180"/>
      <c r="K46" s="180">
        <v>0</v>
      </c>
      <c r="L46" s="180">
        <v>0</v>
      </c>
      <c r="M46" s="180">
        <v>0</v>
      </c>
      <c r="N46" s="180">
        <v>0</v>
      </c>
      <c r="O46" s="180">
        <v>0</v>
      </c>
      <c r="P46" s="180"/>
      <c r="Q46" s="180">
        <v>0</v>
      </c>
      <c r="R46" s="180">
        <v>0</v>
      </c>
      <c r="S46" s="180">
        <v>0</v>
      </c>
      <c r="T46" s="180">
        <v>0</v>
      </c>
      <c r="U46" s="180"/>
      <c r="V46" s="180"/>
      <c r="W46" s="180"/>
      <c r="X46" s="180">
        <v>0</v>
      </c>
      <c r="Y46" s="180">
        <v>0</v>
      </c>
      <c r="Z46" s="180">
        <v>0</v>
      </c>
      <c r="AA46" s="180">
        <v>0</v>
      </c>
      <c r="AB46" s="180">
        <v>0</v>
      </c>
      <c r="AC46" s="180">
        <v>0</v>
      </c>
      <c r="AD46" s="180">
        <v>0</v>
      </c>
      <c r="AE46" s="180">
        <v>0</v>
      </c>
      <c r="AF46" s="180">
        <v>0</v>
      </c>
      <c r="AG46" s="180">
        <v>0</v>
      </c>
      <c r="AH46" s="180">
        <v>0</v>
      </c>
      <c r="AI46" s="180">
        <v>0</v>
      </c>
      <c r="AJ46" s="180">
        <v>0</v>
      </c>
      <c r="AK46" s="180">
        <v>0</v>
      </c>
      <c r="AL46" s="180">
        <v>0</v>
      </c>
      <c r="AM46" s="180">
        <v>0</v>
      </c>
      <c r="AN46" s="180">
        <v>0</v>
      </c>
      <c r="AO46" s="180">
        <v>0</v>
      </c>
      <c r="AP46" s="180">
        <v>0</v>
      </c>
      <c r="AQ46" s="180">
        <v>0</v>
      </c>
      <c r="AR46" s="180">
        <v>0</v>
      </c>
      <c r="AS46" s="180">
        <v>0</v>
      </c>
      <c r="AT46" s="180">
        <v>0</v>
      </c>
      <c r="AU46" s="180">
        <v>0</v>
      </c>
      <c r="AV46" s="180">
        <v>0</v>
      </c>
      <c r="AW46" s="180">
        <v>0</v>
      </c>
      <c r="AX46" s="180">
        <v>0</v>
      </c>
      <c r="AY46" s="180">
        <v>0</v>
      </c>
      <c r="AZ46" s="180">
        <v>0</v>
      </c>
      <c r="BA46" s="180">
        <v>0</v>
      </c>
      <c r="BB46" s="180">
        <v>0</v>
      </c>
      <c r="BC46" s="180">
        <v>0</v>
      </c>
      <c r="BD46" s="180">
        <v>0</v>
      </c>
      <c r="BE46" s="180">
        <v>0</v>
      </c>
      <c r="BF46" s="180">
        <v>0</v>
      </c>
      <c r="BG46" s="180"/>
      <c r="BH46" s="180">
        <v>0</v>
      </c>
      <c r="BI46" s="180">
        <v>0</v>
      </c>
      <c r="BJ46" s="180">
        <v>0</v>
      </c>
      <c r="BK46" s="180">
        <v>0</v>
      </c>
      <c r="BL46" s="180">
        <v>0</v>
      </c>
      <c r="BM46" s="180">
        <v>0</v>
      </c>
      <c r="BN46" s="180">
        <v>0</v>
      </c>
      <c r="BO46" s="180">
        <v>0</v>
      </c>
      <c r="BP46" s="180"/>
      <c r="BQ46" s="180">
        <v>0</v>
      </c>
      <c r="BR46" s="180"/>
      <c r="BS46" s="180">
        <v>0</v>
      </c>
      <c r="BT46" s="180">
        <v>0</v>
      </c>
      <c r="BU46" s="180"/>
      <c r="BV46" s="180">
        <v>0</v>
      </c>
      <c r="BW46" s="180"/>
      <c r="BX46" s="180"/>
      <c r="BY46" s="180"/>
      <c r="BZ46" s="180"/>
      <c r="CA46" s="180"/>
      <c r="CB46" s="180"/>
      <c r="CC46" s="180"/>
      <c r="CD46" s="180"/>
      <c r="CE46" s="180"/>
      <c r="CF46" s="180"/>
      <c r="CG46" s="180"/>
      <c r="CH46" s="180"/>
      <c r="CI46" s="180"/>
      <c r="CJ46" s="180"/>
      <c r="CK46" s="180"/>
      <c r="CL46" s="180"/>
      <c r="CM46" s="180"/>
      <c r="CN46" s="180"/>
      <c r="CO46" s="180"/>
      <c r="CP46" s="180"/>
      <c r="CQ46" s="180"/>
      <c r="CR46" s="180"/>
      <c r="CS46" s="180"/>
      <c r="CT46" s="180"/>
      <c r="CU46" s="180"/>
    </row>
    <row r="47" spans="1:99" x14ac:dyDescent="0.3">
      <c r="A47" s="155">
        <v>252</v>
      </c>
      <c r="B47" s="180" t="s">
        <v>95</v>
      </c>
      <c r="C47" s="180"/>
      <c r="D47" s="180">
        <v>4455837</v>
      </c>
      <c r="E47" s="180">
        <v>871723156</v>
      </c>
      <c r="F47" s="180"/>
      <c r="G47" s="180"/>
      <c r="H47" s="180">
        <v>2066394</v>
      </c>
      <c r="I47" s="180">
        <v>7453</v>
      </c>
      <c r="J47" s="180"/>
      <c r="K47" s="180">
        <v>4201999</v>
      </c>
      <c r="L47" s="180">
        <v>3025407</v>
      </c>
      <c r="M47" s="180">
        <v>21701997</v>
      </c>
      <c r="N47" s="180">
        <v>64919</v>
      </c>
      <c r="O47" s="180">
        <v>564738</v>
      </c>
      <c r="P47" s="180"/>
      <c r="Q47" s="180">
        <v>743283</v>
      </c>
      <c r="R47" s="180">
        <v>1044396</v>
      </c>
      <c r="S47" s="180">
        <v>4341031</v>
      </c>
      <c r="T47" s="180">
        <v>10317966</v>
      </c>
      <c r="U47" s="180"/>
      <c r="V47" s="180"/>
      <c r="W47" s="180"/>
      <c r="X47" s="180">
        <v>20424510</v>
      </c>
      <c r="Y47" s="180">
        <v>1833276</v>
      </c>
      <c r="Z47" s="180">
        <v>82832384</v>
      </c>
      <c r="AA47" s="180">
        <v>42408350</v>
      </c>
      <c r="AB47" s="180">
        <v>59813</v>
      </c>
      <c r="AC47" s="180">
        <v>786491</v>
      </c>
      <c r="AD47" s="180">
        <v>1105091</v>
      </c>
      <c r="AE47" s="180">
        <v>534284</v>
      </c>
      <c r="AF47" s="180">
        <v>594835</v>
      </c>
      <c r="AG47" s="180">
        <v>320426</v>
      </c>
      <c r="AH47" s="180">
        <v>4213765</v>
      </c>
      <c r="AI47" s="180">
        <v>96260</v>
      </c>
      <c r="AJ47" s="180">
        <v>4033964</v>
      </c>
      <c r="AK47" s="180">
        <v>96515</v>
      </c>
      <c r="AL47" s="180">
        <v>1135563</v>
      </c>
      <c r="AM47" s="180">
        <v>4414732</v>
      </c>
      <c r="AN47" s="180">
        <v>562744</v>
      </c>
      <c r="AO47" s="180">
        <v>52713117</v>
      </c>
      <c r="AP47" s="180">
        <v>1359699</v>
      </c>
      <c r="AQ47" s="180">
        <v>41174</v>
      </c>
      <c r="AR47" s="180">
        <v>219813</v>
      </c>
      <c r="AS47" s="180">
        <v>33978733</v>
      </c>
      <c r="AT47" s="180">
        <v>535881</v>
      </c>
      <c r="AU47" s="180">
        <v>3396773</v>
      </c>
      <c r="AV47" s="180">
        <v>2282696</v>
      </c>
      <c r="AW47" s="180">
        <v>323107</v>
      </c>
      <c r="AX47" s="180">
        <v>2850510</v>
      </c>
      <c r="AY47" s="180">
        <v>243948</v>
      </c>
      <c r="AZ47" s="180">
        <v>7615420</v>
      </c>
      <c r="BA47" s="180">
        <v>1869820</v>
      </c>
      <c r="BB47" s="180">
        <v>10753</v>
      </c>
      <c r="BC47" s="180">
        <v>112492</v>
      </c>
      <c r="BD47" s="180">
        <v>15375134</v>
      </c>
      <c r="BE47" s="180">
        <v>520361</v>
      </c>
      <c r="BF47" s="180">
        <v>58692544</v>
      </c>
      <c r="BG47" s="180"/>
      <c r="BH47" s="180">
        <v>118624</v>
      </c>
      <c r="BI47" s="180">
        <v>276363</v>
      </c>
      <c r="BJ47" s="180">
        <v>26734766</v>
      </c>
      <c r="BK47" s="180">
        <v>1468859</v>
      </c>
      <c r="BL47" s="180">
        <v>38421771</v>
      </c>
      <c r="BM47" s="180">
        <v>10250586</v>
      </c>
      <c r="BN47" s="180">
        <v>12319591</v>
      </c>
      <c r="BO47" s="180">
        <v>1599230</v>
      </c>
      <c r="BP47" s="180"/>
      <c r="BQ47" s="180">
        <v>4817908</v>
      </c>
      <c r="BR47" s="180"/>
      <c r="BS47" s="180">
        <v>3256206</v>
      </c>
      <c r="BT47" s="180">
        <v>1184545</v>
      </c>
      <c r="BU47" s="180"/>
      <c r="BV47" s="180">
        <v>3398944</v>
      </c>
      <c r="BW47" s="180"/>
      <c r="BX47" s="180"/>
      <c r="BY47" s="180"/>
      <c r="BZ47" s="180"/>
      <c r="CA47" s="180"/>
      <c r="CB47" s="180"/>
      <c r="CC47" s="180"/>
      <c r="CD47" s="180"/>
      <c r="CE47" s="180"/>
      <c r="CF47" s="180"/>
      <c r="CG47" s="180"/>
      <c r="CH47" s="180"/>
      <c r="CI47" s="180"/>
      <c r="CJ47" s="180"/>
      <c r="CK47" s="180"/>
      <c r="CL47" s="180"/>
      <c r="CM47" s="180"/>
      <c r="CN47" s="180"/>
      <c r="CO47" s="180"/>
      <c r="CP47" s="180"/>
      <c r="CQ47" s="180"/>
      <c r="CR47" s="180"/>
      <c r="CS47" s="180"/>
      <c r="CT47" s="180"/>
      <c r="CU47" s="180"/>
    </row>
    <row r="48" spans="1:99" x14ac:dyDescent="0.3">
      <c r="A48" s="155">
        <v>253</v>
      </c>
      <c r="B48" s="180" t="s">
        <v>96</v>
      </c>
      <c r="C48" s="180"/>
      <c r="D48" s="180">
        <v>1580401</v>
      </c>
      <c r="E48" s="180">
        <v>347817432</v>
      </c>
      <c r="F48" s="180"/>
      <c r="G48" s="180"/>
      <c r="H48" s="180">
        <v>744359</v>
      </c>
      <c r="I48" s="180">
        <v>1671</v>
      </c>
      <c r="J48" s="180"/>
      <c r="K48" s="180">
        <v>229848</v>
      </c>
      <c r="L48" s="180">
        <v>289035</v>
      </c>
      <c r="M48" s="180">
        <v>7629188</v>
      </c>
      <c r="N48" s="180">
        <v>67857</v>
      </c>
      <c r="O48" s="180">
        <v>127661</v>
      </c>
      <c r="P48" s="180"/>
      <c r="Q48" s="180">
        <v>180347</v>
      </c>
      <c r="R48" s="180">
        <v>156228</v>
      </c>
      <c r="S48" s="180">
        <v>163479</v>
      </c>
      <c r="T48" s="180">
        <v>1029308</v>
      </c>
      <c r="U48" s="180"/>
      <c r="V48" s="180"/>
      <c r="W48" s="180"/>
      <c r="X48" s="180">
        <v>5165802</v>
      </c>
      <c r="Y48" s="180">
        <v>555763</v>
      </c>
      <c r="Z48" s="180">
        <v>17819682</v>
      </c>
      <c r="AA48" s="180">
        <v>1663260</v>
      </c>
      <c r="AB48" s="180">
        <v>140291</v>
      </c>
      <c r="AC48" s="180">
        <v>62334</v>
      </c>
      <c r="AD48" s="180">
        <v>123352</v>
      </c>
      <c r="AE48" s="180">
        <v>716609</v>
      </c>
      <c r="AF48" s="180">
        <v>100158</v>
      </c>
      <c r="AG48" s="180">
        <v>235072</v>
      </c>
      <c r="AH48" s="180">
        <v>1275143</v>
      </c>
      <c r="AI48" s="180">
        <v>49902</v>
      </c>
      <c r="AJ48" s="180">
        <v>473143</v>
      </c>
      <c r="AK48" s="180">
        <v>29587</v>
      </c>
      <c r="AL48" s="180">
        <v>211234</v>
      </c>
      <c r="AM48" s="180">
        <v>1339655</v>
      </c>
      <c r="AN48" s="180">
        <v>123249</v>
      </c>
      <c r="AO48" s="180">
        <v>6232617</v>
      </c>
      <c r="AP48" s="180">
        <v>178836</v>
      </c>
      <c r="AQ48" s="180">
        <v>49492</v>
      </c>
      <c r="AR48" s="180">
        <v>126176</v>
      </c>
      <c r="AS48" s="180">
        <v>10456936</v>
      </c>
      <c r="AT48" s="180">
        <v>97198</v>
      </c>
      <c r="AU48" s="180">
        <v>741855</v>
      </c>
      <c r="AV48" s="180">
        <v>659348</v>
      </c>
      <c r="AW48" s="180">
        <v>98497</v>
      </c>
      <c r="AX48" s="180">
        <v>602982</v>
      </c>
      <c r="AY48" s="180">
        <v>151478</v>
      </c>
      <c r="AZ48" s="180">
        <v>1392870</v>
      </c>
      <c r="BA48" s="180">
        <v>144832</v>
      </c>
      <c r="BB48" s="180">
        <v>53405</v>
      </c>
      <c r="BC48" s="180">
        <v>60042</v>
      </c>
      <c r="BD48" s="180">
        <v>808563</v>
      </c>
      <c r="BE48" s="180">
        <v>445798</v>
      </c>
      <c r="BF48" s="180">
        <v>8914945</v>
      </c>
      <c r="BG48" s="180"/>
      <c r="BH48" s="180">
        <v>50442</v>
      </c>
      <c r="BI48" s="180">
        <v>79453</v>
      </c>
      <c r="BJ48" s="180">
        <v>4454018</v>
      </c>
      <c r="BK48" s="180">
        <v>221528</v>
      </c>
      <c r="BL48" s="180">
        <v>2520513</v>
      </c>
      <c r="BM48" s="180">
        <v>4394136</v>
      </c>
      <c r="BN48" s="180">
        <v>1619558</v>
      </c>
      <c r="BO48" s="180">
        <v>696315</v>
      </c>
      <c r="BP48" s="180"/>
      <c r="BQ48" s="180">
        <v>1203549</v>
      </c>
      <c r="BR48" s="180"/>
      <c r="BS48" s="180">
        <v>817738</v>
      </c>
      <c r="BT48" s="180">
        <v>585172</v>
      </c>
      <c r="BU48" s="180"/>
      <c r="BV48" s="180">
        <v>57120</v>
      </c>
      <c r="BW48" s="180"/>
      <c r="BX48" s="18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row>
    <row r="49" spans="1:99" x14ac:dyDescent="0.3">
      <c r="A49" s="155">
        <v>254</v>
      </c>
      <c r="B49" s="180" t="s">
        <v>97</v>
      </c>
      <c r="C49" s="180"/>
      <c r="D49" s="180">
        <v>5029451</v>
      </c>
      <c r="E49" s="180">
        <v>48174289</v>
      </c>
      <c r="F49" s="180"/>
      <c r="G49" s="180"/>
      <c r="H49" s="180">
        <v>1093318</v>
      </c>
      <c r="I49" s="180">
        <v>74954</v>
      </c>
      <c r="J49" s="180"/>
      <c r="K49" s="180">
        <v>7893416</v>
      </c>
      <c r="L49" s="180">
        <v>-835015</v>
      </c>
      <c r="M49" s="180">
        <v>-1243689</v>
      </c>
      <c r="N49" s="180">
        <v>845405</v>
      </c>
      <c r="O49" s="180">
        <v>1148345</v>
      </c>
      <c r="P49" s="180"/>
      <c r="Q49" s="180">
        <v>785744</v>
      </c>
      <c r="R49" s="180">
        <v>1128295</v>
      </c>
      <c r="S49" s="180">
        <v>1418669</v>
      </c>
      <c r="T49" s="180">
        <v>-4157659</v>
      </c>
      <c r="U49" s="180"/>
      <c r="V49" s="180"/>
      <c r="W49" s="180"/>
      <c r="X49" s="180">
        <v>-1643426</v>
      </c>
      <c r="Y49" s="180">
        <v>1531569</v>
      </c>
      <c r="Z49" s="180">
        <v>12861880</v>
      </c>
      <c r="AA49" s="180">
        <v>13488724</v>
      </c>
      <c r="AB49" s="180">
        <v>257423</v>
      </c>
      <c r="AC49" s="180">
        <v>577408</v>
      </c>
      <c r="AD49" s="180">
        <v>403476</v>
      </c>
      <c r="AE49" s="180">
        <v>2403701</v>
      </c>
      <c r="AF49" s="180">
        <v>460479</v>
      </c>
      <c r="AG49" s="180">
        <v>-111110</v>
      </c>
      <c r="AH49" s="180">
        <v>-1511984</v>
      </c>
      <c r="AI49" s="180">
        <v>556343</v>
      </c>
      <c r="AJ49" s="180">
        <v>2077599</v>
      </c>
      <c r="AK49" s="180">
        <v>640367</v>
      </c>
      <c r="AL49" s="180">
        <v>749538</v>
      </c>
      <c r="AM49" s="180">
        <v>776666</v>
      </c>
      <c r="AN49" s="180">
        <v>654252</v>
      </c>
      <c r="AO49" s="180">
        <v>13011426</v>
      </c>
      <c r="AP49" s="180">
        <v>1402273</v>
      </c>
      <c r="AQ49" s="180">
        <v>689401</v>
      </c>
      <c r="AR49" s="180">
        <v>692183</v>
      </c>
      <c r="AS49" s="180">
        <v>-24418101</v>
      </c>
      <c r="AT49" s="180">
        <v>406922</v>
      </c>
      <c r="AU49" s="180">
        <v>6608151</v>
      </c>
      <c r="AV49" s="180">
        <v>732360</v>
      </c>
      <c r="AW49" s="180">
        <v>508405</v>
      </c>
      <c r="AX49" s="180">
        <v>52010</v>
      </c>
      <c r="AY49" s="180">
        <v>497430</v>
      </c>
      <c r="AZ49" s="180">
        <v>-2093620</v>
      </c>
      <c r="BA49" s="180">
        <v>875600</v>
      </c>
      <c r="BB49" s="180">
        <v>169253</v>
      </c>
      <c r="BC49" s="180">
        <v>1416601</v>
      </c>
      <c r="BD49" s="180">
        <v>6183399</v>
      </c>
      <c r="BE49" s="180">
        <v>652740</v>
      </c>
      <c r="BF49" s="180">
        <v>-8387389</v>
      </c>
      <c r="BG49" s="180"/>
      <c r="BH49" s="180">
        <v>314379</v>
      </c>
      <c r="BI49" s="180">
        <v>460651</v>
      </c>
      <c r="BJ49" s="180">
        <v>-2568353</v>
      </c>
      <c r="BK49" s="180">
        <v>1399338</v>
      </c>
      <c r="BL49" s="180">
        <v>10164133</v>
      </c>
      <c r="BM49" s="180">
        <v>4640081</v>
      </c>
      <c r="BN49" s="180">
        <v>639686</v>
      </c>
      <c r="BO49" s="180">
        <v>2617058</v>
      </c>
      <c r="BP49" s="180"/>
      <c r="BQ49" s="180">
        <v>1972596</v>
      </c>
      <c r="BR49" s="180"/>
      <c r="BS49" s="180">
        <v>499101</v>
      </c>
      <c r="BT49" s="180">
        <v>863739</v>
      </c>
      <c r="BU49" s="180"/>
      <c r="BV49" s="180">
        <v>3892364</v>
      </c>
      <c r="BW49" s="180"/>
      <c r="BX49" s="180"/>
      <c r="BY49" s="180"/>
      <c r="BZ49" s="180"/>
      <c r="CA49" s="180"/>
      <c r="CB49" s="180"/>
      <c r="CC49" s="180"/>
      <c r="CD49" s="180"/>
      <c r="CE49" s="180"/>
      <c r="CF49" s="180"/>
      <c r="CG49" s="180"/>
      <c r="CH49" s="180"/>
      <c r="CI49" s="180"/>
      <c r="CJ49" s="180"/>
      <c r="CK49" s="180"/>
      <c r="CL49" s="180"/>
      <c r="CM49" s="180"/>
      <c r="CN49" s="180"/>
      <c r="CO49" s="180"/>
      <c r="CP49" s="180"/>
      <c r="CQ49" s="180"/>
      <c r="CR49" s="180"/>
      <c r="CS49" s="180"/>
      <c r="CT49" s="180"/>
      <c r="CU49" s="180"/>
    </row>
    <row r="50" spans="1:99" x14ac:dyDescent="0.3">
      <c r="A50" s="155">
        <v>255</v>
      </c>
      <c r="B50" s="180" t="s">
        <v>188</v>
      </c>
      <c r="C50" s="180"/>
      <c r="D50" s="180">
        <v>1023442</v>
      </c>
      <c r="E50" s="180">
        <v>96336161</v>
      </c>
      <c r="F50" s="180"/>
      <c r="G50" s="180"/>
      <c r="H50" s="180">
        <v>759502</v>
      </c>
      <c r="I50" s="180">
        <v>2150</v>
      </c>
      <c r="J50" s="180"/>
      <c r="K50" s="180">
        <v>530062</v>
      </c>
      <c r="L50" s="180">
        <v>-153404</v>
      </c>
      <c r="M50" s="180">
        <v>748005</v>
      </c>
      <c r="N50" s="180">
        <v>86361</v>
      </c>
      <c r="O50" s="180">
        <v>216209</v>
      </c>
      <c r="P50" s="180"/>
      <c r="Q50" s="180">
        <v>225160</v>
      </c>
      <c r="R50" s="180">
        <v>420836</v>
      </c>
      <c r="S50" s="180">
        <v>572633</v>
      </c>
      <c r="T50" s="180">
        <v>5902615</v>
      </c>
      <c r="U50" s="180"/>
      <c r="V50" s="180"/>
      <c r="W50" s="180"/>
      <c r="X50" s="180">
        <v>1225513</v>
      </c>
      <c r="Y50" s="180">
        <v>260291</v>
      </c>
      <c r="Z50" s="180">
        <v>4113072</v>
      </c>
      <c r="AA50" s="180">
        <v>7720267</v>
      </c>
      <c r="AB50" s="180">
        <v>52960</v>
      </c>
      <c r="AC50" s="180">
        <v>75725</v>
      </c>
      <c r="AD50" s="180">
        <v>131031</v>
      </c>
      <c r="AE50" s="180">
        <v>296518</v>
      </c>
      <c r="AF50" s="180">
        <v>68932</v>
      </c>
      <c r="AG50" s="180">
        <v>394678</v>
      </c>
      <c r="AH50" s="180">
        <v>-1083296</v>
      </c>
      <c r="AI50" s="180">
        <v>43557</v>
      </c>
      <c r="AJ50" s="180">
        <v>422519</v>
      </c>
      <c r="AK50" s="180">
        <v>16566</v>
      </c>
      <c r="AL50" s="180">
        <v>578280</v>
      </c>
      <c r="AM50" s="180">
        <v>400932</v>
      </c>
      <c r="AN50" s="180">
        <v>127331</v>
      </c>
      <c r="AO50" s="180">
        <v>17468211</v>
      </c>
      <c r="AP50" s="180">
        <v>364161</v>
      </c>
      <c r="AQ50" s="180">
        <v>55044</v>
      </c>
      <c r="AR50" s="180">
        <v>101135</v>
      </c>
      <c r="AS50" s="180">
        <v>9425333</v>
      </c>
      <c r="AT50" s="180">
        <v>-29545</v>
      </c>
      <c r="AU50" s="180">
        <v>687760</v>
      </c>
      <c r="AV50" s="180">
        <v>187136</v>
      </c>
      <c r="AW50" s="180">
        <v>95483</v>
      </c>
      <c r="AX50" s="180">
        <v>629506</v>
      </c>
      <c r="AY50" s="180">
        <v>180926</v>
      </c>
      <c r="AZ50" s="180">
        <v>1610378</v>
      </c>
      <c r="BA50" s="180">
        <v>166107</v>
      </c>
      <c r="BB50" s="180">
        <v>-17916</v>
      </c>
      <c r="BC50" s="180">
        <v>81266</v>
      </c>
      <c r="BD50" s="180">
        <v>1394406</v>
      </c>
      <c r="BE50" s="180">
        <v>-37321</v>
      </c>
      <c r="BF50" s="180">
        <v>7338090</v>
      </c>
      <c r="BG50" s="180"/>
      <c r="BH50" s="180">
        <v>130646</v>
      </c>
      <c r="BI50" s="180">
        <v>4489</v>
      </c>
      <c r="BJ50" s="180">
        <v>1460512</v>
      </c>
      <c r="BK50" s="180">
        <v>196516</v>
      </c>
      <c r="BL50" s="180">
        <v>2501761</v>
      </c>
      <c r="BM50" s="180">
        <v>2161521</v>
      </c>
      <c r="BN50" s="180">
        <v>1785804</v>
      </c>
      <c r="BO50" s="180">
        <v>579549</v>
      </c>
      <c r="BP50" s="180"/>
      <c r="BQ50" s="180">
        <v>628784</v>
      </c>
      <c r="BR50" s="180"/>
      <c r="BS50" s="180">
        <v>414411</v>
      </c>
      <c r="BT50" s="180">
        <v>154091</v>
      </c>
      <c r="BU50" s="180"/>
      <c r="BV50" s="180">
        <v>920072</v>
      </c>
      <c r="BW50" s="180"/>
      <c r="BX50" s="180"/>
      <c r="BY50" s="180"/>
      <c r="BZ50" s="180"/>
      <c r="CA50" s="180"/>
      <c r="CB50" s="180"/>
      <c r="CC50" s="180"/>
      <c r="CD50" s="180"/>
      <c r="CE50" s="180"/>
      <c r="CF50" s="180"/>
      <c r="CG50" s="180"/>
      <c r="CH50" s="180"/>
      <c r="CI50" s="180"/>
      <c r="CJ50" s="180"/>
      <c r="CK50" s="180"/>
      <c r="CL50" s="180"/>
      <c r="CM50" s="180"/>
      <c r="CN50" s="180"/>
      <c r="CO50" s="180"/>
      <c r="CP50" s="180"/>
      <c r="CQ50" s="180"/>
      <c r="CR50" s="180"/>
      <c r="CS50" s="180"/>
      <c r="CT50" s="180"/>
      <c r="CU50" s="180"/>
    </row>
    <row r="51" spans="1:99" x14ac:dyDescent="0.3">
      <c r="A51" s="155">
        <v>327</v>
      </c>
      <c r="B51" s="180" t="s">
        <v>920</v>
      </c>
      <c r="C51" s="180"/>
      <c r="D51" s="180">
        <v>147075</v>
      </c>
      <c r="E51" s="180">
        <v>47383098</v>
      </c>
      <c r="F51" s="180"/>
      <c r="G51" s="180"/>
      <c r="H51" s="180">
        <v>170615</v>
      </c>
      <c r="I51" s="180">
        <v>0</v>
      </c>
      <c r="J51" s="180"/>
      <c r="K51" s="180">
        <v>0</v>
      </c>
      <c r="L51" s="180">
        <v>120034</v>
      </c>
      <c r="M51" s="180">
        <v>1291926</v>
      </c>
      <c r="N51" s="180">
        <v>0</v>
      </c>
      <c r="O51" s="180">
        <v>0</v>
      </c>
      <c r="P51" s="180"/>
      <c r="Q51" s="180">
        <v>0</v>
      </c>
      <c r="R51" s="180">
        <v>0</v>
      </c>
      <c r="S51" s="180">
        <v>183357</v>
      </c>
      <c r="T51" s="180">
        <v>0</v>
      </c>
      <c r="U51" s="180"/>
      <c r="V51" s="180"/>
      <c r="W51" s="180"/>
      <c r="X51" s="180">
        <v>566447</v>
      </c>
      <c r="Y51" s="180">
        <v>0</v>
      </c>
      <c r="Z51" s="180">
        <v>1955212</v>
      </c>
      <c r="AA51" s="180">
        <v>0</v>
      </c>
      <c r="AB51" s="180">
        <v>21402</v>
      </c>
      <c r="AC51" s="180">
        <v>43900</v>
      </c>
      <c r="AD51" s="180">
        <v>73285</v>
      </c>
      <c r="AE51" s="180">
        <v>51151</v>
      </c>
      <c r="AF51" s="180">
        <v>3500</v>
      </c>
      <c r="AG51" s="180">
        <v>10300</v>
      </c>
      <c r="AH51" s="180">
        <v>860226</v>
      </c>
      <c r="AI51" s="180">
        <v>0</v>
      </c>
      <c r="AJ51" s="180">
        <v>0</v>
      </c>
      <c r="AK51" s="180">
        <v>0</v>
      </c>
      <c r="AL51" s="180">
        <v>1699</v>
      </c>
      <c r="AM51" s="180">
        <v>18750</v>
      </c>
      <c r="AN51" s="180">
        <v>25256</v>
      </c>
      <c r="AO51" s="180">
        <v>2278119</v>
      </c>
      <c r="AP51" s="180">
        <v>0</v>
      </c>
      <c r="AQ51" s="180">
        <v>0</v>
      </c>
      <c r="AR51" s="180">
        <v>0</v>
      </c>
      <c r="AS51" s="180">
        <v>2497422</v>
      </c>
      <c r="AT51" s="180">
        <v>31576</v>
      </c>
      <c r="AU51" s="180">
        <v>5436</v>
      </c>
      <c r="AV51" s="180">
        <v>10500</v>
      </c>
      <c r="AW51" s="180">
        <v>290525</v>
      </c>
      <c r="AX51" s="180">
        <v>0</v>
      </c>
      <c r="AY51" s="180">
        <v>0</v>
      </c>
      <c r="AZ51" s="180">
        <v>182438</v>
      </c>
      <c r="BA51" s="180">
        <v>7224</v>
      </c>
      <c r="BB51" s="180">
        <v>0</v>
      </c>
      <c r="BC51" s="180">
        <v>50</v>
      </c>
      <c r="BD51" s="180">
        <v>114950</v>
      </c>
      <c r="BE51" s="180">
        <v>55000</v>
      </c>
      <c r="BF51" s="180">
        <v>440622</v>
      </c>
      <c r="BG51" s="180"/>
      <c r="BH51" s="180">
        <v>0</v>
      </c>
      <c r="BI51" s="180">
        <v>55734</v>
      </c>
      <c r="BJ51" s="180">
        <v>10000</v>
      </c>
      <c r="BK51" s="180">
        <v>31974</v>
      </c>
      <c r="BL51" s="180">
        <v>3968628</v>
      </c>
      <c r="BM51" s="180">
        <v>0</v>
      </c>
      <c r="BN51" s="180">
        <v>2827985</v>
      </c>
      <c r="BO51" s="180">
        <v>218471</v>
      </c>
      <c r="BP51" s="180"/>
      <c r="BQ51" s="180">
        <v>0</v>
      </c>
      <c r="BR51" s="180"/>
      <c r="BS51" s="180">
        <v>38920</v>
      </c>
      <c r="BT51" s="180">
        <v>0</v>
      </c>
      <c r="BU51" s="180"/>
      <c r="BV51" s="180">
        <v>48845</v>
      </c>
      <c r="BW51" s="180"/>
      <c r="BX51" s="180"/>
      <c r="BY51" s="180"/>
      <c r="BZ51" s="180"/>
      <c r="CA51" s="180"/>
      <c r="CB51" s="180"/>
      <c r="CC51" s="180"/>
      <c r="CD51" s="180"/>
      <c r="CE51" s="180"/>
      <c r="CF51" s="180"/>
      <c r="CG51" s="180"/>
      <c r="CH51" s="180"/>
      <c r="CI51" s="180"/>
      <c r="CJ51" s="180"/>
      <c r="CK51" s="180"/>
      <c r="CL51" s="180"/>
      <c r="CM51" s="180"/>
      <c r="CN51" s="180"/>
      <c r="CO51" s="180"/>
      <c r="CP51" s="180"/>
      <c r="CQ51" s="180"/>
      <c r="CR51" s="180"/>
      <c r="CS51" s="180"/>
      <c r="CT51" s="180"/>
      <c r="CU51" s="180"/>
    </row>
    <row r="52" spans="1:99" x14ac:dyDescent="0.3">
      <c r="A52" s="155">
        <v>328</v>
      </c>
      <c r="B52" s="180" t="s">
        <v>306</v>
      </c>
      <c r="C52" s="180"/>
      <c r="D52" s="180">
        <v>5487965</v>
      </c>
      <c r="E52" s="180">
        <v>853578426</v>
      </c>
      <c r="F52" s="180"/>
      <c r="G52" s="180"/>
      <c r="H52" s="180">
        <v>0</v>
      </c>
      <c r="I52" s="180">
        <v>0</v>
      </c>
      <c r="J52" s="180"/>
      <c r="K52" s="180">
        <v>0</v>
      </c>
      <c r="L52" s="180">
        <v>12175115</v>
      </c>
      <c r="M52" s="180">
        <v>2598632</v>
      </c>
      <c r="N52" s="180">
        <v>133712</v>
      </c>
      <c r="O52" s="180">
        <v>0</v>
      </c>
      <c r="P52" s="180"/>
      <c r="Q52" s="180">
        <v>0</v>
      </c>
      <c r="R52" s="180">
        <v>0</v>
      </c>
      <c r="S52" s="180">
        <v>220070</v>
      </c>
      <c r="T52" s="180">
        <v>0</v>
      </c>
      <c r="U52" s="180"/>
      <c r="V52" s="180"/>
      <c r="W52" s="180"/>
      <c r="X52" s="180">
        <v>123985</v>
      </c>
      <c r="Y52" s="180">
        <v>0</v>
      </c>
      <c r="Z52" s="180">
        <v>290195</v>
      </c>
      <c r="AA52" s="180">
        <v>0</v>
      </c>
      <c r="AB52" s="180">
        <v>0</v>
      </c>
      <c r="AC52" s="180">
        <v>4100178</v>
      </c>
      <c r="AD52" s="180">
        <v>0</v>
      </c>
      <c r="AE52" s="180">
        <v>223795</v>
      </c>
      <c r="AF52" s="180">
        <v>0</v>
      </c>
      <c r="AG52" s="180">
        <v>120800</v>
      </c>
      <c r="AH52" s="180">
        <v>20265444</v>
      </c>
      <c r="AI52" s="180">
        <v>0</v>
      </c>
      <c r="AJ52" s="180">
        <v>0</v>
      </c>
      <c r="AK52" s="180">
        <v>0</v>
      </c>
      <c r="AL52" s="180">
        <v>0</v>
      </c>
      <c r="AM52" s="180">
        <v>1072026</v>
      </c>
      <c r="AN52" s="180">
        <v>0</v>
      </c>
      <c r="AO52" s="180">
        <v>33595164</v>
      </c>
      <c r="AP52" s="180">
        <v>0</v>
      </c>
      <c r="AQ52" s="180">
        <v>0</v>
      </c>
      <c r="AR52" s="180">
        <v>0</v>
      </c>
      <c r="AS52" s="180">
        <v>9152428</v>
      </c>
      <c r="AT52" s="180">
        <v>80267</v>
      </c>
      <c r="AU52" s="180">
        <v>0</v>
      </c>
      <c r="AV52" s="180">
        <v>0</v>
      </c>
      <c r="AW52" s="180">
        <v>187943</v>
      </c>
      <c r="AX52" s="180">
        <v>0</v>
      </c>
      <c r="AY52" s="180">
        <v>0</v>
      </c>
      <c r="AZ52" s="180">
        <v>451213</v>
      </c>
      <c r="BA52" s="180">
        <v>0</v>
      </c>
      <c r="BB52" s="180">
        <v>0</v>
      </c>
      <c r="BC52" s="180">
        <v>0</v>
      </c>
      <c r="BD52" s="180">
        <v>396325</v>
      </c>
      <c r="BE52" s="180">
        <v>0</v>
      </c>
      <c r="BF52" s="180">
        <v>263870</v>
      </c>
      <c r="BG52" s="180"/>
      <c r="BH52" s="180">
        <v>0</v>
      </c>
      <c r="BI52" s="180">
        <v>0</v>
      </c>
      <c r="BJ52" s="180">
        <v>16045816</v>
      </c>
      <c r="BK52" s="180">
        <v>905940</v>
      </c>
      <c r="BL52" s="180">
        <v>2872000</v>
      </c>
      <c r="BM52" s="180">
        <v>0</v>
      </c>
      <c r="BN52" s="180">
        <v>75000</v>
      </c>
      <c r="BO52" s="180">
        <v>97050</v>
      </c>
      <c r="BP52" s="180"/>
      <c r="BQ52" s="180">
        <v>0</v>
      </c>
      <c r="BR52" s="180"/>
      <c r="BS52" s="180">
        <v>115970</v>
      </c>
      <c r="BT52" s="180">
        <v>0</v>
      </c>
      <c r="BU52" s="180"/>
      <c r="BV52" s="180">
        <v>38870</v>
      </c>
      <c r="BW52" s="180"/>
      <c r="BX52" s="180"/>
      <c r="BY52" s="180"/>
      <c r="BZ52" s="180"/>
      <c r="CA52" s="180"/>
      <c r="CB52" s="180"/>
      <c r="CC52" s="180"/>
      <c r="CD52" s="180"/>
      <c r="CE52" s="180"/>
      <c r="CF52" s="180"/>
      <c r="CG52" s="180"/>
      <c r="CH52" s="180"/>
      <c r="CI52" s="180"/>
      <c r="CJ52" s="180"/>
      <c r="CK52" s="180"/>
      <c r="CL52" s="180"/>
      <c r="CM52" s="180"/>
      <c r="CN52" s="180"/>
      <c r="CO52" s="180"/>
      <c r="CP52" s="180"/>
      <c r="CQ52" s="180"/>
      <c r="CR52" s="180"/>
      <c r="CS52" s="180"/>
      <c r="CT52" s="180"/>
      <c r="CU52" s="180"/>
    </row>
    <row r="53" spans="1:99" x14ac:dyDescent="0.3">
      <c r="A53" s="155">
        <v>331</v>
      </c>
      <c r="B53" s="180" t="s">
        <v>238</v>
      </c>
      <c r="C53" s="180"/>
      <c r="D53" s="180">
        <v>267414</v>
      </c>
      <c r="E53" s="180">
        <v>37057606</v>
      </c>
      <c r="F53" s="180"/>
      <c r="G53" s="180"/>
      <c r="H53" s="180">
        <v>0</v>
      </c>
      <c r="I53" s="180">
        <v>0</v>
      </c>
      <c r="J53" s="180"/>
      <c r="K53" s="180">
        <v>0</v>
      </c>
      <c r="L53" s="180">
        <v>120292</v>
      </c>
      <c r="M53" s="180">
        <v>1315627</v>
      </c>
      <c r="N53" s="180">
        <v>0</v>
      </c>
      <c r="O53" s="180">
        <v>19536</v>
      </c>
      <c r="P53" s="180"/>
      <c r="Q53" s="180">
        <v>0</v>
      </c>
      <c r="R53" s="180">
        <v>0</v>
      </c>
      <c r="S53" s="180">
        <v>240000</v>
      </c>
      <c r="T53" s="180">
        <v>0</v>
      </c>
      <c r="U53" s="180"/>
      <c r="V53" s="180"/>
      <c r="W53" s="180"/>
      <c r="X53" s="180">
        <v>0</v>
      </c>
      <c r="Y53" s="180">
        <v>0</v>
      </c>
      <c r="Z53" s="180">
        <v>1286614</v>
      </c>
      <c r="AA53" s="180">
        <v>0</v>
      </c>
      <c r="AB53" s="180">
        <v>31442</v>
      </c>
      <c r="AC53" s="180">
        <v>48971</v>
      </c>
      <c r="AD53" s="180">
        <v>12745</v>
      </c>
      <c r="AE53" s="180">
        <v>376340</v>
      </c>
      <c r="AF53" s="180">
        <v>50000</v>
      </c>
      <c r="AG53" s="180">
        <v>27600</v>
      </c>
      <c r="AH53" s="180">
        <v>997327</v>
      </c>
      <c r="AI53" s="180">
        <v>0</v>
      </c>
      <c r="AJ53" s="180">
        <v>0</v>
      </c>
      <c r="AK53" s="180">
        <v>0</v>
      </c>
      <c r="AL53" s="180">
        <v>53027</v>
      </c>
      <c r="AM53" s="180">
        <v>108395</v>
      </c>
      <c r="AN53" s="180">
        <v>0</v>
      </c>
      <c r="AO53" s="180">
        <v>3516846</v>
      </c>
      <c r="AP53" s="180">
        <v>56496</v>
      </c>
      <c r="AQ53" s="180">
        <v>0</v>
      </c>
      <c r="AR53" s="180">
        <v>0</v>
      </c>
      <c r="AS53" s="180">
        <v>2710792</v>
      </c>
      <c r="AT53" s="180">
        <v>60327</v>
      </c>
      <c r="AU53" s="180">
        <v>83735</v>
      </c>
      <c r="AV53" s="180">
        <v>43000</v>
      </c>
      <c r="AW53" s="180">
        <v>19000</v>
      </c>
      <c r="AX53" s="180">
        <v>0</v>
      </c>
      <c r="AY53" s="180">
        <v>0</v>
      </c>
      <c r="AZ53" s="180">
        <v>114137</v>
      </c>
      <c r="BA53" s="180">
        <v>31471</v>
      </c>
      <c r="BB53" s="180">
        <v>0</v>
      </c>
      <c r="BC53" s="180">
        <v>0</v>
      </c>
      <c r="BD53" s="180">
        <v>0</v>
      </c>
      <c r="BE53" s="180">
        <v>111359</v>
      </c>
      <c r="BF53" s="180">
        <v>5176262</v>
      </c>
      <c r="BG53" s="180"/>
      <c r="BH53" s="180">
        <v>0</v>
      </c>
      <c r="BI53" s="180">
        <v>0</v>
      </c>
      <c r="BJ53" s="180">
        <v>454622</v>
      </c>
      <c r="BK53" s="180">
        <v>90592</v>
      </c>
      <c r="BL53" s="180">
        <v>197913</v>
      </c>
      <c r="BM53" s="180">
        <v>0</v>
      </c>
      <c r="BN53" s="180">
        <v>137998</v>
      </c>
      <c r="BO53" s="180">
        <v>41310</v>
      </c>
      <c r="BP53" s="180"/>
      <c r="BQ53" s="180">
        <v>0</v>
      </c>
      <c r="BR53" s="180"/>
      <c r="BS53" s="180">
        <v>517010</v>
      </c>
      <c r="BT53" s="180">
        <v>36537</v>
      </c>
      <c r="BU53" s="180"/>
      <c r="BV53" s="180">
        <v>64684</v>
      </c>
      <c r="BW53" s="180"/>
      <c r="BX53" s="180"/>
      <c r="BY53" s="180"/>
      <c r="BZ53" s="180"/>
      <c r="CA53" s="180"/>
      <c r="CB53" s="180"/>
      <c r="CC53" s="180"/>
      <c r="CD53" s="180"/>
      <c r="CE53" s="180"/>
      <c r="CF53" s="180"/>
      <c r="CG53" s="180"/>
      <c r="CH53" s="180"/>
      <c r="CI53" s="180"/>
      <c r="CJ53" s="180"/>
      <c r="CK53" s="180"/>
      <c r="CL53" s="180"/>
      <c r="CM53" s="180"/>
      <c r="CN53" s="180"/>
      <c r="CO53" s="180"/>
      <c r="CP53" s="180"/>
      <c r="CQ53" s="180"/>
      <c r="CR53" s="180"/>
      <c r="CS53" s="180"/>
      <c r="CT53" s="180"/>
      <c r="CU53" s="180"/>
    </row>
    <row r="54" spans="1:99" x14ac:dyDescent="0.3">
      <c r="A54" s="155">
        <v>332</v>
      </c>
      <c r="B54" s="180" t="s">
        <v>239</v>
      </c>
      <c r="C54" s="180"/>
      <c r="D54" s="180">
        <v>2667671</v>
      </c>
      <c r="E54" s="180">
        <v>190033861</v>
      </c>
      <c r="F54" s="180"/>
      <c r="G54" s="180"/>
      <c r="H54" s="180">
        <v>0</v>
      </c>
      <c r="I54" s="180">
        <v>0</v>
      </c>
      <c r="J54" s="180"/>
      <c r="K54" s="180">
        <v>0</v>
      </c>
      <c r="L54" s="180">
        <v>4094969</v>
      </c>
      <c r="M54" s="180">
        <v>2691395</v>
      </c>
      <c r="N54" s="180">
        <v>0</v>
      </c>
      <c r="O54" s="180">
        <v>56521</v>
      </c>
      <c r="P54" s="180"/>
      <c r="Q54" s="180">
        <v>0</v>
      </c>
      <c r="R54" s="180">
        <v>0</v>
      </c>
      <c r="S54" s="180">
        <v>129930</v>
      </c>
      <c r="T54" s="180">
        <v>0</v>
      </c>
      <c r="U54" s="180"/>
      <c r="V54" s="180"/>
      <c r="W54" s="180"/>
      <c r="X54" s="180">
        <v>224159</v>
      </c>
      <c r="Y54" s="180">
        <v>0</v>
      </c>
      <c r="Z54" s="180">
        <v>1251216</v>
      </c>
      <c r="AA54" s="180">
        <v>0</v>
      </c>
      <c r="AB54" s="180">
        <v>0</v>
      </c>
      <c r="AC54" s="180">
        <v>501299</v>
      </c>
      <c r="AD54" s="180">
        <v>76935</v>
      </c>
      <c r="AE54" s="180">
        <v>259324</v>
      </c>
      <c r="AF54" s="180">
        <v>289298</v>
      </c>
      <c r="AG54" s="180">
        <v>0</v>
      </c>
      <c r="AH54" s="180">
        <v>2345171</v>
      </c>
      <c r="AI54" s="180">
        <v>0</v>
      </c>
      <c r="AJ54" s="180">
        <v>0</v>
      </c>
      <c r="AK54" s="180">
        <v>0</v>
      </c>
      <c r="AL54" s="180">
        <v>81007</v>
      </c>
      <c r="AM54" s="180">
        <v>921171</v>
      </c>
      <c r="AN54" s="180">
        <v>15436</v>
      </c>
      <c r="AO54" s="180">
        <v>12487911</v>
      </c>
      <c r="AP54" s="180">
        <v>200578</v>
      </c>
      <c r="AQ54" s="180">
        <v>0</v>
      </c>
      <c r="AR54" s="180">
        <v>0</v>
      </c>
      <c r="AS54" s="180">
        <v>5284421</v>
      </c>
      <c r="AT54" s="180">
        <v>438402</v>
      </c>
      <c r="AU54" s="180">
        <v>283000</v>
      </c>
      <c r="AV54" s="180">
        <v>0</v>
      </c>
      <c r="AW54" s="180">
        <v>217231</v>
      </c>
      <c r="AX54" s="180">
        <v>0</v>
      </c>
      <c r="AY54" s="180">
        <v>0</v>
      </c>
      <c r="AZ54" s="180">
        <v>838415</v>
      </c>
      <c r="BA54" s="180">
        <v>57926</v>
      </c>
      <c r="BB54" s="180">
        <v>7205</v>
      </c>
      <c r="BC54" s="180">
        <v>36908</v>
      </c>
      <c r="BD54" s="180">
        <v>625651</v>
      </c>
      <c r="BE54" s="180">
        <v>0</v>
      </c>
      <c r="BF54" s="180">
        <v>820380</v>
      </c>
      <c r="BG54" s="180"/>
      <c r="BH54" s="180">
        <v>0</v>
      </c>
      <c r="BI54" s="180">
        <v>0</v>
      </c>
      <c r="BJ54" s="180">
        <v>12175564</v>
      </c>
      <c r="BK54" s="180">
        <v>100838</v>
      </c>
      <c r="BL54" s="180">
        <v>2125651</v>
      </c>
      <c r="BM54" s="180">
        <v>0</v>
      </c>
      <c r="BN54" s="180">
        <v>696808</v>
      </c>
      <c r="BO54" s="180">
        <v>180606</v>
      </c>
      <c r="BP54" s="180"/>
      <c r="BQ54" s="180">
        <v>0</v>
      </c>
      <c r="BR54" s="180"/>
      <c r="BS54" s="180">
        <v>536674</v>
      </c>
      <c r="BT54" s="180">
        <v>48795</v>
      </c>
      <c r="BU54" s="180"/>
      <c r="BV54" s="180">
        <v>462474</v>
      </c>
      <c r="BW54" s="180"/>
      <c r="BX54" s="180"/>
      <c r="BY54" s="180"/>
      <c r="BZ54" s="180"/>
      <c r="CA54" s="180"/>
      <c r="CB54" s="180"/>
      <c r="CC54" s="180"/>
      <c r="CD54" s="180"/>
      <c r="CE54" s="180"/>
      <c r="CF54" s="180"/>
      <c r="CG54" s="180"/>
      <c r="CH54" s="180"/>
      <c r="CI54" s="180"/>
      <c r="CJ54" s="180"/>
      <c r="CK54" s="180"/>
      <c r="CL54" s="180"/>
      <c r="CM54" s="180"/>
      <c r="CN54" s="180"/>
      <c r="CO54" s="180"/>
      <c r="CP54" s="180"/>
      <c r="CQ54" s="180"/>
      <c r="CR54" s="180"/>
      <c r="CS54" s="180"/>
      <c r="CT54" s="180"/>
      <c r="CU54" s="180"/>
    </row>
    <row r="55" spans="1:99" x14ac:dyDescent="0.3">
      <c r="A55" s="155">
        <v>333</v>
      </c>
      <c r="B55" s="180" t="s">
        <v>176</v>
      </c>
      <c r="C55" s="180"/>
      <c r="D55" s="180">
        <v>8760752</v>
      </c>
      <c r="E55" s="180">
        <v>628854885</v>
      </c>
      <c r="F55" s="180"/>
      <c r="G55" s="180"/>
      <c r="H55" s="180">
        <v>1632179</v>
      </c>
      <c r="I55" s="180">
        <v>74302</v>
      </c>
      <c r="J55" s="180"/>
      <c r="K55" s="180">
        <v>8029553</v>
      </c>
      <c r="L55" s="180">
        <v>1934212</v>
      </c>
      <c r="M55" s="180">
        <v>15164650</v>
      </c>
      <c r="N55" s="180">
        <v>844936</v>
      </c>
      <c r="O55" s="180">
        <v>1341578</v>
      </c>
      <c r="P55" s="180"/>
      <c r="Q55" s="180">
        <v>794787</v>
      </c>
      <c r="R55" s="180">
        <v>1238164</v>
      </c>
      <c r="S55" s="180">
        <v>1620286</v>
      </c>
      <c r="T55" s="180">
        <v>6928558</v>
      </c>
      <c r="U55" s="180"/>
      <c r="V55" s="180"/>
      <c r="W55" s="180"/>
      <c r="X55" s="180">
        <v>7777295</v>
      </c>
      <c r="Y55" s="180">
        <v>1951247</v>
      </c>
      <c r="Z55" s="180">
        <v>38397327</v>
      </c>
      <c r="AA55" s="180">
        <v>18928501</v>
      </c>
      <c r="AB55" s="180">
        <v>231263</v>
      </c>
      <c r="AC55" s="180">
        <v>539592</v>
      </c>
      <c r="AD55" s="180">
        <v>1055360</v>
      </c>
      <c r="AE55" s="180">
        <v>2193092</v>
      </c>
      <c r="AF55" s="180">
        <v>478535</v>
      </c>
      <c r="AG55" s="180">
        <v>449928</v>
      </c>
      <c r="AH55" s="180">
        <v>3526033</v>
      </c>
      <c r="AI55" s="180">
        <v>555587</v>
      </c>
      <c r="AJ55" s="180">
        <v>3801863</v>
      </c>
      <c r="AK55" s="180">
        <v>636593</v>
      </c>
      <c r="AL55" s="180">
        <v>945618</v>
      </c>
      <c r="AM55" s="180">
        <v>2168369</v>
      </c>
      <c r="AN55" s="180">
        <v>707939</v>
      </c>
      <c r="AO55" s="180">
        <v>31823062</v>
      </c>
      <c r="AP55" s="180">
        <v>1410475</v>
      </c>
      <c r="AQ55" s="180">
        <v>702278</v>
      </c>
      <c r="AR55" s="180">
        <v>693999</v>
      </c>
      <c r="AS55" s="180">
        <v>28473800</v>
      </c>
      <c r="AT55" s="180">
        <v>388990</v>
      </c>
      <c r="AU55" s="180">
        <v>6831762</v>
      </c>
      <c r="AV55" s="180">
        <v>1447753</v>
      </c>
      <c r="AW55" s="180">
        <v>404079</v>
      </c>
      <c r="AX55" s="180">
        <v>253023</v>
      </c>
      <c r="AY55" s="180">
        <v>497585</v>
      </c>
      <c r="AZ55" s="180">
        <v>4916489</v>
      </c>
      <c r="BA55" s="180">
        <v>1158774</v>
      </c>
      <c r="BB55" s="180">
        <v>173677</v>
      </c>
      <c r="BC55" s="180">
        <v>1432382</v>
      </c>
      <c r="BD55" s="180">
        <v>7677116</v>
      </c>
      <c r="BE55" s="180">
        <v>1105446</v>
      </c>
      <c r="BF55" s="180">
        <v>15427740</v>
      </c>
      <c r="BG55" s="180"/>
      <c r="BH55" s="180">
        <v>302822</v>
      </c>
      <c r="BI55" s="180">
        <v>471752</v>
      </c>
      <c r="BJ55" s="180">
        <v>13710851</v>
      </c>
      <c r="BK55" s="180">
        <v>1610717</v>
      </c>
      <c r="BL55" s="180">
        <v>15279031</v>
      </c>
      <c r="BM55" s="180">
        <v>8718583</v>
      </c>
      <c r="BN55" s="180">
        <v>7410382</v>
      </c>
      <c r="BO55" s="180">
        <v>3030242</v>
      </c>
      <c r="BP55" s="180"/>
      <c r="BQ55" s="180">
        <v>2935335</v>
      </c>
      <c r="BR55" s="180"/>
      <c r="BS55" s="180">
        <v>2703706</v>
      </c>
      <c r="BT55" s="180">
        <v>1257383</v>
      </c>
      <c r="BU55" s="180"/>
      <c r="BV55" s="180">
        <v>3994307</v>
      </c>
      <c r="BW55" s="180"/>
      <c r="BX55" s="180"/>
      <c r="BY55" s="180"/>
      <c r="BZ55" s="180"/>
      <c r="CA55" s="180"/>
      <c r="CB55" s="180"/>
      <c r="CC55" s="180"/>
      <c r="CD55" s="180"/>
      <c r="CE55" s="180"/>
      <c r="CF55" s="180"/>
      <c r="CG55" s="180"/>
      <c r="CH55" s="180"/>
      <c r="CI55" s="180"/>
      <c r="CJ55" s="180"/>
      <c r="CK55" s="180"/>
      <c r="CL55" s="180"/>
      <c r="CM55" s="180"/>
      <c r="CN55" s="180"/>
      <c r="CO55" s="180"/>
      <c r="CP55" s="180"/>
      <c r="CQ55" s="180"/>
      <c r="CR55" s="180"/>
      <c r="CS55" s="180"/>
      <c r="CT55" s="180"/>
      <c r="CU55" s="180"/>
    </row>
    <row r="56" spans="1:99" x14ac:dyDescent="0.3">
      <c r="A56" s="155">
        <v>334</v>
      </c>
      <c r="B56" s="180" t="s">
        <v>261</v>
      </c>
      <c r="C56" s="180"/>
      <c r="D56" s="180">
        <v>11732352</v>
      </c>
      <c r="E56" s="180">
        <v>1877439023</v>
      </c>
      <c r="F56" s="180"/>
      <c r="G56" s="180"/>
      <c r="H56" s="180">
        <v>5228194</v>
      </c>
      <c r="I56" s="180">
        <v>15918</v>
      </c>
      <c r="J56" s="180"/>
      <c r="K56" s="180">
        <v>5721670</v>
      </c>
      <c r="L56" s="180">
        <v>7432397</v>
      </c>
      <c r="M56" s="180">
        <v>80829273</v>
      </c>
      <c r="N56" s="180">
        <v>146221</v>
      </c>
      <c r="O56" s="180">
        <v>1303811</v>
      </c>
      <c r="P56" s="180"/>
      <c r="Q56" s="180">
        <v>1104517</v>
      </c>
      <c r="R56" s="180">
        <v>1572045</v>
      </c>
      <c r="S56" s="180">
        <v>5891228</v>
      </c>
      <c r="T56" s="180">
        <v>36610701</v>
      </c>
      <c r="U56" s="180"/>
      <c r="V56" s="180"/>
      <c r="W56" s="180"/>
      <c r="X56" s="180">
        <v>38133562</v>
      </c>
      <c r="Y56" s="180">
        <v>4377191</v>
      </c>
      <c r="Z56" s="180">
        <v>225954451</v>
      </c>
      <c r="AA56" s="180">
        <v>43929522</v>
      </c>
      <c r="AB56" s="180">
        <v>91672</v>
      </c>
      <c r="AC56" s="180">
        <v>1344846</v>
      </c>
      <c r="AD56" s="180">
        <v>3995814</v>
      </c>
      <c r="AE56" s="180">
        <v>2845233</v>
      </c>
      <c r="AF56" s="180">
        <v>910011</v>
      </c>
      <c r="AG56" s="180">
        <v>1993879</v>
      </c>
      <c r="AH56" s="180">
        <v>20141263</v>
      </c>
      <c r="AI56" s="180">
        <v>131729</v>
      </c>
      <c r="AJ56" s="180">
        <v>9397732</v>
      </c>
      <c r="AK56" s="180">
        <v>128131</v>
      </c>
      <c r="AL56" s="180">
        <v>2811647</v>
      </c>
      <c r="AM56" s="180">
        <v>13357937</v>
      </c>
      <c r="AN56" s="180">
        <v>0</v>
      </c>
      <c r="AO56" s="180">
        <v>114646647</v>
      </c>
      <c r="AP56" s="180">
        <v>3099390</v>
      </c>
      <c r="AQ56" s="180">
        <v>406781</v>
      </c>
      <c r="AR56" s="180">
        <v>476209</v>
      </c>
      <c r="AS56" s="180">
        <v>93559373</v>
      </c>
      <c r="AT56" s="180">
        <v>763334</v>
      </c>
      <c r="AU56" s="180">
        <v>5996749</v>
      </c>
      <c r="AV56" s="180">
        <v>6467838</v>
      </c>
      <c r="AW56" s="180">
        <v>830774</v>
      </c>
      <c r="AX56" s="180">
        <v>1864281</v>
      </c>
      <c r="AY56" s="180">
        <v>332512</v>
      </c>
      <c r="AZ56" s="180">
        <v>17572130</v>
      </c>
      <c r="BA56" s="180">
        <v>4934802</v>
      </c>
      <c r="BB56" s="180">
        <v>197781</v>
      </c>
      <c r="BC56" s="180">
        <v>329655</v>
      </c>
      <c r="BD56" s="180">
        <v>15742584</v>
      </c>
      <c r="BE56" s="180">
        <v>1508630</v>
      </c>
      <c r="BF56" s="180">
        <v>82683079</v>
      </c>
      <c r="BG56" s="180"/>
      <c r="BH56" s="180">
        <v>467224</v>
      </c>
      <c r="BI56" s="180">
        <v>351009</v>
      </c>
      <c r="BJ56" s="180">
        <v>83411186</v>
      </c>
      <c r="BK56" s="180">
        <v>2498696</v>
      </c>
      <c r="BL56" s="180">
        <v>57591992</v>
      </c>
      <c r="BM56" s="180">
        <v>17557478</v>
      </c>
      <c r="BN56" s="180">
        <v>21136218</v>
      </c>
      <c r="BO56" s="180">
        <v>2158356</v>
      </c>
      <c r="BP56" s="180"/>
      <c r="BQ56" s="180">
        <v>11458076</v>
      </c>
      <c r="BR56" s="180"/>
      <c r="BS56" s="180">
        <v>6656265</v>
      </c>
      <c r="BT56" s="180">
        <v>2915367</v>
      </c>
      <c r="BU56" s="180"/>
      <c r="BV56" s="180">
        <v>5903935</v>
      </c>
      <c r="BW56" s="180"/>
      <c r="BX56" s="180"/>
      <c r="BY56" s="180"/>
      <c r="BZ56" s="180"/>
      <c r="CA56" s="180"/>
      <c r="CB56" s="180"/>
      <c r="CC56" s="180"/>
      <c r="CD56" s="180"/>
      <c r="CE56" s="180"/>
      <c r="CF56" s="180"/>
      <c r="CG56" s="180"/>
      <c r="CH56" s="180"/>
      <c r="CI56" s="180"/>
      <c r="CJ56" s="180"/>
      <c r="CK56" s="180"/>
      <c r="CL56" s="180"/>
      <c r="CM56" s="180"/>
      <c r="CN56" s="180"/>
      <c r="CO56" s="180"/>
      <c r="CP56" s="180"/>
      <c r="CQ56" s="180"/>
      <c r="CR56" s="180"/>
      <c r="CS56" s="180"/>
      <c r="CT56" s="180"/>
      <c r="CU56" s="180"/>
    </row>
    <row r="57" spans="1:99" x14ac:dyDescent="0.3">
      <c r="A57" s="155">
        <v>335</v>
      </c>
      <c r="B57" s="180" t="s">
        <v>109</v>
      </c>
      <c r="C57" s="180"/>
      <c r="D57" s="180">
        <v>0</v>
      </c>
      <c r="E57" s="180">
        <v>0</v>
      </c>
      <c r="F57" s="180"/>
      <c r="G57" s="180"/>
      <c r="H57" s="180">
        <v>0</v>
      </c>
      <c r="I57" s="180">
        <v>0</v>
      </c>
      <c r="J57" s="180"/>
      <c r="K57" s="180">
        <v>0</v>
      </c>
      <c r="L57" s="180">
        <v>0</v>
      </c>
      <c r="M57" s="180">
        <v>2289822</v>
      </c>
      <c r="N57" s="180">
        <v>0</v>
      </c>
      <c r="O57" s="180">
        <v>0</v>
      </c>
      <c r="P57" s="180"/>
      <c r="Q57" s="180">
        <v>0</v>
      </c>
      <c r="R57" s="180">
        <v>0</v>
      </c>
      <c r="S57" s="180">
        <v>3424</v>
      </c>
      <c r="T57" s="180">
        <v>0</v>
      </c>
      <c r="U57" s="180"/>
      <c r="V57" s="180"/>
      <c r="W57" s="180"/>
      <c r="X57" s="180">
        <v>0</v>
      </c>
      <c r="Y57" s="180">
        <v>0</v>
      </c>
      <c r="Z57" s="180">
        <v>10585238</v>
      </c>
      <c r="AA57" s="180">
        <v>0</v>
      </c>
      <c r="AB57" s="180">
        <v>65492</v>
      </c>
      <c r="AC57" s="180">
        <v>132</v>
      </c>
      <c r="AD57" s="180">
        <v>199836</v>
      </c>
      <c r="AE57" s="180">
        <v>0</v>
      </c>
      <c r="AF57" s="180">
        <v>0</v>
      </c>
      <c r="AG57" s="180">
        <v>0</v>
      </c>
      <c r="AH57" s="180">
        <v>0</v>
      </c>
      <c r="AI57" s="180">
        <v>0</v>
      </c>
      <c r="AJ57" s="180">
        <v>0</v>
      </c>
      <c r="AK57" s="180">
        <v>0</v>
      </c>
      <c r="AL57" s="180">
        <v>0</v>
      </c>
      <c r="AM57" s="180">
        <v>0</v>
      </c>
      <c r="AN57" s="180">
        <v>0</v>
      </c>
      <c r="AO57" s="180">
        <v>0</v>
      </c>
      <c r="AP57" s="180">
        <v>0</v>
      </c>
      <c r="AQ57" s="180">
        <v>0</v>
      </c>
      <c r="AR57" s="180">
        <v>0</v>
      </c>
      <c r="AS57" s="180">
        <v>0</v>
      </c>
      <c r="AT57" s="180">
        <v>3703</v>
      </c>
      <c r="AU57" s="180">
        <v>0</v>
      </c>
      <c r="AV57" s="180">
        <v>0</v>
      </c>
      <c r="AW57" s="180">
        <v>0</v>
      </c>
      <c r="AX57" s="180">
        <v>1270768</v>
      </c>
      <c r="AY57" s="180">
        <v>0</v>
      </c>
      <c r="AZ57" s="180">
        <v>0</v>
      </c>
      <c r="BA57" s="180">
        <v>0</v>
      </c>
      <c r="BB57" s="180">
        <v>0</v>
      </c>
      <c r="BC57" s="180">
        <v>0</v>
      </c>
      <c r="BD57" s="180">
        <v>0</v>
      </c>
      <c r="BE57" s="180">
        <v>0</v>
      </c>
      <c r="BF57" s="180">
        <v>5441118</v>
      </c>
      <c r="BG57" s="180"/>
      <c r="BH57" s="180">
        <v>0</v>
      </c>
      <c r="BI57" s="180">
        <v>45574</v>
      </c>
      <c r="BJ57" s="180">
        <v>4375021</v>
      </c>
      <c r="BK57" s="180">
        <v>0</v>
      </c>
      <c r="BL57" s="180">
        <v>2376570</v>
      </c>
      <c r="BM57" s="180">
        <v>0</v>
      </c>
      <c r="BN57" s="180">
        <v>631977</v>
      </c>
      <c r="BO57" s="180">
        <v>274558</v>
      </c>
      <c r="BP57" s="180"/>
      <c r="BQ57" s="180">
        <v>0</v>
      </c>
      <c r="BR57" s="180"/>
      <c r="BS57" s="180">
        <v>312383</v>
      </c>
      <c r="BT57" s="180">
        <v>0</v>
      </c>
      <c r="BU57" s="180"/>
      <c r="BV57" s="180">
        <v>22621</v>
      </c>
      <c r="BW57" s="180"/>
      <c r="BX57" s="180"/>
      <c r="BY57" s="180"/>
      <c r="BZ57" s="180"/>
      <c r="CA57" s="180"/>
      <c r="CB57" s="180"/>
      <c r="CC57" s="180"/>
      <c r="CD57" s="180"/>
      <c r="CE57" s="180"/>
      <c r="CF57" s="180"/>
      <c r="CG57" s="180"/>
      <c r="CH57" s="180"/>
      <c r="CI57" s="180"/>
      <c r="CJ57" s="180"/>
      <c r="CK57" s="180"/>
      <c r="CL57" s="180"/>
      <c r="CM57" s="180"/>
      <c r="CN57" s="180"/>
      <c r="CO57" s="180"/>
      <c r="CP57" s="180"/>
      <c r="CQ57" s="180"/>
      <c r="CR57" s="180"/>
      <c r="CS57" s="180"/>
      <c r="CT57" s="180"/>
      <c r="CU57" s="180"/>
    </row>
    <row r="58" spans="1:99" x14ac:dyDescent="0.3">
      <c r="A58" s="559">
        <v>336</v>
      </c>
      <c r="B58" s="560" t="s">
        <v>921</v>
      </c>
      <c r="C58" s="560"/>
      <c r="D58" s="560">
        <v>613261</v>
      </c>
      <c r="E58" s="560">
        <v>279537188</v>
      </c>
      <c r="F58" s="560"/>
      <c r="G58" s="560"/>
      <c r="H58" s="560">
        <v>74063</v>
      </c>
      <c r="I58" s="560">
        <v>0</v>
      </c>
      <c r="J58" s="560"/>
      <c r="K58" s="560">
        <v>271523</v>
      </c>
      <c r="L58" s="560">
        <v>363288</v>
      </c>
      <c r="M58" s="560">
        <v>3991688</v>
      </c>
      <c r="N58" s="560">
        <v>2892</v>
      </c>
      <c r="O58" s="560">
        <v>190986</v>
      </c>
      <c r="P58" s="560"/>
      <c r="Q58" s="560">
        <v>23899</v>
      </c>
      <c r="R58" s="560">
        <v>336644</v>
      </c>
      <c r="S58" s="560">
        <v>33250</v>
      </c>
      <c r="T58" s="560">
        <v>1242731</v>
      </c>
      <c r="U58" s="560"/>
      <c r="V58" s="560"/>
      <c r="W58" s="560"/>
      <c r="X58" s="560">
        <v>350600</v>
      </c>
      <c r="Y58" s="560">
        <v>108184</v>
      </c>
      <c r="Z58" s="560">
        <v>21924742</v>
      </c>
      <c r="AA58" s="560">
        <v>2140999</v>
      </c>
      <c r="AB58" s="560">
        <v>72574</v>
      </c>
      <c r="AC58" s="560">
        <v>17486</v>
      </c>
      <c r="AD58" s="560">
        <v>250661</v>
      </c>
      <c r="AE58" s="560">
        <v>52985</v>
      </c>
      <c r="AF58" s="560">
        <v>29513</v>
      </c>
      <c r="AG58" s="560">
        <v>63698</v>
      </c>
      <c r="AH58" s="560">
        <v>8320103</v>
      </c>
      <c r="AI58" s="560">
        <v>3654</v>
      </c>
      <c r="AJ58" s="560">
        <v>744988</v>
      </c>
      <c r="AK58" s="560">
        <v>0</v>
      </c>
      <c r="AL58" s="560">
        <v>155301</v>
      </c>
      <c r="AM58" s="560">
        <v>1448426</v>
      </c>
      <c r="AN58" s="560">
        <v>38825</v>
      </c>
      <c r="AO58" s="560">
        <v>6524866</v>
      </c>
      <c r="AP58" s="560">
        <v>73243</v>
      </c>
      <c r="AQ58" s="560">
        <v>15311</v>
      </c>
      <c r="AR58" s="560">
        <v>12869</v>
      </c>
      <c r="AS58" s="560">
        <v>3501072</v>
      </c>
      <c r="AT58" s="560">
        <v>18722</v>
      </c>
      <c r="AU58" s="560">
        <v>170422</v>
      </c>
      <c r="AV58" s="560">
        <v>11382</v>
      </c>
      <c r="AW58" s="560">
        <v>16602</v>
      </c>
      <c r="AX58" s="560">
        <v>1274358</v>
      </c>
      <c r="AY58" s="560">
        <v>18045</v>
      </c>
      <c r="AZ58" s="560">
        <v>345072</v>
      </c>
      <c r="BA58" s="560">
        <v>244640</v>
      </c>
      <c r="BB58" s="560">
        <v>23121</v>
      </c>
      <c r="BC58" s="560">
        <v>38210</v>
      </c>
      <c r="BD58" s="560">
        <v>1006218</v>
      </c>
      <c r="BE58" s="560">
        <v>147122</v>
      </c>
      <c r="BF58" s="560">
        <v>9704208</v>
      </c>
      <c r="BG58" s="560"/>
      <c r="BH58" s="560">
        <v>66638</v>
      </c>
      <c r="BI58" s="560">
        <v>57716</v>
      </c>
      <c r="BJ58" s="560">
        <v>5344704</v>
      </c>
      <c r="BK58" s="560">
        <v>225044</v>
      </c>
      <c r="BL58" s="560">
        <v>4647544</v>
      </c>
      <c r="BM58" s="560">
        <v>1344298</v>
      </c>
      <c r="BN58" s="560">
        <v>1954368</v>
      </c>
      <c r="BO58" s="560">
        <v>325034</v>
      </c>
      <c r="BP58" s="560"/>
      <c r="BQ58" s="560">
        <v>203482</v>
      </c>
      <c r="BR58" s="560"/>
      <c r="BS58">
        <v>670990</v>
      </c>
      <c r="BT58">
        <v>89373</v>
      </c>
      <c r="BV58">
        <v>450353</v>
      </c>
    </row>
    <row r="59" spans="1:99" x14ac:dyDescent="0.3">
      <c r="A59" s="155">
        <v>337</v>
      </c>
      <c r="B59" s="180" t="s">
        <v>245</v>
      </c>
      <c r="C59" s="180"/>
      <c r="D59" s="180">
        <v>1078021</v>
      </c>
      <c r="E59" s="180">
        <v>594774857</v>
      </c>
      <c r="F59" s="180"/>
      <c r="G59" s="180"/>
      <c r="H59" s="180">
        <v>78512</v>
      </c>
      <c r="I59" s="180">
        <v>0</v>
      </c>
      <c r="J59" s="180"/>
      <c r="K59" s="180">
        <v>0</v>
      </c>
      <c r="L59" s="180">
        <v>1284705</v>
      </c>
      <c r="M59" s="180">
        <v>7011472</v>
      </c>
      <c r="N59" s="180">
        <v>0</v>
      </c>
      <c r="O59" s="180">
        <v>80496</v>
      </c>
      <c r="P59" s="180"/>
      <c r="Q59" s="180">
        <v>0</v>
      </c>
      <c r="R59" s="180">
        <v>27131</v>
      </c>
      <c r="S59" s="180">
        <v>0</v>
      </c>
      <c r="T59" s="180">
        <v>0</v>
      </c>
      <c r="U59" s="180"/>
      <c r="V59" s="180"/>
      <c r="W59" s="180"/>
      <c r="X59" s="180">
        <v>5923816</v>
      </c>
      <c r="Y59" s="180">
        <v>864713</v>
      </c>
      <c r="Z59" s="180">
        <v>48856292</v>
      </c>
      <c r="AA59" s="180">
        <v>3585000</v>
      </c>
      <c r="AB59" s="180">
        <v>0</v>
      </c>
      <c r="AC59" s="180">
        <v>0</v>
      </c>
      <c r="AD59" s="180">
        <v>0</v>
      </c>
      <c r="AE59" s="180">
        <v>267868</v>
      </c>
      <c r="AF59" s="180">
        <v>186474</v>
      </c>
      <c r="AG59" s="180">
        <v>66490</v>
      </c>
      <c r="AH59" s="180">
        <v>0</v>
      </c>
      <c r="AI59" s="180">
        <v>0</v>
      </c>
      <c r="AJ59" s="180">
        <v>400359</v>
      </c>
      <c r="AK59" s="180">
        <v>0</v>
      </c>
      <c r="AL59" s="180">
        <v>815222</v>
      </c>
      <c r="AM59" s="180">
        <v>1136947</v>
      </c>
      <c r="AN59" s="180">
        <v>0</v>
      </c>
      <c r="AO59" s="180">
        <v>6824788</v>
      </c>
      <c r="AP59" s="180">
        <v>303432</v>
      </c>
      <c r="AQ59" s="180">
        <v>0</v>
      </c>
      <c r="AR59" s="180">
        <v>274509</v>
      </c>
      <c r="AS59" s="180">
        <v>11328565</v>
      </c>
      <c r="AT59" s="180">
        <v>12124</v>
      </c>
      <c r="AU59" s="180">
        <v>0</v>
      </c>
      <c r="AV59" s="180">
        <v>0</v>
      </c>
      <c r="AW59" s="180">
        <v>0</v>
      </c>
      <c r="AX59" s="180">
        <v>0</v>
      </c>
      <c r="AY59" s="180">
        <v>0</v>
      </c>
      <c r="AZ59" s="180">
        <v>1692111</v>
      </c>
      <c r="BA59" s="180">
        <v>815625</v>
      </c>
      <c r="BB59" s="180">
        <v>0</v>
      </c>
      <c r="BC59" s="180">
        <v>0</v>
      </c>
      <c r="BD59" s="180">
        <v>2375716</v>
      </c>
      <c r="BE59" s="180">
        <v>386883</v>
      </c>
      <c r="BF59" s="180">
        <v>14318129</v>
      </c>
      <c r="BG59" s="180"/>
      <c r="BH59" s="180">
        <v>0</v>
      </c>
      <c r="BI59" s="180">
        <v>0</v>
      </c>
      <c r="BJ59" s="180">
        <v>4686704</v>
      </c>
      <c r="BK59" s="180">
        <v>0</v>
      </c>
      <c r="BL59" s="180">
        <v>6317716</v>
      </c>
      <c r="BM59" s="180">
        <v>5545541</v>
      </c>
      <c r="BN59" s="180">
        <v>3157733</v>
      </c>
      <c r="BO59" s="180">
        <v>0</v>
      </c>
      <c r="BP59" s="180"/>
      <c r="BQ59" s="180">
        <v>2878206</v>
      </c>
      <c r="BR59" s="180"/>
      <c r="BS59">
        <v>0</v>
      </c>
      <c r="BT59">
        <v>563603</v>
      </c>
      <c r="BV59">
        <v>103588</v>
      </c>
    </row>
    <row r="60" spans="1:99" x14ac:dyDescent="0.3">
      <c r="A60" s="563">
        <v>338</v>
      </c>
      <c r="B60" s="564" t="s">
        <v>108</v>
      </c>
      <c r="C60" s="564"/>
      <c r="D60" s="564">
        <v>6151158</v>
      </c>
      <c r="E60" s="564">
        <v>1132445666</v>
      </c>
      <c r="F60" s="564"/>
      <c r="G60" s="564"/>
      <c r="H60" s="564">
        <v>4843676</v>
      </c>
      <c r="I60" s="564">
        <v>0</v>
      </c>
      <c r="J60" s="564"/>
      <c r="K60" s="564">
        <v>336023</v>
      </c>
      <c r="L60" s="564">
        <v>8685502</v>
      </c>
      <c r="M60" s="564">
        <v>25601158</v>
      </c>
      <c r="N60" s="564">
        <v>2892</v>
      </c>
      <c r="O60" s="564">
        <v>357603</v>
      </c>
      <c r="P60" s="564"/>
      <c r="Q60" s="564">
        <v>611330</v>
      </c>
      <c r="R60" s="564">
        <v>764489</v>
      </c>
      <c r="S60" s="564">
        <v>726762</v>
      </c>
      <c r="T60" s="564">
        <v>26188723</v>
      </c>
      <c r="U60" s="564"/>
      <c r="V60" s="564"/>
      <c r="W60" s="564"/>
      <c r="X60" s="564">
        <v>15932891</v>
      </c>
      <c r="Y60" s="564">
        <v>1466904</v>
      </c>
      <c r="Z60" s="564">
        <v>142808777</v>
      </c>
      <c r="AA60" s="564">
        <v>11044740</v>
      </c>
      <c r="AB60" s="564">
        <v>72574</v>
      </c>
      <c r="AC60" s="564">
        <v>69274</v>
      </c>
      <c r="AD60" s="564">
        <v>1166898</v>
      </c>
      <c r="AE60" s="564">
        <v>401832</v>
      </c>
      <c r="AF60" s="564">
        <v>209047</v>
      </c>
      <c r="AG60" s="564">
        <v>1327001</v>
      </c>
      <c r="AH60" s="564">
        <v>11706599</v>
      </c>
      <c r="AI60" s="564">
        <v>3654</v>
      </c>
      <c r="AJ60" s="564">
        <v>3430412</v>
      </c>
      <c r="AK60" s="564">
        <v>65811</v>
      </c>
      <c r="AL60" s="564">
        <v>1076444</v>
      </c>
      <c r="AM60" s="564">
        <v>4178794</v>
      </c>
      <c r="AN60" s="564">
        <v>77700</v>
      </c>
      <c r="AO60" s="564">
        <v>38777846</v>
      </c>
      <c r="AP60" s="564">
        <v>610332</v>
      </c>
      <c r="AQ60" s="564">
        <v>63753</v>
      </c>
      <c r="AR60" s="564">
        <v>497762</v>
      </c>
      <c r="AS60" s="564">
        <v>78983721</v>
      </c>
      <c r="AT60" s="564">
        <v>18757</v>
      </c>
      <c r="AU60" s="564">
        <v>991121</v>
      </c>
      <c r="AV60" s="564">
        <v>1119824</v>
      </c>
      <c r="AW60" s="564">
        <v>410281</v>
      </c>
      <c r="AX60" s="564">
        <v>1495031</v>
      </c>
      <c r="AY60" s="564">
        <v>97388</v>
      </c>
      <c r="AZ60" s="564">
        <v>10896443</v>
      </c>
      <c r="BA60" s="564">
        <v>1512411</v>
      </c>
      <c r="BB60" s="564">
        <v>23121</v>
      </c>
      <c r="BC60" s="564">
        <v>69323</v>
      </c>
      <c r="BD60" s="564">
        <v>6568556</v>
      </c>
      <c r="BE60" s="564">
        <v>1342187</v>
      </c>
      <c r="BF60" s="564">
        <v>51734689</v>
      </c>
      <c r="BG60" s="564"/>
      <c r="BH60" s="564">
        <v>235278</v>
      </c>
      <c r="BI60" s="564">
        <v>57716</v>
      </c>
      <c r="BJ60" s="564">
        <v>29236583</v>
      </c>
      <c r="BK60" s="564">
        <v>864938</v>
      </c>
      <c r="BL60" s="564">
        <v>21177746</v>
      </c>
      <c r="BM60" s="564">
        <v>12367127</v>
      </c>
      <c r="BN60" s="564">
        <v>11625285</v>
      </c>
      <c r="BO60" s="564">
        <v>540196</v>
      </c>
      <c r="BP60" s="564"/>
      <c r="BQ60" s="564">
        <v>4417908</v>
      </c>
      <c r="BR60" s="564"/>
      <c r="BS60">
        <v>4348572</v>
      </c>
      <c r="BT60">
        <v>1209038</v>
      </c>
      <c r="BV60">
        <v>1716762</v>
      </c>
    </row>
    <row r="61" spans="1:99" x14ac:dyDescent="0.3">
      <c r="A61" s="155">
        <v>339</v>
      </c>
      <c r="B61" s="180" t="s">
        <v>181</v>
      </c>
      <c r="C61" s="180"/>
      <c r="D61" s="180">
        <v>671322</v>
      </c>
      <c r="E61" s="180">
        <v>48598545</v>
      </c>
      <c r="F61" s="180"/>
      <c r="G61" s="180"/>
      <c r="H61" s="180">
        <v>366317</v>
      </c>
      <c r="I61" s="180">
        <v>0</v>
      </c>
      <c r="J61" s="180"/>
      <c r="K61" s="180">
        <v>47837</v>
      </c>
      <c r="L61" s="180">
        <v>513158</v>
      </c>
      <c r="M61" s="180">
        <v>991243</v>
      </c>
      <c r="N61" s="180">
        <v>0</v>
      </c>
      <c r="O61" s="180">
        <v>39890</v>
      </c>
      <c r="P61" s="180"/>
      <c r="Q61" s="180">
        <v>33347</v>
      </c>
      <c r="R61" s="180">
        <v>276307</v>
      </c>
      <c r="S61" s="180">
        <v>56988</v>
      </c>
      <c r="T61" s="180">
        <v>1987795</v>
      </c>
      <c r="U61" s="180"/>
      <c r="V61" s="180"/>
      <c r="W61" s="180"/>
      <c r="X61" s="180">
        <v>1112998</v>
      </c>
      <c r="Y61" s="180">
        <v>10335</v>
      </c>
      <c r="Z61" s="180">
        <v>14939430</v>
      </c>
      <c r="AA61" s="180">
        <v>3398013</v>
      </c>
      <c r="AB61" s="180">
        <v>2998</v>
      </c>
      <c r="AC61" s="180">
        <v>81078</v>
      </c>
      <c r="AD61" s="180">
        <v>84280</v>
      </c>
      <c r="AE61" s="180">
        <v>112838</v>
      </c>
      <c r="AF61" s="180">
        <v>158839</v>
      </c>
      <c r="AG61" s="180">
        <v>169585</v>
      </c>
      <c r="AH61" s="180">
        <v>1007573</v>
      </c>
      <c r="AI61" s="180">
        <v>12810</v>
      </c>
      <c r="AJ61" s="180">
        <v>284095</v>
      </c>
      <c r="AK61" s="180">
        <v>23667</v>
      </c>
      <c r="AL61" s="180">
        <v>12499</v>
      </c>
      <c r="AM61" s="180">
        <v>244766</v>
      </c>
      <c r="AN61" s="180">
        <v>90882</v>
      </c>
      <c r="AO61" s="180">
        <v>5583966</v>
      </c>
      <c r="AP61" s="180">
        <v>147742</v>
      </c>
      <c r="AQ61" s="180">
        <v>0</v>
      </c>
      <c r="AR61" s="180">
        <v>45</v>
      </c>
      <c r="AS61" s="180">
        <v>5371001</v>
      </c>
      <c r="AT61" s="180">
        <v>38607</v>
      </c>
      <c r="AU61" s="180">
        <v>285221</v>
      </c>
      <c r="AV61" s="180">
        <v>236257</v>
      </c>
      <c r="AW61" s="180">
        <v>10200</v>
      </c>
      <c r="AX61" s="180">
        <v>63270</v>
      </c>
      <c r="AY61" s="180">
        <v>0</v>
      </c>
      <c r="AZ61" s="180">
        <v>1149167</v>
      </c>
      <c r="BA61" s="180">
        <v>24837</v>
      </c>
      <c r="BB61" s="180">
        <v>0</v>
      </c>
      <c r="BC61" s="180">
        <v>22000</v>
      </c>
      <c r="BD61" s="180">
        <v>977614</v>
      </c>
      <c r="BE61" s="180">
        <v>309798</v>
      </c>
      <c r="BF61" s="180">
        <v>3367789</v>
      </c>
      <c r="BG61" s="180"/>
      <c r="BH61" s="180">
        <v>34626</v>
      </c>
      <c r="BI61" s="180">
        <v>52344</v>
      </c>
      <c r="BJ61" s="180">
        <v>2646053</v>
      </c>
      <c r="BK61" s="180">
        <v>251508</v>
      </c>
      <c r="BL61" s="180">
        <v>2608860</v>
      </c>
      <c r="BM61" s="180">
        <v>201405</v>
      </c>
      <c r="BN61" s="180">
        <v>2681540</v>
      </c>
      <c r="BO61" s="180">
        <v>125506</v>
      </c>
      <c r="BP61" s="180"/>
      <c r="BQ61" s="180">
        <v>164606</v>
      </c>
      <c r="BR61" s="180"/>
      <c r="BS61" s="180">
        <v>330631</v>
      </c>
      <c r="BT61" s="180">
        <v>185584</v>
      </c>
      <c r="BU61" s="180"/>
      <c r="BV61" s="180">
        <v>33363</v>
      </c>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row>
    <row r="62" spans="1:99" x14ac:dyDescent="0.3">
      <c r="A62" s="155">
        <v>341</v>
      </c>
      <c r="B62" s="180" t="s">
        <v>922</v>
      </c>
      <c r="C62" s="180"/>
      <c r="D62" s="180">
        <v>4909291</v>
      </c>
      <c r="E62" s="180">
        <v>464574782</v>
      </c>
      <c r="F62" s="180"/>
      <c r="G62" s="180"/>
      <c r="H62" s="180">
        <v>2891739</v>
      </c>
      <c r="I62" s="180">
        <v>28757</v>
      </c>
      <c r="J62" s="180"/>
      <c r="K62" s="180">
        <v>1225022</v>
      </c>
      <c r="L62" s="180">
        <v>2837136</v>
      </c>
      <c r="M62" s="180">
        <v>16194414</v>
      </c>
      <c r="N62" s="180">
        <v>132211</v>
      </c>
      <c r="O62" s="180">
        <v>653967</v>
      </c>
      <c r="P62" s="180"/>
      <c r="Q62" s="180">
        <v>461547</v>
      </c>
      <c r="R62" s="180">
        <v>1417505</v>
      </c>
      <c r="S62" s="180">
        <v>1550783</v>
      </c>
      <c r="T62" s="180">
        <v>13894484</v>
      </c>
      <c r="U62" s="180"/>
      <c r="V62" s="180"/>
      <c r="W62" s="180"/>
      <c r="X62" s="180">
        <v>8049473</v>
      </c>
      <c r="Y62" s="180">
        <v>1915155</v>
      </c>
      <c r="Z62" s="180">
        <v>56102164</v>
      </c>
      <c r="AA62" s="180">
        <v>10447911</v>
      </c>
      <c r="AB62" s="180">
        <v>343105</v>
      </c>
      <c r="AC62" s="180">
        <v>323828</v>
      </c>
      <c r="AD62" s="180">
        <v>1186435</v>
      </c>
      <c r="AE62" s="180">
        <v>1204926</v>
      </c>
      <c r="AF62" s="180">
        <v>234153</v>
      </c>
      <c r="AG62" s="180">
        <v>857105</v>
      </c>
      <c r="AH62" s="180">
        <v>10144858</v>
      </c>
      <c r="AI62" s="180">
        <v>133957</v>
      </c>
      <c r="AJ62" s="180">
        <v>2381627</v>
      </c>
      <c r="AK62" s="180">
        <v>153038</v>
      </c>
      <c r="AL62" s="180">
        <v>936106</v>
      </c>
      <c r="AM62" s="180">
        <v>4126229</v>
      </c>
      <c r="AN62" s="180">
        <v>315576</v>
      </c>
      <c r="AO62" s="180">
        <v>38011463</v>
      </c>
      <c r="AP62" s="180">
        <v>1345813</v>
      </c>
      <c r="AQ62" s="180">
        <v>161336</v>
      </c>
      <c r="AR62" s="180">
        <v>233295</v>
      </c>
      <c r="AS62" s="180">
        <v>31142328</v>
      </c>
      <c r="AT62" s="180">
        <v>287389</v>
      </c>
      <c r="AU62" s="180">
        <v>2359670</v>
      </c>
      <c r="AV62" s="180">
        <v>1627159</v>
      </c>
      <c r="AW62" s="180">
        <v>403148</v>
      </c>
      <c r="AX62" s="180">
        <v>315757</v>
      </c>
      <c r="AY62" s="180">
        <v>245779</v>
      </c>
      <c r="AZ62" s="180">
        <v>5875466</v>
      </c>
      <c r="BA62" s="180">
        <v>1982708</v>
      </c>
      <c r="BB62" s="180">
        <v>33445</v>
      </c>
      <c r="BC62" s="180">
        <v>383052</v>
      </c>
      <c r="BD62" s="180">
        <v>5036095</v>
      </c>
      <c r="BE62" s="180">
        <v>1038154</v>
      </c>
      <c r="BF62" s="180">
        <v>26359151</v>
      </c>
      <c r="BG62" s="180"/>
      <c r="BH62" s="180">
        <v>326737</v>
      </c>
      <c r="BI62" s="180">
        <v>182717</v>
      </c>
      <c r="BJ62" s="180">
        <v>12925826</v>
      </c>
      <c r="BK62" s="180">
        <v>1200409</v>
      </c>
      <c r="BL62" s="180">
        <v>19257096</v>
      </c>
      <c r="BM62" s="180">
        <v>8158473</v>
      </c>
      <c r="BN62" s="180">
        <v>6424114</v>
      </c>
      <c r="BO62" s="180">
        <v>1759854</v>
      </c>
      <c r="BP62" s="180"/>
      <c r="BQ62" s="180">
        <v>3454419</v>
      </c>
      <c r="BR62" s="180"/>
      <c r="BS62">
        <v>2801907</v>
      </c>
      <c r="BT62" s="180">
        <v>1248150</v>
      </c>
      <c r="BU62" s="180"/>
      <c r="BV62" s="180">
        <v>2485120</v>
      </c>
      <c r="BW62" s="180"/>
      <c r="BX62" s="180"/>
      <c r="BY62" s="180"/>
      <c r="BZ62" s="180"/>
      <c r="CA62" s="180"/>
      <c r="CB62" s="180"/>
      <c r="CC62" s="180"/>
      <c r="CD62" s="180"/>
      <c r="CE62" s="180"/>
      <c r="CF62" s="180"/>
      <c r="CG62" s="180"/>
      <c r="CH62" s="180"/>
      <c r="CI62" s="180"/>
      <c r="CJ62" s="180"/>
      <c r="CK62" s="180"/>
      <c r="CL62" s="180"/>
      <c r="CM62" s="180"/>
      <c r="CN62" s="180"/>
      <c r="CO62" s="180"/>
      <c r="CP62" s="180"/>
      <c r="CQ62" s="180"/>
      <c r="CR62" s="180"/>
      <c r="CS62" s="180"/>
      <c r="CT62" s="180"/>
      <c r="CU62" s="180"/>
    </row>
    <row r="63" spans="1:99" x14ac:dyDescent="0.3">
      <c r="A63" s="155">
        <v>343</v>
      </c>
      <c r="B63" s="180" t="s">
        <v>246</v>
      </c>
      <c r="C63" s="180"/>
      <c r="D63" s="180">
        <v>277104</v>
      </c>
      <c r="E63" s="180">
        <v>62843280</v>
      </c>
      <c r="F63" s="180"/>
      <c r="G63" s="180"/>
      <c r="H63" s="180">
        <v>0</v>
      </c>
      <c r="I63" s="180">
        <v>0</v>
      </c>
      <c r="J63" s="180"/>
      <c r="K63" s="180">
        <v>0</v>
      </c>
      <c r="L63" s="180">
        <v>175860</v>
      </c>
      <c r="M63" s="180">
        <v>420132</v>
      </c>
      <c r="N63" s="180">
        <v>0</v>
      </c>
      <c r="O63" s="180">
        <v>14729</v>
      </c>
      <c r="P63" s="180"/>
      <c r="Q63" s="180">
        <v>0</v>
      </c>
      <c r="R63" s="180">
        <v>36722</v>
      </c>
      <c r="S63" s="180">
        <v>0</v>
      </c>
      <c r="T63" s="180">
        <v>0</v>
      </c>
      <c r="U63" s="180"/>
      <c r="V63" s="180"/>
      <c r="W63" s="180"/>
      <c r="X63" s="180">
        <v>242882</v>
      </c>
      <c r="Y63" s="180">
        <v>607</v>
      </c>
      <c r="Z63" s="180">
        <v>4728133</v>
      </c>
      <c r="AA63" s="180">
        <v>757000</v>
      </c>
      <c r="AB63" s="180">
        <v>0</v>
      </c>
      <c r="AC63" s="180">
        <v>0</v>
      </c>
      <c r="AD63" s="180">
        <v>0</v>
      </c>
      <c r="AE63" s="180">
        <v>46403</v>
      </c>
      <c r="AF63" s="180">
        <v>10606</v>
      </c>
      <c r="AG63" s="180">
        <v>5183</v>
      </c>
      <c r="AH63" s="180">
        <v>0</v>
      </c>
      <c r="AI63" s="180">
        <v>0</v>
      </c>
      <c r="AJ63" s="180">
        <v>131404</v>
      </c>
      <c r="AK63" s="180">
        <v>0</v>
      </c>
      <c r="AL63" s="180">
        <v>16712</v>
      </c>
      <c r="AM63" s="180">
        <v>233199</v>
      </c>
      <c r="AN63" s="180">
        <v>0</v>
      </c>
      <c r="AO63" s="180">
        <v>1102791</v>
      </c>
      <c r="AP63" s="180">
        <v>24438</v>
      </c>
      <c r="AQ63" s="180">
        <v>0</v>
      </c>
      <c r="AR63" s="180">
        <v>8619</v>
      </c>
      <c r="AS63" s="180">
        <v>1171244</v>
      </c>
      <c r="AT63" s="180">
        <v>11952</v>
      </c>
      <c r="AU63" s="180">
        <v>0</v>
      </c>
      <c r="AV63" s="180">
        <v>0</v>
      </c>
      <c r="AW63" s="180">
        <v>0</v>
      </c>
      <c r="AX63" s="180">
        <v>0</v>
      </c>
      <c r="AY63" s="180">
        <v>0</v>
      </c>
      <c r="AZ63" s="180">
        <v>192530</v>
      </c>
      <c r="BA63" s="180">
        <v>112500</v>
      </c>
      <c r="BB63" s="180">
        <v>0</v>
      </c>
      <c r="BC63" s="180">
        <v>0</v>
      </c>
      <c r="BD63" s="180">
        <v>303919</v>
      </c>
      <c r="BE63" s="180">
        <v>62795</v>
      </c>
      <c r="BF63" s="180">
        <v>9072044</v>
      </c>
      <c r="BG63" s="180"/>
      <c r="BH63" s="180">
        <v>0</v>
      </c>
      <c r="BI63" s="180">
        <v>0</v>
      </c>
      <c r="BJ63" s="180">
        <v>2901446</v>
      </c>
      <c r="BK63" s="180">
        <v>0</v>
      </c>
      <c r="BL63" s="180">
        <v>1713453</v>
      </c>
      <c r="BM63" s="180">
        <v>0</v>
      </c>
      <c r="BN63" s="180">
        <v>476817</v>
      </c>
      <c r="BO63" s="180">
        <v>0</v>
      </c>
      <c r="BP63" s="180"/>
      <c r="BQ63" s="180">
        <v>2857146</v>
      </c>
      <c r="BR63" s="180"/>
      <c r="BS63" s="180">
        <v>0</v>
      </c>
      <c r="BT63" s="180">
        <v>36494</v>
      </c>
      <c r="BU63" s="180"/>
      <c r="BV63" s="180">
        <v>70765</v>
      </c>
      <c r="BW63" s="180"/>
      <c r="BX63" s="180"/>
      <c r="BY63" s="180"/>
      <c r="BZ63" s="180"/>
      <c r="CA63" s="180"/>
      <c r="CB63" s="180"/>
      <c r="CC63" s="180"/>
      <c r="CD63" s="180"/>
      <c r="CE63" s="180"/>
      <c r="CF63" s="180"/>
      <c r="CG63" s="180"/>
      <c r="CH63" s="180"/>
      <c r="CI63" s="180"/>
      <c r="CJ63" s="180"/>
      <c r="CK63" s="180"/>
      <c r="CL63" s="180"/>
      <c r="CM63" s="180"/>
      <c r="CN63" s="180"/>
      <c r="CO63" s="180"/>
      <c r="CP63" s="180"/>
      <c r="CQ63" s="180"/>
      <c r="CR63" s="180"/>
      <c r="CS63" s="180"/>
      <c r="CT63" s="180"/>
      <c r="CU63" s="180"/>
    </row>
    <row r="64" spans="1:99" x14ac:dyDescent="0.3">
      <c r="A64" s="155">
        <v>344</v>
      </c>
      <c r="B64" s="180" t="s">
        <v>179</v>
      </c>
      <c r="C64" s="180"/>
      <c r="D64" s="180">
        <v>27992</v>
      </c>
      <c r="E64" s="180">
        <v>15792311</v>
      </c>
      <c r="F64" s="180"/>
      <c r="G64" s="180"/>
      <c r="H64" s="180">
        <v>0</v>
      </c>
      <c r="I64" s="180">
        <v>0</v>
      </c>
      <c r="J64" s="180"/>
      <c r="K64" s="180">
        <v>0</v>
      </c>
      <c r="L64" s="180">
        <v>10427</v>
      </c>
      <c r="M64" s="180">
        <v>0</v>
      </c>
      <c r="N64" s="180">
        <v>0</v>
      </c>
      <c r="O64" s="180">
        <v>2838</v>
      </c>
      <c r="P64" s="180"/>
      <c r="Q64" s="180">
        <v>0</v>
      </c>
      <c r="R64" s="180">
        <v>4126</v>
      </c>
      <c r="S64" s="180">
        <v>0</v>
      </c>
      <c r="T64" s="180">
        <v>288651</v>
      </c>
      <c r="U64" s="180"/>
      <c r="V64" s="180"/>
      <c r="W64" s="180"/>
      <c r="X64" s="180">
        <v>157835</v>
      </c>
      <c r="Y64" s="180">
        <v>23630</v>
      </c>
      <c r="Z64" s="180">
        <v>1564995</v>
      </c>
      <c r="AA64" s="180">
        <v>101300</v>
      </c>
      <c r="AB64" s="180">
        <v>0</v>
      </c>
      <c r="AC64" s="180">
        <v>0</v>
      </c>
      <c r="AD64" s="180">
        <v>0</v>
      </c>
      <c r="AE64" s="180">
        <v>109</v>
      </c>
      <c r="AF64" s="180">
        <v>4947</v>
      </c>
      <c r="AG64" s="180">
        <v>3118</v>
      </c>
      <c r="AH64" s="180">
        <v>70204</v>
      </c>
      <c r="AI64" s="180">
        <v>0</v>
      </c>
      <c r="AJ64" s="180">
        <v>23227</v>
      </c>
      <c r="AK64" s="180">
        <v>0</v>
      </c>
      <c r="AL64" s="180">
        <v>36401</v>
      </c>
      <c r="AM64" s="180">
        <v>41330</v>
      </c>
      <c r="AN64" s="180">
        <v>0</v>
      </c>
      <c r="AO64" s="180">
        <v>220517</v>
      </c>
      <c r="AP64" s="180">
        <v>11233</v>
      </c>
      <c r="AQ64" s="180">
        <v>0</v>
      </c>
      <c r="AR64" s="180">
        <v>12033</v>
      </c>
      <c r="AS64" s="180">
        <v>295932</v>
      </c>
      <c r="AT64" s="180">
        <v>379</v>
      </c>
      <c r="AU64" s="180">
        <v>0</v>
      </c>
      <c r="AV64" s="180">
        <v>0</v>
      </c>
      <c r="AW64" s="180">
        <v>15244</v>
      </c>
      <c r="AX64" s="180">
        <v>0</v>
      </c>
      <c r="AY64" s="180">
        <v>0</v>
      </c>
      <c r="AZ64" s="180">
        <v>57273</v>
      </c>
      <c r="BA64" s="180">
        <v>24105</v>
      </c>
      <c r="BB64" s="180">
        <v>0</v>
      </c>
      <c r="BC64" s="180">
        <v>0</v>
      </c>
      <c r="BD64" s="180">
        <v>61504</v>
      </c>
      <c r="BE64" s="180">
        <v>10357</v>
      </c>
      <c r="BF64" s="180">
        <v>243713</v>
      </c>
      <c r="BG64" s="180"/>
      <c r="BH64" s="180">
        <v>0</v>
      </c>
      <c r="BI64" s="180">
        <v>0</v>
      </c>
      <c r="BJ64" s="180">
        <v>221057</v>
      </c>
      <c r="BK64" s="180">
        <v>0</v>
      </c>
      <c r="BL64" s="180">
        <v>159016</v>
      </c>
      <c r="BM64" s="180">
        <v>52128</v>
      </c>
      <c r="BN64" s="180">
        <v>67486</v>
      </c>
      <c r="BO64" s="180">
        <v>0</v>
      </c>
      <c r="BP64" s="180"/>
      <c r="BQ64" s="180">
        <v>59135</v>
      </c>
      <c r="BR64" s="180"/>
      <c r="BS64" s="180">
        <v>14560</v>
      </c>
      <c r="BT64" s="180">
        <v>24659</v>
      </c>
      <c r="BU64" s="180"/>
      <c r="BV64" s="180">
        <v>3516</v>
      </c>
      <c r="BW64" s="180"/>
      <c r="BX64" s="180"/>
      <c r="BY64" s="180"/>
      <c r="BZ64" s="180"/>
      <c r="CA64" s="180"/>
      <c r="CB64" s="180"/>
      <c r="CC64" s="180"/>
      <c r="CD64" s="180"/>
      <c r="CE64" s="180"/>
      <c r="CF64" s="180"/>
      <c r="CG64" s="180"/>
      <c r="CH64" s="180"/>
      <c r="CI64" s="180"/>
      <c r="CJ64" s="180"/>
      <c r="CK64" s="180"/>
      <c r="CL64" s="180"/>
      <c r="CM64" s="180"/>
      <c r="CN64" s="180"/>
      <c r="CO64" s="180"/>
      <c r="CP64" s="180"/>
      <c r="CQ64" s="180"/>
      <c r="CR64" s="180"/>
      <c r="CS64" s="180"/>
      <c r="CT64" s="180"/>
      <c r="CU64" s="180"/>
    </row>
    <row r="65" spans="1:99" x14ac:dyDescent="0.3">
      <c r="A65" s="155">
        <v>349</v>
      </c>
      <c r="B65" s="180" t="s">
        <v>114</v>
      </c>
      <c r="C65" s="180"/>
      <c r="D65" s="180">
        <v>7650735</v>
      </c>
      <c r="E65" s="180">
        <v>1000586610</v>
      </c>
      <c r="F65" s="180"/>
      <c r="G65" s="180"/>
      <c r="H65" s="180">
        <v>166614</v>
      </c>
      <c r="I65" s="180">
        <v>0</v>
      </c>
      <c r="J65" s="180"/>
      <c r="K65" s="180">
        <v>0</v>
      </c>
      <c r="L65" s="180">
        <v>4984053</v>
      </c>
      <c r="M65" s="180">
        <v>21070549</v>
      </c>
      <c r="N65" s="180">
        <v>0</v>
      </c>
      <c r="O65" s="180">
        <v>234294</v>
      </c>
      <c r="P65" s="180"/>
      <c r="Q65" s="180">
        <v>0</v>
      </c>
      <c r="R65" s="180">
        <v>0</v>
      </c>
      <c r="S65" s="180">
        <v>1421290</v>
      </c>
      <c r="T65" s="180">
        <v>0</v>
      </c>
      <c r="U65" s="180"/>
      <c r="V65" s="180"/>
      <c r="W65" s="180"/>
      <c r="X65" s="180">
        <v>2140850</v>
      </c>
      <c r="Y65" s="180">
        <v>0</v>
      </c>
      <c r="Z65" s="180">
        <v>16470772</v>
      </c>
      <c r="AA65" s="180">
        <v>0</v>
      </c>
      <c r="AB65" s="180">
        <v>366114</v>
      </c>
      <c r="AC65" s="180">
        <v>1054569</v>
      </c>
      <c r="AD65" s="180">
        <v>741626</v>
      </c>
      <c r="AE65" s="180">
        <v>1638404</v>
      </c>
      <c r="AF65" s="180">
        <v>190298</v>
      </c>
      <c r="AG65" s="180">
        <v>936844</v>
      </c>
      <c r="AH65" s="180">
        <v>27367836</v>
      </c>
      <c r="AI65" s="180">
        <v>0</v>
      </c>
      <c r="AJ65" s="180">
        <v>0</v>
      </c>
      <c r="AK65" s="180">
        <v>0</v>
      </c>
      <c r="AL65" s="180">
        <v>1473607</v>
      </c>
      <c r="AM65" s="180">
        <v>1672604</v>
      </c>
      <c r="AN65" s="180">
        <v>98804</v>
      </c>
      <c r="AO65" s="180">
        <v>56993455</v>
      </c>
      <c r="AP65" s="180">
        <v>2292455</v>
      </c>
      <c r="AQ65" s="180">
        <v>0</v>
      </c>
      <c r="AR65" s="180">
        <v>17080</v>
      </c>
      <c r="AS65" s="180">
        <v>74955951</v>
      </c>
      <c r="AT65" s="180">
        <v>1525923</v>
      </c>
      <c r="AU65" s="180">
        <v>478442</v>
      </c>
      <c r="AV65" s="180">
        <v>392799</v>
      </c>
      <c r="AW65" s="180">
        <v>209098</v>
      </c>
      <c r="AX65" s="180">
        <v>0</v>
      </c>
      <c r="AY65" s="180">
        <v>0</v>
      </c>
      <c r="AZ65" s="180">
        <v>4414484</v>
      </c>
      <c r="BA65" s="180">
        <v>102640</v>
      </c>
      <c r="BB65" s="180">
        <v>28926</v>
      </c>
      <c r="BC65" s="180">
        <v>8427</v>
      </c>
      <c r="BD65" s="180">
        <v>881345</v>
      </c>
      <c r="BE65" s="180">
        <v>2948258</v>
      </c>
      <c r="BF65" s="180">
        <v>65338874</v>
      </c>
      <c r="BG65" s="180"/>
      <c r="BH65" s="180">
        <v>0</v>
      </c>
      <c r="BI65" s="180">
        <v>60375</v>
      </c>
      <c r="BJ65" s="180">
        <v>14470582</v>
      </c>
      <c r="BK65" s="180">
        <v>1058554</v>
      </c>
      <c r="BL65" s="180">
        <v>2315504</v>
      </c>
      <c r="BM65" s="180">
        <v>0</v>
      </c>
      <c r="BN65" s="180">
        <v>3064251</v>
      </c>
      <c r="BO65" s="180">
        <v>3646393</v>
      </c>
      <c r="BP65" s="180"/>
      <c r="BQ65" s="180">
        <v>0</v>
      </c>
      <c r="BR65" s="180"/>
      <c r="BS65" s="180">
        <v>7865282</v>
      </c>
      <c r="BT65" s="180">
        <v>816554</v>
      </c>
      <c r="BU65" s="180"/>
      <c r="BV65" s="180">
        <v>1173166</v>
      </c>
      <c r="BW65" s="180"/>
      <c r="BX65" s="180"/>
      <c r="BY65" s="180"/>
      <c r="BZ65" s="180"/>
      <c r="CA65" s="180"/>
      <c r="CB65" s="180"/>
      <c r="CC65" s="180"/>
      <c r="CD65" s="180"/>
      <c r="CE65" s="180"/>
      <c r="CF65" s="180"/>
      <c r="CG65" s="180"/>
      <c r="CH65" s="180"/>
      <c r="CI65" s="180"/>
      <c r="CJ65" s="180"/>
      <c r="CK65" s="180"/>
      <c r="CL65" s="180"/>
      <c r="CM65" s="180"/>
      <c r="CN65" s="180"/>
      <c r="CO65" s="180"/>
      <c r="CP65" s="180"/>
      <c r="CQ65" s="180"/>
      <c r="CR65" s="180"/>
      <c r="CS65" s="180"/>
      <c r="CT65" s="180"/>
      <c r="CU65" s="180"/>
    </row>
    <row r="66" spans="1:99" x14ac:dyDescent="0.3">
      <c r="A66" s="155">
        <v>350</v>
      </c>
      <c r="B66" s="180" t="s">
        <v>923</v>
      </c>
      <c r="C66" s="180"/>
      <c r="D66" s="180">
        <v>32631</v>
      </c>
      <c r="E66" s="180">
        <v>-16329246</v>
      </c>
      <c r="F66" s="180"/>
      <c r="G66" s="180"/>
      <c r="H66" s="180">
        <v>0</v>
      </c>
      <c r="I66" s="180">
        <v>0</v>
      </c>
      <c r="J66" s="180"/>
      <c r="K66" s="180">
        <v>0</v>
      </c>
      <c r="L66" s="180">
        <v>10171</v>
      </c>
      <c r="M66" s="180">
        <v>570527</v>
      </c>
      <c r="N66" s="180">
        <v>0</v>
      </c>
      <c r="O66" s="180">
        <v>1847</v>
      </c>
      <c r="P66" s="180"/>
      <c r="Q66" s="180">
        <v>0</v>
      </c>
      <c r="R66" s="180">
        <v>0</v>
      </c>
      <c r="S66" s="180">
        <v>2852</v>
      </c>
      <c r="T66" s="180">
        <v>0</v>
      </c>
      <c r="U66" s="180"/>
      <c r="V66" s="180"/>
      <c r="W66" s="180"/>
      <c r="X66" s="180">
        <v>6304</v>
      </c>
      <c r="Y66" s="180">
        <v>0</v>
      </c>
      <c r="Z66" s="180">
        <v>164751</v>
      </c>
      <c r="AA66" s="180">
        <v>0</v>
      </c>
      <c r="AB66" s="180">
        <v>13804</v>
      </c>
      <c r="AC66" s="180">
        <v>256019</v>
      </c>
      <c r="AD66" s="180">
        <v>30957</v>
      </c>
      <c r="AE66" s="180">
        <v>69239</v>
      </c>
      <c r="AF66" s="180">
        <v>35000</v>
      </c>
      <c r="AG66" s="180">
        <v>71665</v>
      </c>
      <c r="AH66" s="180">
        <v>0</v>
      </c>
      <c r="AI66" s="180">
        <v>0</v>
      </c>
      <c r="AJ66" s="180">
        <v>0</v>
      </c>
      <c r="AK66" s="180">
        <v>0</v>
      </c>
      <c r="AL66" s="180">
        <v>7</v>
      </c>
      <c r="AM66" s="180">
        <v>501981</v>
      </c>
      <c r="AN66" s="180">
        <v>16</v>
      </c>
      <c r="AO66" s="180">
        <v>140764</v>
      </c>
      <c r="AP66" s="180">
        <v>4</v>
      </c>
      <c r="AQ66" s="180">
        <v>0</v>
      </c>
      <c r="AR66" s="180">
        <v>2094</v>
      </c>
      <c r="AS66" s="180">
        <v>389210</v>
      </c>
      <c r="AT66" s="180">
        <v>0</v>
      </c>
      <c r="AU66" s="180">
        <v>25021</v>
      </c>
      <c r="AV66" s="180">
        <v>11365</v>
      </c>
      <c r="AW66" s="180">
        <v>6657</v>
      </c>
      <c r="AX66" s="180">
        <v>0</v>
      </c>
      <c r="AY66" s="180">
        <v>2</v>
      </c>
      <c r="AZ66" s="180">
        <v>6626</v>
      </c>
      <c r="BA66" s="180">
        <v>0</v>
      </c>
      <c r="BB66" s="180">
        <v>369</v>
      </c>
      <c r="BC66" s="180">
        <v>1135</v>
      </c>
      <c r="BD66" s="180">
        <v>3097</v>
      </c>
      <c r="BE66" s="180">
        <v>657</v>
      </c>
      <c r="BF66" s="180">
        <v>30248</v>
      </c>
      <c r="BG66" s="180"/>
      <c r="BH66" s="180">
        <v>0</v>
      </c>
      <c r="BI66" s="180">
        <v>219</v>
      </c>
      <c r="BJ66" s="180">
        <v>7186</v>
      </c>
      <c r="BK66" s="180">
        <v>112924</v>
      </c>
      <c r="BL66" s="180">
        <v>1214110</v>
      </c>
      <c r="BM66" s="180">
        <v>0</v>
      </c>
      <c r="BN66" s="180">
        <v>1042975</v>
      </c>
      <c r="BO66" s="180">
        <v>1008</v>
      </c>
      <c r="BP66" s="180"/>
      <c r="BQ66" s="180">
        <v>0</v>
      </c>
      <c r="BR66" s="180"/>
      <c r="BS66" s="180">
        <v>76390</v>
      </c>
      <c r="BT66" s="180">
        <v>3522</v>
      </c>
      <c r="BU66" s="180"/>
      <c r="BV66" s="180">
        <v>0</v>
      </c>
      <c r="BW66" s="180"/>
      <c r="BX66" s="180"/>
      <c r="BY66" s="180"/>
      <c r="BZ66" s="180"/>
      <c r="CA66" s="180"/>
      <c r="CB66" s="180"/>
      <c r="CC66" s="180"/>
      <c r="CD66" s="180"/>
      <c r="CE66" s="180"/>
      <c r="CF66" s="180"/>
      <c r="CG66" s="180"/>
      <c r="CH66" s="180"/>
      <c r="CI66" s="180"/>
      <c r="CJ66" s="180"/>
      <c r="CK66" s="180"/>
      <c r="CL66" s="180"/>
      <c r="CM66" s="180"/>
      <c r="CN66" s="180"/>
      <c r="CO66" s="180"/>
      <c r="CP66" s="180"/>
      <c r="CQ66" s="180"/>
      <c r="CR66" s="180"/>
      <c r="CS66" s="180"/>
      <c r="CT66" s="180"/>
      <c r="CU66" s="180"/>
    </row>
    <row r="67" spans="1:99" x14ac:dyDescent="0.3">
      <c r="A67" s="155">
        <v>351</v>
      </c>
      <c r="B67" s="180" t="s">
        <v>223</v>
      </c>
      <c r="C67" s="180"/>
      <c r="D67" s="180">
        <v>36376</v>
      </c>
      <c r="E67" s="180">
        <v>23937504</v>
      </c>
      <c r="F67" s="180"/>
      <c r="G67" s="180"/>
      <c r="H67" s="180">
        <v>0</v>
      </c>
      <c r="I67" s="180">
        <v>0</v>
      </c>
      <c r="J67" s="180"/>
      <c r="K67" s="180">
        <v>0</v>
      </c>
      <c r="L67" s="180">
        <v>18427</v>
      </c>
      <c r="M67" s="180">
        <v>281523</v>
      </c>
      <c r="N67" s="180">
        <v>0</v>
      </c>
      <c r="O67" s="180">
        <v>1000</v>
      </c>
      <c r="P67" s="180"/>
      <c r="Q67" s="180">
        <v>0</v>
      </c>
      <c r="R67" s="180">
        <v>0</v>
      </c>
      <c r="S67" s="180">
        <v>37650</v>
      </c>
      <c r="T67" s="180">
        <v>0</v>
      </c>
      <c r="U67" s="180"/>
      <c r="V67" s="180"/>
      <c r="W67" s="180"/>
      <c r="X67" s="180">
        <v>0</v>
      </c>
      <c r="Y67" s="180">
        <v>0</v>
      </c>
      <c r="Z67" s="180">
        <v>146061</v>
      </c>
      <c r="AA67" s="180">
        <v>0</v>
      </c>
      <c r="AB67" s="180">
        <v>0</v>
      </c>
      <c r="AC67" s="180">
        <v>0</v>
      </c>
      <c r="AD67" s="180">
        <v>0</v>
      </c>
      <c r="AE67" s="180">
        <v>6359</v>
      </c>
      <c r="AF67" s="180">
        <v>0</v>
      </c>
      <c r="AG67" s="180">
        <v>28509</v>
      </c>
      <c r="AH67" s="180">
        <v>41749</v>
      </c>
      <c r="AI67" s="180">
        <v>0</v>
      </c>
      <c r="AJ67" s="180">
        <v>0</v>
      </c>
      <c r="AK67" s="180">
        <v>0</v>
      </c>
      <c r="AL67" s="180">
        <v>61417</v>
      </c>
      <c r="AM67" s="180">
        <v>33201</v>
      </c>
      <c r="AN67" s="180">
        <v>0</v>
      </c>
      <c r="AO67" s="180">
        <v>1690959</v>
      </c>
      <c r="AP67" s="180">
        <v>52588</v>
      </c>
      <c r="AQ67" s="180">
        <v>0</v>
      </c>
      <c r="AR67" s="180">
        <v>0</v>
      </c>
      <c r="AS67" s="180">
        <v>1954841</v>
      </c>
      <c r="AT67" s="180">
        <v>0</v>
      </c>
      <c r="AU67" s="180">
        <v>7949</v>
      </c>
      <c r="AV67" s="180">
        <v>9077</v>
      </c>
      <c r="AW67" s="180">
        <v>7734</v>
      </c>
      <c r="AX67" s="180">
        <v>0</v>
      </c>
      <c r="AY67" s="180">
        <v>0</v>
      </c>
      <c r="AZ67" s="180">
        <v>61325</v>
      </c>
      <c r="BA67" s="180">
        <v>2076</v>
      </c>
      <c r="BB67" s="180">
        <v>0</v>
      </c>
      <c r="BC67" s="180">
        <v>0</v>
      </c>
      <c r="BD67" s="180">
        <v>499275</v>
      </c>
      <c r="BE67" s="180">
        <v>66349</v>
      </c>
      <c r="BF67" s="180">
        <v>856887</v>
      </c>
      <c r="BG67" s="180"/>
      <c r="BH67" s="180">
        <v>0</v>
      </c>
      <c r="BI67" s="180">
        <v>0</v>
      </c>
      <c r="BJ67" s="180">
        <v>51375</v>
      </c>
      <c r="BK67" s="180">
        <v>0</v>
      </c>
      <c r="BL67" s="180">
        <v>12560</v>
      </c>
      <c r="BM67" s="180">
        <v>0</v>
      </c>
      <c r="BN67" s="180">
        <v>7407</v>
      </c>
      <c r="BO67" s="180">
        <v>41310</v>
      </c>
      <c r="BP67" s="180"/>
      <c r="BQ67" s="180">
        <v>0</v>
      </c>
      <c r="BR67" s="180"/>
      <c r="BS67">
        <v>5428</v>
      </c>
      <c r="BT67" s="180">
        <v>11787</v>
      </c>
      <c r="BU67" s="180"/>
      <c r="BV67" s="180">
        <v>5981</v>
      </c>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row>
    <row r="68" spans="1:99" x14ac:dyDescent="0.3">
      <c r="A68" s="155">
        <v>352</v>
      </c>
      <c r="B68" s="180" t="s">
        <v>225</v>
      </c>
      <c r="C68" s="180"/>
      <c r="D68" s="180">
        <v>0</v>
      </c>
      <c r="E68" s="180">
        <v>90000</v>
      </c>
      <c r="F68" s="180"/>
      <c r="G68" s="180"/>
      <c r="H68" s="180">
        <v>0</v>
      </c>
      <c r="I68" s="180">
        <v>0</v>
      </c>
      <c r="J68" s="180"/>
      <c r="K68" s="180">
        <v>0</v>
      </c>
      <c r="L68" s="180">
        <v>67846</v>
      </c>
      <c r="M68" s="180">
        <v>328700</v>
      </c>
      <c r="N68" s="180">
        <v>0</v>
      </c>
      <c r="O68" s="180">
        <v>0</v>
      </c>
      <c r="P68" s="180"/>
      <c r="Q68" s="180">
        <v>0</v>
      </c>
      <c r="R68" s="180">
        <v>0</v>
      </c>
      <c r="S68" s="180">
        <v>0</v>
      </c>
      <c r="T68" s="180">
        <v>0</v>
      </c>
      <c r="U68" s="180"/>
      <c r="V68" s="180"/>
      <c r="W68" s="180"/>
      <c r="X68" s="180">
        <v>6140</v>
      </c>
      <c r="Y68" s="180">
        <v>0</v>
      </c>
      <c r="Z68" s="180">
        <v>0</v>
      </c>
      <c r="AA68" s="180">
        <v>0</v>
      </c>
      <c r="AB68" s="180">
        <v>0</v>
      </c>
      <c r="AC68" s="180">
        <v>0</v>
      </c>
      <c r="AD68" s="180">
        <v>0</v>
      </c>
      <c r="AE68" s="180">
        <v>0</v>
      </c>
      <c r="AF68" s="180">
        <v>130501</v>
      </c>
      <c r="AG68" s="180">
        <v>0</v>
      </c>
      <c r="AH68" s="180">
        <v>0</v>
      </c>
      <c r="AI68" s="180">
        <v>0</v>
      </c>
      <c r="AJ68" s="180">
        <v>0</v>
      </c>
      <c r="AK68" s="180">
        <v>0</v>
      </c>
      <c r="AL68" s="180">
        <v>81007</v>
      </c>
      <c r="AM68" s="180">
        <v>0</v>
      </c>
      <c r="AN68" s="180">
        <v>0</v>
      </c>
      <c r="AO68" s="180">
        <v>0</v>
      </c>
      <c r="AP68" s="180">
        <v>0</v>
      </c>
      <c r="AQ68" s="180">
        <v>0</v>
      </c>
      <c r="AR68" s="180">
        <v>0</v>
      </c>
      <c r="AS68" s="180">
        <v>138543</v>
      </c>
      <c r="AT68" s="180">
        <v>60674</v>
      </c>
      <c r="AU68" s="180">
        <v>0</v>
      </c>
      <c r="AV68" s="180">
        <v>0</v>
      </c>
      <c r="AW68" s="180">
        <v>416570</v>
      </c>
      <c r="AX68" s="180">
        <v>0</v>
      </c>
      <c r="AY68" s="180">
        <v>0</v>
      </c>
      <c r="AZ68" s="180">
        <v>1131535</v>
      </c>
      <c r="BA68" s="180">
        <v>0</v>
      </c>
      <c r="BB68" s="180">
        <v>0</v>
      </c>
      <c r="BC68" s="180">
        <v>0</v>
      </c>
      <c r="BD68" s="180">
        <v>19818</v>
      </c>
      <c r="BE68" s="180">
        <v>0</v>
      </c>
      <c r="BF68" s="180">
        <v>943000</v>
      </c>
      <c r="BG68" s="180"/>
      <c r="BH68" s="180">
        <v>0</v>
      </c>
      <c r="BI68" s="180">
        <v>0</v>
      </c>
      <c r="BJ68" s="180">
        <v>0</v>
      </c>
      <c r="BK68" s="180">
        <v>0</v>
      </c>
      <c r="BL68" s="180">
        <v>0</v>
      </c>
      <c r="BM68" s="180">
        <v>0</v>
      </c>
      <c r="BN68" s="180">
        <v>0</v>
      </c>
      <c r="BO68" s="180">
        <v>0</v>
      </c>
      <c r="BP68" s="180"/>
      <c r="BQ68" s="180">
        <v>0</v>
      </c>
      <c r="BR68" s="180"/>
      <c r="BS68">
        <v>50000</v>
      </c>
      <c r="BT68" s="180">
        <v>0</v>
      </c>
      <c r="BU68" s="180"/>
      <c r="BV68" s="180">
        <v>318863</v>
      </c>
      <c r="BW68" s="180"/>
      <c r="BX68" s="180"/>
      <c r="BY68" s="180"/>
      <c r="BZ68" s="180"/>
      <c r="CA68" s="180"/>
      <c r="CB68" s="180"/>
      <c r="CC68" s="180"/>
      <c r="CD68" s="180"/>
      <c r="CE68" s="180"/>
      <c r="CF68" s="180"/>
      <c r="CG68" s="180"/>
      <c r="CH68" s="180"/>
      <c r="CI68" s="180"/>
      <c r="CJ68" s="180"/>
      <c r="CK68" s="180"/>
      <c r="CL68" s="180"/>
      <c r="CM68" s="180"/>
      <c r="CN68" s="180"/>
      <c r="CO68" s="180"/>
      <c r="CP68" s="180"/>
      <c r="CQ68" s="180"/>
      <c r="CR68" s="180"/>
      <c r="CS68" s="180"/>
      <c r="CT68" s="180"/>
      <c r="CU68" s="180"/>
    </row>
    <row r="69" spans="1:99" x14ac:dyDescent="0.3">
      <c r="A69" s="155">
        <v>353</v>
      </c>
      <c r="B69" s="180" t="s">
        <v>226</v>
      </c>
      <c r="C69" s="180"/>
      <c r="D69" s="180">
        <v>0</v>
      </c>
      <c r="E69" s="180">
        <v>0</v>
      </c>
      <c r="F69" s="180"/>
      <c r="G69" s="180"/>
      <c r="H69" s="180">
        <v>0</v>
      </c>
      <c r="I69" s="180">
        <v>0</v>
      </c>
      <c r="J69" s="180"/>
      <c r="K69" s="180">
        <v>0</v>
      </c>
      <c r="L69" s="180">
        <v>0</v>
      </c>
      <c r="M69" s="180">
        <v>328700</v>
      </c>
      <c r="N69" s="180">
        <v>0</v>
      </c>
      <c r="O69" s="180">
        <v>0</v>
      </c>
      <c r="P69" s="180"/>
      <c r="Q69" s="180">
        <v>0</v>
      </c>
      <c r="R69" s="180">
        <v>0</v>
      </c>
      <c r="S69" s="180">
        <v>0</v>
      </c>
      <c r="T69" s="180">
        <v>0</v>
      </c>
      <c r="U69" s="180"/>
      <c r="V69" s="180"/>
      <c r="W69" s="180"/>
      <c r="X69" s="180">
        <v>0</v>
      </c>
      <c r="Y69" s="180">
        <v>0</v>
      </c>
      <c r="Z69" s="180">
        <v>0</v>
      </c>
      <c r="AA69" s="180">
        <v>0</v>
      </c>
      <c r="AB69" s="180">
        <v>0</v>
      </c>
      <c r="AC69" s="180">
        <v>0</v>
      </c>
      <c r="AD69" s="180">
        <v>0</v>
      </c>
      <c r="AE69" s="180">
        <v>0</v>
      </c>
      <c r="AF69" s="180">
        <v>0</v>
      </c>
      <c r="AG69" s="180">
        <v>0</v>
      </c>
      <c r="AH69" s="180">
        <v>0</v>
      </c>
      <c r="AI69" s="180">
        <v>0</v>
      </c>
      <c r="AJ69" s="180">
        <v>0</v>
      </c>
      <c r="AK69" s="180">
        <v>0</v>
      </c>
      <c r="AL69" s="180">
        <v>0</v>
      </c>
      <c r="AM69" s="180">
        <v>0</v>
      </c>
      <c r="AN69" s="180">
        <v>0</v>
      </c>
      <c r="AO69" s="180">
        <v>0</v>
      </c>
      <c r="AP69" s="180">
        <v>20000</v>
      </c>
      <c r="AQ69" s="180">
        <v>0</v>
      </c>
      <c r="AR69" s="180">
        <v>0</v>
      </c>
      <c r="AS69" s="180">
        <v>0</v>
      </c>
      <c r="AT69" s="180">
        <v>0</v>
      </c>
      <c r="AU69" s="180">
        <v>0</v>
      </c>
      <c r="AV69" s="180">
        <v>0</v>
      </c>
      <c r="AW69" s="180">
        <v>383868</v>
      </c>
      <c r="AX69" s="180">
        <v>0</v>
      </c>
      <c r="AY69" s="180">
        <v>0</v>
      </c>
      <c r="AZ69" s="180">
        <v>0</v>
      </c>
      <c r="BA69" s="180">
        <v>0</v>
      </c>
      <c r="BB69" s="180">
        <v>3250</v>
      </c>
      <c r="BC69" s="180">
        <v>0</v>
      </c>
      <c r="BD69" s="180">
        <v>0</v>
      </c>
      <c r="BE69" s="180">
        <v>0</v>
      </c>
      <c r="BF69" s="180">
        <v>10000</v>
      </c>
      <c r="BG69" s="180"/>
      <c r="BH69" s="180">
        <v>0</v>
      </c>
      <c r="BI69" s="180">
        <v>0</v>
      </c>
      <c r="BJ69" s="180">
        <v>117640</v>
      </c>
      <c r="BK69" s="180">
        <v>0</v>
      </c>
      <c r="BL69" s="180">
        <v>52937</v>
      </c>
      <c r="BM69" s="180">
        <v>0</v>
      </c>
      <c r="BN69" s="180">
        <v>0</v>
      </c>
      <c r="BO69" s="180">
        <v>0</v>
      </c>
      <c r="BP69" s="180"/>
      <c r="BQ69" s="180">
        <v>0</v>
      </c>
      <c r="BR69" s="180"/>
      <c r="BS69">
        <v>0</v>
      </c>
      <c r="BT69" s="180">
        <v>0</v>
      </c>
      <c r="BU69" s="180"/>
      <c r="BV69" s="180">
        <v>0</v>
      </c>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row>
    <row r="70" spans="1:99" x14ac:dyDescent="0.3">
      <c r="A70" s="155">
        <v>356</v>
      </c>
      <c r="B70" s="180" t="s">
        <v>307</v>
      </c>
      <c r="C70" s="180"/>
      <c r="D70" s="180">
        <v>0</v>
      </c>
      <c r="E70" s="180">
        <v>0</v>
      </c>
      <c r="F70" s="180"/>
      <c r="G70" s="180"/>
      <c r="H70" s="180">
        <v>0</v>
      </c>
      <c r="I70" s="180">
        <v>0</v>
      </c>
      <c r="J70" s="180"/>
      <c r="K70" s="180">
        <v>0</v>
      </c>
      <c r="L70" s="180">
        <v>3967260</v>
      </c>
      <c r="M70" s="180">
        <v>0</v>
      </c>
      <c r="N70" s="180">
        <v>0</v>
      </c>
      <c r="O70" s="180">
        <v>0</v>
      </c>
      <c r="P70" s="180"/>
      <c r="Q70" s="180">
        <v>0</v>
      </c>
      <c r="R70" s="180">
        <v>0</v>
      </c>
      <c r="S70" s="180">
        <v>0</v>
      </c>
      <c r="T70" s="180">
        <v>0</v>
      </c>
      <c r="U70" s="180"/>
      <c r="V70" s="180"/>
      <c r="W70" s="180"/>
      <c r="X70" s="180">
        <v>0</v>
      </c>
      <c r="Y70" s="180">
        <v>0</v>
      </c>
      <c r="Z70" s="180">
        <v>92182631</v>
      </c>
      <c r="AA70" s="180">
        <v>0</v>
      </c>
      <c r="AB70" s="180">
        <v>0</v>
      </c>
      <c r="AC70" s="180">
        <v>0</v>
      </c>
      <c r="AD70" s="180">
        <v>0</v>
      </c>
      <c r="AE70" s="180">
        <v>0</v>
      </c>
      <c r="AF70" s="180">
        <v>0</v>
      </c>
      <c r="AG70" s="180">
        <v>0</v>
      </c>
      <c r="AH70" s="180">
        <v>0</v>
      </c>
      <c r="AI70" s="180">
        <v>0</v>
      </c>
      <c r="AJ70" s="180">
        <v>0</v>
      </c>
      <c r="AK70" s="180">
        <v>0</v>
      </c>
      <c r="AL70" s="180">
        <v>0</v>
      </c>
      <c r="AM70" s="180">
        <v>0</v>
      </c>
      <c r="AN70" s="180">
        <v>0</v>
      </c>
      <c r="AO70" s="180">
        <v>0</v>
      </c>
      <c r="AP70" s="180">
        <v>0</v>
      </c>
      <c r="AQ70" s="180">
        <v>0</v>
      </c>
      <c r="AR70" s="180">
        <v>0</v>
      </c>
      <c r="AS70" s="180">
        <v>0</v>
      </c>
      <c r="AT70" s="180">
        <v>0</v>
      </c>
      <c r="AU70" s="180">
        <v>0</v>
      </c>
      <c r="AV70" s="180">
        <v>1952627</v>
      </c>
      <c r="AW70" s="180">
        <v>0</v>
      </c>
      <c r="AX70" s="180">
        <v>0</v>
      </c>
      <c r="AY70" s="180">
        <v>0</v>
      </c>
      <c r="AZ70" s="180">
        <v>8720854</v>
      </c>
      <c r="BA70" s="180">
        <v>0</v>
      </c>
      <c r="BB70" s="180">
        <v>0</v>
      </c>
      <c r="BC70" s="180">
        <v>0</v>
      </c>
      <c r="BD70" s="180">
        <v>0</v>
      </c>
      <c r="BE70" s="180">
        <v>3265685</v>
      </c>
      <c r="BF70" s="180">
        <v>35299359</v>
      </c>
      <c r="BG70" s="180"/>
      <c r="BH70" s="180">
        <v>0</v>
      </c>
      <c r="BI70" s="180">
        <v>0</v>
      </c>
      <c r="BJ70" s="180">
        <v>19249458</v>
      </c>
      <c r="BK70" s="180">
        <v>0</v>
      </c>
      <c r="BL70" s="180">
        <v>0</v>
      </c>
      <c r="BM70" s="180">
        <v>0</v>
      </c>
      <c r="BN70" s="180">
        <v>16862411</v>
      </c>
      <c r="BO70" s="180">
        <v>0</v>
      </c>
      <c r="BP70" s="180"/>
      <c r="BQ70" s="180">
        <v>0</v>
      </c>
      <c r="BR70" s="180"/>
      <c r="BS70">
        <v>0</v>
      </c>
      <c r="BT70" s="180">
        <v>0</v>
      </c>
      <c r="BU70" s="180"/>
      <c r="BV70" s="180">
        <v>0</v>
      </c>
      <c r="BW70" s="180"/>
      <c r="BX70" s="180"/>
      <c r="BY70" s="180"/>
      <c r="BZ70" s="180"/>
      <c r="CA70" s="180"/>
      <c r="CB70" s="180"/>
      <c r="CC70" s="180"/>
      <c r="CD70" s="180"/>
      <c r="CE70" s="180"/>
      <c r="CF70" s="180"/>
      <c r="CG70" s="180"/>
      <c r="CH70" s="180"/>
      <c r="CI70" s="180"/>
      <c r="CJ70" s="180"/>
      <c r="CK70" s="180"/>
      <c r="CL70" s="180"/>
      <c r="CM70" s="180"/>
      <c r="CN70" s="180"/>
      <c r="CO70" s="180"/>
      <c r="CP70" s="180"/>
      <c r="CQ70" s="180"/>
      <c r="CR70" s="180"/>
      <c r="CS70" s="180"/>
      <c r="CT70" s="180"/>
      <c r="CU70" s="180"/>
    </row>
    <row r="71" spans="1:99" x14ac:dyDescent="0.3">
      <c r="A71" s="155">
        <v>357</v>
      </c>
      <c r="B71" s="180" t="s">
        <v>308</v>
      </c>
      <c r="C71" s="180"/>
      <c r="D71" s="180">
        <v>0</v>
      </c>
      <c r="E71" s="180">
        <v>0</v>
      </c>
      <c r="F71" s="180"/>
      <c r="G71" s="180"/>
      <c r="H71" s="180">
        <v>0</v>
      </c>
      <c r="I71" s="180">
        <v>0</v>
      </c>
      <c r="J71" s="180"/>
      <c r="K71" s="180">
        <v>0</v>
      </c>
      <c r="L71" s="180">
        <v>3168528</v>
      </c>
      <c r="M71" s="180">
        <v>0</v>
      </c>
      <c r="N71" s="180">
        <v>0</v>
      </c>
      <c r="O71" s="180">
        <v>0</v>
      </c>
      <c r="P71" s="180"/>
      <c r="Q71" s="180">
        <v>0</v>
      </c>
      <c r="R71" s="180">
        <v>0</v>
      </c>
      <c r="S71" s="180">
        <v>0</v>
      </c>
      <c r="T71" s="180">
        <v>0</v>
      </c>
      <c r="U71" s="180"/>
      <c r="V71" s="180"/>
      <c r="W71" s="180"/>
      <c r="X71" s="180">
        <v>0</v>
      </c>
      <c r="Y71" s="180">
        <v>0</v>
      </c>
      <c r="Z71" s="180">
        <v>39692239</v>
      </c>
      <c r="AA71" s="180">
        <v>0</v>
      </c>
      <c r="AB71" s="180">
        <v>0</v>
      </c>
      <c r="AC71" s="180">
        <v>0</v>
      </c>
      <c r="AD71" s="180">
        <v>0</v>
      </c>
      <c r="AE71" s="180">
        <v>0</v>
      </c>
      <c r="AF71" s="180">
        <v>0</v>
      </c>
      <c r="AG71" s="180">
        <v>0</v>
      </c>
      <c r="AH71" s="180">
        <v>0</v>
      </c>
      <c r="AI71" s="180">
        <v>0</v>
      </c>
      <c r="AJ71" s="180">
        <v>0</v>
      </c>
      <c r="AK71" s="180">
        <v>0</v>
      </c>
      <c r="AL71" s="180">
        <v>0</v>
      </c>
      <c r="AM71" s="180">
        <v>0</v>
      </c>
      <c r="AN71" s="180">
        <v>0</v>
      </c>
      <c r="AO71" s="180">
        <v>0</v>
      </c>
      <c r="AP71" s="180">
        <v>0</v>
      </c>
      <c r="AQ71" s="180">
        <v>0</v>
      </c>
      <c r="AR71" s="180">
        <v>0</v>
      </c>
      <c r="AS71" s="180">
        <v>0</v>
      </c>
      <c r="AT71" s="180">
        <v>0</v>
      </c>
      <c r="AU71" s="180">
        <v>0</v>
      </c>
      <c r="AV71" s="180">
        <v>1692088</v>
      </c>
      <c r="AW71" s="180">
        <v>0</v>
      </c>
      <c r="AX71" s="180">
        <v>0</v>
      </c>
      <c r="AY71" s="180">
        <v>0</v>
      </c>
      <c r="AZ71" s="180">
        <v>7501412</v>
      </c>
      <c r="BA71" s="180">
        <v>0</v>
      </c>
      <c r="BB71" s="180">
        <v>0</v>
      </c>
      <c r="BC71" s="180">
        <v>0</v>
      </c>
      <c r="BD71" s="180">
        <v>0</v>
      </c>
      <c r="BE71" s="180">
        <v>2689386</v>
      </c>
      <c r="BF71" s="180">
        <v>15854157</v>
      </c>
      <c r="BG71" s="180"/>
      <c r="BH71" s="180">
        <v>0</v>
      </c>
      <c r="BI71" s="180">
        <v>0</v>
      </c>
      <c r="BJ71" s="180">
        <v>10512096</v>
      </c>
      <c r="BK71" s="180">
        <v>0</v>
      </c>
      <c r="BL71" s="180">
        <v>0</v>
      </c>
      <c r="BM71" s="180">
        <v>0</v>
      </c>
      <c r="BN71" s="180">
        <v>5645128</v>
      </c>
      <c r="BO71" s="180">
        <v>0</v>
      </c>
      <c r="BP71" s="180"/>
      <c r="BQ71" s="180">
        <v>0</v>
      </c>
      <c r="BR71" s="180"/>
      <c r="BS71">
        <v>0</v>
      </c>
      <c r="BT71" s="180">
        <v>0</v>
      </c>
      <c r="BU71" s="180"/>
      <c r="BV71" s="180">
        <v>0</v>
      </c>
      <c r="BW71" s="180"/>
      <c r="BX71" s="180"/>
      <c r="BY71" s="180"/>
      <c r="BZ71" s="180"/>
      <c r="CA71" s="180"/>
      <c r="CB71" s="180"/>
      <c r="CC71" s="180"/>
      <c r="CD71" s="180"/>
      <c r="CE71" s="180"/>
      <c r="CF71" s="180"/>
      <c r="CG71" s="180"/>
      <c r="CH71" s="180"/>
      <c r="CI71" s="180"/>
      <c r="CJ71" s="180"/>
      <c r="CK71" s="180"/>
      <c r="CL71" s="180"/>
      <c r="CM71" s="180"/>
      <c r="CN71" s="180"/>
      <c r="CO71" s="180"/>
      <c r="CP71" s="180"/>
      <c r="CQ71" s="180"/>
      <c r="CR71" s="180"/>
      <c r="CS71" s="180"/>
      <c r="CT71" s="180"/>
      <c r="CU71" s="180"/>
    </row>
    <row r="72" spans="1:99" x14ac:dyDescent="0.3">
      <c r="A72" s="155">
        <v>359</v>
      </c>
      <c r="B72" s="180" t="s">
        <v>247</v>
      </c>
      <c r="C72" s="180"/>
      <c r="D72" s="180">
        <v>0</v>
      </c>
      <c r="E72" s="180">
        <v>0</v>
      </c>
      <c r="F72" s="180"/>
      <c r="G72" s="180"/>
      <c r="H72" s="180">
        <v>0</v>
      </c>
      <c r="I72" s="180">
        <v>0</v>
      </c>
      <c r="J72" s="180"/>
      <c r="K72" s="180">
        <v>0</v>
      </c>
      <c r="L72" s="180">
        <v>400372</v>
      </c>
      <c r="M72" s="180">
        <v>0</v>
      </c>
      <c r="N72" s="180">
        <v>0</v>
      </c>
      <c r="O72" s="180">
        <v>0</v>
      </c>
      <c r="P72" s="180"/>
      <c r="Q72" s="180">
        <v>0</v>
      </c>
      <c r="R72" s="180">
        <v>0</v>
      </c>
      <c r="S72" s="180">
        <v>0</v>
      </c>
      <c r="T72" s="180">
        <v>0</v>
      </c>
      <c r="U72" s="180"/>
      <c r="V72" s="180"/>
      <c r="W72" s="180"/>
      <c r="X72" s="180">
        <v>0</v>
      </c>
      <c r="Y72" s="180">
        <v>0</v>
      </c>
      <c r="Z72" s="180">
        <v>4123867</v>
      </c>
      <c r="AA72" s="180">
        <v>0</v>
      </c>
      <c r="AB72" s="180">
        <v>0</v>
      </c>
      <c r="AC72" s="180">
        <v>0</v>
      </c>
      <c r="AD72" s="180">
        <v>0</v>
      </c>
      <c r="AE72" s="180">
        <v>0</v>
      </c>
      <c r="AF72" s="180">
        <v>0</v>
      </c>
      <c r="AG72" s="180">
        <v>0</v>
      </c>
      <c r="AH72" s="180">
        <v>0</v>
      </c>
      <c r="AI72" s="180">
        <v>0</v>
      </c>
      <c r="AJ72" s="180">
        <v>0</v>
      </c>
      <c r="AK72" s="180">
        <v>0</v>
      </c>
      <c r="AL72" s="180">
        <v>0</v>
      </c>
      <c r="AM72" s="180">
        <v>0</v>
      </c>
      <c r="AN72" s="180">
        <v>0</v>
      </c>
      <c r="AO72" s="180">
        <v>0</v>
      </c>
      <c r="AP72" s="180">
        <v>0</v>
      </c>
      <c r="AQ72" s="180">
        <v>0</v>
      </c>
      <c r="AR72" s="180">
        <v>0</v>
      </c>
      <c r="AS72" s="180">
        <v>0</v>
      </c>
      <c r="AT72" s="180">
        <v>0</v>
      </c>
      <c r="AU72" s="180">
        <v>0</v>
      </c>
      <c r="AV72" s="180">
        <v>0</v>
      </c>
      <c r="AW72" s="180">
        <v>0</v>
      </c>
      <c r="AX72" s="180">
        <v>0</v>
      </c>
      <c r="AY72" s="180">
        <v>0</v>
      </c>
      <c r="AZ72" s="180">
        <v>51616</v>
      </c>
      <c r="BA72" s="180">
        <v>0</v>
      </c>
      <c r="BB72" s="180">
        <v>0</v>
      </c>
      <c r="BC72" s="180">
        <v>0</v>
      </c>
      <c r="BD72" s="180">
        <v>0</v>
      </c>
      <c r="BE72" s="180">
        <v>146546</v>
      </c>
      <c r="BF72" s="180">
        <v>2418987</v>
      </c>
      <c r="BG72" s="180"/>
      <c r="BH72" s="180">
        <v>0</v>
      </c>
      <c r="BI72" s="180">
        <v>0</v>
      </c>
      <c r="BJ72" s="180">
        <v>1862328</v>
      </c>
      <c r="BK72" s="180">
        <v>0</v>
      </c>
      <c r="BL72" s="180">
        <v>0</v>
      </c>
      <c r="BM72" s="180">
        <v>0</v>
      </c>
      <c r="BN72" s="180">
        <v>21086</v>
      </c>
      <c r="BO72" s="180">
        <v>0</v>
      </c>
      <c r="BP72" s="180"/>
      <c r="BQ72" s="180">
        <v>0</v>
      </c>
      <c r="BR72" s="180"/>
      <c r="BS72">
        <v>0</v>
      </c>
      <c r="BT72" s="180">
        <v>0</v>
      </c>
      <c r="BU72" s="180"/>
      <c r="BV72" s="180">
        <v>0</v>
      </c>
      <c r="BW72" s="180"/>
      <c r="BX72" s="180"/>
      <c r="BY72" s="180"/>
      <c r="BZ72" s="180"/>
      <c r="CA72" s="180"/>
      <c r="CB72" s="180"/>
      <c r="CC72" s="180"/>
      <c r="CD72" s="180"/>
      <c r="CE72" s="180"/>
      <c r="CF72" s="180"/>
      <c r="CG72" s="180"/>
      <c r="CH72" s="180"/>
      <c r="CI72" s="180"/>
      <c r="CJ72" s="180"/>
      <c r="CK72" s="180"/>
      <c r="CL72" s="180"/>
      <c r="CM72" s="180"/>
      <c r="CN72" s="180"/>
      <c r="CO72" s="180"/>
      <c r="CP72" s="180"/>
      <c r="CQ72" s="180"/>
      <c r="CR72" s="180"/>
      <c r="CS72" s="180"/>
      <c r="CT72" s="180"/>
      <c r="CU72" s="180"/>
    </row>
    <row r="73" spans="1:99" x14ac:dyDescent="0.3">
      <c r="A73" s="155">
        <v>360</v>
      </c>
      <c r="B73" s="180" t="s">
        <v>117</v>
      </c>
      <c r="C73" s="180"/>
      <c r="D73" s="180">
        <v>0</v>
      </c>
      <c r="E73" s="180">
        <v>0</v>
      </c>
      <c r="F73" s="180"/>
      <c r="G73" s="180"/>
      <c r="H73" s="180">
        <v>0</v>
      </c>
      <c r="I73" s="180">
        <v>0</v>
      </c>
      <c r="J73" s="180"/>
      <c r="K73" s="180">
        <v>0</v>
      </c>
      <c r="L73" s="180">
        <v>1445107</v>
      </c>
      <c r="M73" s="180">
        <v>0</v>
      </c>
      <c r="N73" s="180">
        <v>0</v>
      </c>
      <c r="O73" s="180">
        <v>0</v>
      </c>
      <c r="P73" s="180"/>
      <c r="Q73" s="180">
        <v>0</v>
      </c>
      <c r="R73" s="180">
        <v>0</v>
      </c>
      <c r="S73" s="180">
        <v>0</v>
      </c>
      <c r="T73" s="180">
        <v>0</v>
      </c>
      <c r="U73" s="180"/>
      <c r="V73" s="180"/>
      <c r="W73" s="180"/>
      <c r="X73" s="180">
        <v>0</v>
      </c>
      <c r="Y73" s="180">
        <v>0</v>
      </c>
      <c r="Z73" s="180">
        <v>21919447</v>
      </c>
      <c r="AA73" s="180">
        <v>0</v>
      </c>
      <c r="AB73" s="180">
        <v>0</v>
      </c>
      <c r="AC73" s="180">
        <v>0</v>
      </c>
      <c r="AD73" s="180">
        <v>0</v>
      </c>
      <c r="AE73" s="180">
        <v>0</v>
      </c>
      <c r="AF73" s="180">
        <v>0</v>
      </c>
      <c r="AG73" s="180">
        <v>0</v>
      </c>
      <c r="AH73" s="180">
        <v>0</v>
      </c>
      <c r="AI73" s="180">
        <v>0</v>
      </c>
      <c r="AJ73" s="180">
        <v>0</v>
      </c>
      <c r="AK73" s="180">
        <v>0</v>
      </c>
      <c r="AL73" s="180">
        <v>0</v>
      </c>
      <c r="AM73" s="180">
        <v>0</v>
      </c>
      <c r="AN73" s="180">
        <v>0</v>
      </c>
      <c r="AO73" s="180">
        <v>0</v>
      </c>
      <c r="AP73" s="180">
        <v>0</v>
      </c>
      <c r="AQ73" s="180">
        <v>0</v>
      </c>
      <c r="AR73" s="180">
        <v>0</v>
      </c>
      <c r="AS73" s="180">
        <v>0</v>
      </c>
      <c r="AT73" s="180">
        <v>0</v>
      </c>
      <c r="AU73" s="180">
        <v>0</v>
      </c>
      <c r="AV73" s="180">
        <v>445221</v>
      </c>
      <c r="AW73" s="180">
        <v>0</v>
      </c>
      <c r="AX73" s="180">
        <v>0</v>
      </c>
      <c r="AY73" s="180">
        <v>0</v>
      </c>
      <c r="AZ73" s="180">
        <v>2980347</v>
      </c>
      <c r="BA73" s="180">
        <v>0</v>
      </c>
      <c r="BB73" s="180">
        <v>0</v>
      </c>
      <c r="BC73" s="180">
        <v>0</v>
      </c>
      <c r="BD73" s="180">
        <v>0</v>
      </c>
      <c r="BE73" s="180">
        <v>684848</v>
      </c>
      <c r="BF73" s="180">
        <v>6124632</v>
      </c>
      <c r="BG73" s="180"/>
      <c r="BH73" s="180">
        <v>0</v>
      </c>
      <c r="BI73" s="180">
        <v>0</v>
      </c>
      <c r="BJ73" s="180">
        <v>5907746</v>
      </c>
      <c r="BK73" s="180">
        <v>0</v>
      </c>
      <c r="BL73" s="180">
        <v>0</v>
      </c>
      <c r="BM73" s="180">
        <v>0</v>
      </c>
      <c r="BN73" s="180">
        <v>1704101</v>
      </c>
      <c r="BO73" s="180">
        <v>0</v>
      </c>
      <c r="BP73" s="180"/>
      <c r="BQ73" s="180">
        <v>0</v>
      </c>
      <c r="BR73" s="180"/>
      <c r="BS73" s="180">
        <v>0</v>
      </c>
      <c r="BT73" s="180">
        <v>0</v>
      </c>
      <c r="BU73" s="180"/>
      <c r="BV73" s="180">
        <v>0</v>
      </c>
      <c r="BW73" s="180"/>
      <c r="BX73" s="180"/>
      <c r="BY73" s="180"/>
      <c r="BZ73" s="180"/>
      <c r="CA73" s="180"/>
      <c r="CB73" s="180"/>
      <c r="CC73" s="180"/>
      <c r="CD73" s="180"/>
      <c r="CE73" s="180"/>
      <c r="CF73" s="180"/>
      <c r="CG73" s="180"/>
      <c r="CH73" s="180"/>
      <c r="CI73" s="180"/>
      <c r="CJ73" s="180"/>
      <c r="CK73" s="180"/>
      <c r="CL73" s="180"/>
      <c r="CM73" s="180"/>
      <c r="CN73" s="180"/>
      <c r="CO73" s="180"/>
      <c r="CP73" s="180"/>
      <c r="CQ73" s="180"/>
      <c r="CR73" s="180"/>
      <c r="CS73" s="180"/>
      <c r="CT73" s="180"/>
      <c r="CU73" s="180"/>
    </row>
    <row r="74" spans="1:99" x14ac:dyDescent="0.3">
      <c r="A74" s="155">
        <v>361</v>
      </c>
      <c r="B74" s="180" t="s">
        <v>98</v>
      </c>
      <c r="C74" s="180"/>
      <c r="D74" s="180">
        <v>0</v>
      </c>
      <c r="E74" s="180">
        <v>0</v>
      </c>
      <c r="F74" s="180"/>
      <c r="G74" s="180"/>
      <c r="H74" s="180">
        <v>0</v>
      </c>
      <c r="I74" s="180">
        <v>0</v>
      </c>
      <c r="J74" s="180"/>
      <c r="K74" s="180">
        <v>0</v>
      </c>
      <c r="L74" s="180">
        <v>798043</v>
      </c>
      <c r="M74" s="180">
        <v>0</v>
      </c>
      <c r="N74" s="180">
        <v>0</v>
      </c>
      <c r="O74" s="180">
        <v>0</v>
      </c>
      <c r="P74" s="180"/>
      <c r="Q74" s="180">
        <v>0</v>
      </c>
      <c r="R74" s="180">
        <v>0</v>
      </c>
      <c r="S74" s="180">
        <v>0</v>
      </c>
      <c r="T74" s="180">
        <v>0</v>
      </c>
      <c r="U74" s="180"/>
      <c r="V74" s="180"/>
      <c r="W74" s="180"/>
      <c r="X74" s="180">
        <v>0</v>
      </c>
      <c r="Y74" s="180">
        <v>0</v>
      </c>
      <c r="Z74" s="180">
        <v>37640756</v>
      </c>
      <c r="AA74" s="180">
        <v>0</v>
      </c>
      <c r="AB74" s="180">
        <v>0</v>
      </c>
      <c r="AC74" s="180">
        <v>0</v>
      </c>
      <c r="AD74" s="180">
        <v>0</v>
      </c>
      <c r="AE74" s="180">
        <v>0</v>
      </c>
      <c r="AF74" s="180">
        <v>0</v>
      </c>
      <c r="AG74" s="180">
        <v>0</v>
      </c>
      <c r="AH74" s="180">
        <v>0</v>
      </c>
      <c r="AI74" s="180">
        <v>0</v>
      </c>
      <c r="AJ74" s="180">
        <v>0</v>
      </c>
      <c r="AK74" s="180">
        <v>0</v>
      </c>
      <c r="AL74" s="180">
        <v>0</v>
      </c>
      <c r="AM74" s="180">
        <v>0</v>
      </c>
      <c r="AN74" s="180">
        <v>0</v>
      </c>
      <c r="AO74" s="180">
        <v>0</v>
      </c>
      <c r="AP74" s="180">
        <v>0</v>
      </c>
      <c r="AQ74" s="180">
        <v>0</v>
      </c>
      <c r="AR74" s="180">
        <v>0</v>
      </c>
      <c r="AS74" s="180">
        <v>0</v>
      </c>
      <c r="AT74" s="180">
        <v>0</v>
      </c>
      <c r="AU74" s="180">
        <v>0</v>
      </c>
      <c r="AV74" s="180">
        <v>2072223</v>
      </c>
      <c r="AW74" s="180">
        <v>0</v>
      </c>
      <c r="AX74" s="180">
        <v>0</v>
      </c>
      <c r="AY74" s="180">
        <v>0</v>
      </c>
      <c r="AZ74" s="180">
        <v>1871482</v>
      </c>
      <c r="BA74" s="180">
        <v>0</v>
      </c>
      <c r="BB74" s="180">
        <v>0</v>
      </c>
      <c r="BC74" s="180">
        <v>0</v>
      </c>
      <c r="BD74" s="180">
        <v>0</v>
      </c>
      <c r="BE74" s="180">
        <v>2396215</v>
      </c>
      <c r="BF74" s="180">
        <v>11024735</v>
      </c>
      <c r="BG74" s="180"/>
      <c r="BH74" s="180">
        <v>0</v>
      </c>
      <c r="BI74" s="180">
        <v>0</v>
      </c>
      <c r="BJ74" s="180">
        <v>11751896</v>
      </c>
      <c r="BK74" s="180">
        <v>0</v>
      </c>
      <c r="BL74" s="180">
        <v>0</v>
      </c>
      <c r="BM74" s="180">
        <v>0</v>
      </c>
      <c r="BN74" s="180">
        <v>6946713</v>
      </c>
      <c r="BO74" s="180">
        <v>0</v>
      </c>
      <c r="BP74" s="180"/>
      <c r="BQ74" s="180">
        <v>0</v>
      </c>
      <c r="BR74" s="180"/>
      <c r="BS74" s="180">
        <v>0</v>
      </c>
      <c r="BT74" s="180">
        <v>0</v>
      </c>
      <c r="BU74" s="180"/>
      <c r="BV74" s="180">
        <v>0</v>
      </c>
      <c r="BW74" s="180"/>
      <c r="BX74" s="180"/>
      <c r="BY74" s="180"/>
      <c r="BZ74" s="180"/>
      <c r="CA74" s="180"/>
      <c r="CB74" s="180"/>
      <c r="CC74" s="180"/>
      <c r="CD74" s="180"/>
      <c r="CE74" s="180"/>
      <c r="CF74" s="180"/>
      <c r="CG74" s="180"/>
      <c r="CH74" s="180"/>
      <c r="CI74" s="180"/>
      <c r="CJ74" s="180"/>
      <c r="CK74" s="180"/>
      <c r="CL74" s="180"/>
      <c r="CM74" s="180"/>
      <c r="CN74" s="180"/>
      <c r="CO74" s="180"/>
      <c r="CP74" s="180"/>
      <c r="CQ74" s="180"/>
      <c r="CR74" s="180"/>
      <c r="CS74" s="180"/>
      <c r="CT74" s="180"/>
      <c r="CU74" s="180"/>
    </row>
    <row r="75" spans="1:99" x14ac:dyDescent="0.3">
      <c r="A75" s="155">
        <v>362</v>
      </c>
      <c r="B75" s="180" t="s">
        <v>99</v>
      </c>
      <c r="C75" s="180"/>
      <c r="D75" s="180">
        <v>0</v>
      </c>
      <c r="E75" s="180">
        <v>0</v>
      </c>
      <c r="F75" s="180"/>
      <c r="G75" s="180"/>
      <c r="H75" s="180">
        <v>0</v>
      </c>
      <c r="I75" s="180">
        <v>0</v>
      </c>
      <c r="J75" s="180"/>
      <c r="K75" s="180">
        <v>0</v>
      </c>
      <c r="L75" s="180">
        <v>1279996</v>
      </c>
      <c r="M75" s="180">
        <v>0</v>
      </c>
      <c r="N75" s="180">
        <v>0</v>
      </c>
      <c r="O75" s="180">
        <v>0</v>
      </c>
      <c r="P75" s="180"/>
      <c r="Q75" s="180">
        <v>0</v>
      </c>
      <c r="R75" s="180">
        <v>0</v>
      </c>
      <c r="S75" s="180">
        <v>0</v>
      </c>
      <c r="T75" s="180">
        <v>0</v>
      </c>
      <c r="U75" s="180"/>
      <c r="V75" s="180"/>
      <c r="W75" s="180"/>
      <c r="X75" s="180">
        <v>0</v>
      </c>
      <c r="Y75" s="180">
        <v>0</v>
      </c>
      <c r="Z75" s="180">
        <v>88693124</v>
      </c>
      <c r="AA75" s="180">
        <v>0</v>
      </c>
      <c r="AB75" s="180">
        <v>0</v>
      </c>
      <c r="AC75" s="180">
        <v>0</v>
      </c>
      <c r="AD75" s="180">
        <v>0</v>
      </c>
      <c r="AE75" s="180">
        <v>0</v>
      </c>
      <c r="AF75" s="180">
        <v>0</v>
      </c>
      <c r="AG75" s="180">
        <v>0</v>
      </c>
      <c r="AH75" s="180">
        <v>0</v>
      </c>
      <c r="AI75" s="180">
        <v>0</v>
      </c>
      <c r="AJ75" s="180">
        <v>0</v>
      </c>
      <c r="AK75" s="180">
        <v>0</v>
      </c>
      <c r="AL75" s="180">
        <v>0</v>
      </c>
      <c r="AM75" s="180">
        <v>0</v>
      </c>
      <c r="AN75" s="180">
        <v>0</v>
      </c>
      <c r="AO75" s="180">
        <v>0</v>
      </c>
      <c r="AP75" s="180">
        <v>0</v>
      </c>
      <c r="AQ75" s="180">
        <v>0</v>
      </c>
      <c r="AR75" s="180">
        <v>0</v>
      </c>
      <c r="AS75" s="180">
        <v>0</v>
      </c>
      <c r="AT75" s="180">
        <v>0</v>
      </c>
      <c r="AU75" s="180">
        <v>0</v>
      </c>
      <c r="AV75" s="180">
        <v>2344305</v>
      </c>
      <c r="AW75" s="180">
        <v>0</v>
      </c>
      <c r="AX75" s="180">
        <v>0</v>
      </c>
      <c r="AY75" s="180">
        <v>0</v>
      </c>
      <c r="AZ75" s="180">
        <v>3472569</v>
      </c>
      <c r="BA75" s="180">
        <v>0</v>
      </c>
      <c r="BB75" s="180">
        <v>0</v>
      </c>
      <c r="BC75" s="180">
        <v>0</v>
      </c>
      <c r="BD75" s="180">
        <v>0</v>
      </c>
      <c r="BE75" s="180">
        <v>2866639</v>
      </c>
      <c r="BF75" s="180">
        <v>34099703</v>
      </c>
      <c r="BG75" s="180"/>
      <c r="BH75" s="180">
        <v>0</v>
      </c>
      <c r="BI75" s="180">
        <v>0</v>
      </c>
      <c r="BJ75" s="180">
        <v>19930142</v>
      </c>
      <c r="BK75" s="180">
        <v>0</v>
      </c>
      <c r="BL75" s="180">
        <v>0</v>
      </c>
      <c r="BM75" s="180">
        <v>0</v>
      </c>
      <c r="BN75" s="180">
        <v>18163960</v>
      </c>
      <c r="BO75" s="180">
        <v>0</v>
      </c>
      <c r="BP75" s="180"/>
      <c r="BQ75" s="180">
        <v>0</v>
      </c>
      <c r="BR75" s="180"/>
      <c r="BS75" s="180">
        <v>0</v>
      </c>
      <c r="BT75" s="180">
        <v>0</v>
      </c>
      <c r="BU75" s="180"/>
      <c r="BV75" s="180">
        <v>0</v>
      </c>
      <c r="BW75" s="180"/>
      <c r="BX75" s="180"/>
      <c r="BY75" s="180"/>
      <c r="BZ75" s="180"/>
      <c r="CA75" s="180"/>
      <c r="CB75" s="180"/>
      <c r="CC75" s="180"/>
      <c r="CD75" s="180"/>
      <c r="CE75" s="180"/>
      <c r="CF75" s="180"/>
      <c r="CG75" s="180"/>
      <c r="CH75" s="180"/>
      <c r="CI75" s="180"/>
      <c r="CJ75" s="180"/>
      <c r="CK75" s="180"/>
      <c r="CL75" s="180"/>
      <c r="CM75" s="180"/>
      <c r="CN75" s="180"/>
      <c r="CO75" s="180"/>
      <c r="CP75" s="180"/>
      <c r="CQ75" s="180"/>
      <c r="CR75" s="180"/>
      <c r="CS75" s="180"/>
      <c r="CT75" s="180"/>
      <c r="CU75" s="180"/>
    </row>
    <row r="76" spans="1:99" x14ac:dyDescent="0.3">
      <c r="A76" s="155">
        <v>363</v>
      </c>
      <c r="B76" s="180" t="s">
        <v>233</v>
      </c>
      <c r="C76" s="180"/>
      <c r="D76" s="180">
        <v>0</v>
      </c>
      <c r="E76" s="180">
        <v>0</v>
      </c>
      <c r="F76" s="180"/>
      <c r="G76" s="180"/>
      <c r="H76" s="180">
        <v>0</v>
      </c>
      <c r="I76" s="180">
        <v>0</v>
      </c>
      <c r="J76" s="180"/>
      <c r="K76" s="180">
        <v>0</v>
      </c>
      <c r="L76" s="180">
        <v>5364</v>
      </c>
      <c r="M76" s="180">
        <v>0</v>
      </c>
      <c r="N76" s="180">
        <v>0</v>
      </c>
      <c r="O76" s="180">
        <v>0</v>
      </c>
      <c r="P76" s="180"/>
      <c r="Q76" s="180">
        <v>0</v>
      </c>
      <c r="R76" s="180">
        <v>0</v>
      </c>
      <c r="S76" s="180">
        <v>0</v>
      </c>
      <c r="T76" s="180">
        <v>0</v>
      </c>
      <c r="U76" s="180"/>
      <c r="V76" s="180"/>
      <c r="W76" s="180"/>
      <c r="X76" s="180">
        <v>0</v>
      </c>
      <c r="Y76" s="180">
        <v>0</v>
      </c>
      <c r="Z76" s="180">
        <v>912310</v>
      </c>
      <c r="AA76" s="180">
        <v>0</v>
      </c>
      <c r="AB76" s="180">
        <v>0</v>
      </c>
      <c r="AC76" s="180">
        <v>0</v>
      </c>
      <c r="AD76" s="180">
        <v>0</v>
      </c>
      <c r="AE76" s="180">
        <v>0</v>
      </c>
      <c r="AF76" s="180">
        <v>0</v>
      </c>
      <c r="AG76" s="180">
        <v>0</v>
      </c>
      <c r="AH76" s="180">
        <v>0</v>
      </c>
      <c r="AI76" s="180">
        <v>0</v>
      </c>
      <c r="AJ76" s="180">
        <v>0</v>
      </c>
      <c r="AK76" s="180">
        <v>0</v>
      </c>
      <c r="AL76" s="180">
        <v>0</v>
      </c>
      <c r="AM76" s="180">
        <v>0</v>
      </c>
      <c r="AN76" s="180">
        <v>0</v>
      </c>
      <c r="AO76" s="180">
        <v>0</v>
      </c>
      <c r="AP76" s="180">
        <v>0</v>
      </c>
      <c r="AQ76" s="180">
        <v>0</v>
      </c>
      <c r="AR76" s="180">
        <v>0</v>
      </c>
      <c r="AS76" s="180">
        <v>0</v>
      </c>
      <c r="AT76" s="180">
        <v>0</v>
      </c>
      <c r="AU76" s="180">
        <v>0</v>
      </c>
      <c r="AV76" s="180">
        <v>15361</v>
      </c>
      <c r="AW76" s="180">
        <v>0</v>
      </c>
      <c r="AX76" s="180">
        <v>0</v>
      </c>
      <c r="AY76" s="180">
        <v>0</v>
      </c>
      <c r="AZ76" s="180">
        <v>3001</v>
      </c>
      <c r="BA76" s="180">
        <v>0</v>
      </c>
      <c r="BB76" s="180">
        <v>0</v>
      </c>
      <c r="BC76" s="180">
        <v>0</v>
      </c>
      <c r="BD76" s="180">
        <v>0</v>
      </c>
      <c r="BE76" s="180">
        <v>32743</v>
      </c>
      <c r="BF76" s="180">
        <v>3998</v>
      </c>
      <c r="BG76" s="180"/>
      <c r="BH76" s="180">
        <v>0</v>
      </c>
      <c r="BI76" s="180">
        <v>0</v>
      </c>
      <c r="BJ76" s="180">
        <v>10712</v>
      </c>
      <c r="BK76" s="180">
        <v>0</v>
      </c>
      <c r="BL76" s="180">
        <v>0</v>
      </c>
      <c r="BM76" s="180">
        <v>0</v>
      </c>
      <c r="BN76" s="180">
        <v>111413</v>
      </c>
      <c r="BO76" s="180">
        <v>0</v>
      </c>
      <c r="BP76" s="180"/>
      <c r="BQ76" s="180">
        <v>0</v>
      </c>
      <c r="BR76" s="180"/>
      <c r="BS76" s="180">
        <v>0</v>
      </c>
      <c r="BT76" s="180">
        <v>0</v>
      </c>
      <c r="BU76" s="180"/>
      <c r="BV76" s="180">
        <v>0</v>
      </c>
      <c r="BW76" s="180"/>
      <c r="BX76" s="180"/>
      <c r="BY76" s="180"/>
      <c r="BZ76" s="180"/>
      <c r="CA76" s="180"/>
      <c r="CB76" s="180"/>
      <c r="CC76" s="180"/>
      <c r="CD76" s="180"/>
      <c r="CE76" s="180"/>
      <c r="CF76" s="180"/>
      <c r="CG76" s="180"/>
      <c r="CH76" s="180"/>
      <c r="CI76" s="180"/>
      <c r="CJ76" s="180"/>
      <c r="CK76" s="180"/>
      <c r="CL76" s="180"/>
      <c r="CM76" s="180"/>
      <c r="CN76" s="180"/>
      <c r="CO76" s="180"/>
      <c r="CP76" s="180"/>
      <c r="CQ76" s="180"/>
      <c r="CR76" s="180"/>
      <c r="CS76" s="180"/>
      <c r="CT76" s="180"/>
      <c r="CU76" s="180"/>
    </row>
    <row r="77" spans="1:99" x14ac:dyDescent="0.3">
      <c r="A77" s="155">
        <v>364</v>
      </c>
      <c r="B77" s="180" t="s">
        <v>234</v>
      </c>
      <c r="C77" s="180"/>
      <c r="D77" s="180">
        <v>0</v>
      </c>
      <c r="E77" s="180">
        <v>0</v>
      </c>
      <c r="F77" s="180"/>
      <c r="G77" s="180"/>
      <c r="H77" s="180">
        <v>0</v>
      </c>
      <c r="I77" s="180">
        <v>0</v>
      </c>
      <c r="J77" s="180"/>
      <c r="K77" s="180">
        <v>0</v>
      </c>
      <c r="L77" s="180">
        <v>18263</v>
      </c>
      <c r="M77" s="180">
        <v>0</v>
      </c>
      <c r="N77" s="180">
        <v>0</v>
      </c>
      <c r="O77" s="180">
        <v>0</v>
      </c>
      <c r="P77" s="180"/>
      <c r="Q77" s="180">
        <v>0</v>
      </c>
      <c r="R77" s="180">
        <v>0</v>
      </c>
      <c r="S77" s="180">
        <v>0</v>
      </c>
      <c r="T77" s="180">
        <v>0</v>
      </c>
      <c r="U77" s="180"/>
      <c r="V77" s="180"/>
      <c r="W77" s="180"/>
      <c r="X77" s="180">
        <v>0</v>
      </c>
      <c r="Y77" s="180">
        <v>0</v>
      </c>
      <c r="Z77" s="180">
        <v>71235</v>
      </c>
      <c r="AA77" s="180">
        <v>0</v>
      </c>
      <c r="AB77" s="180">
        <v>0</v>
      </c>
      <c r="AC77" s="180">
        <v>0</v>
      </c>
      <c r="AD77" s="180">
        <v>0</v>
      </c>
      <c r="AE77" s="180">
        <v>0</v>
      </c>
      <c r="AF77" s="180">
        <v>0</v>
      </c>
      <c r="AG77" s="180">
        <v>0</v>
      </c>
      <c r="AH77" s="180">
        <v>0</v>
      </c>
      <c r="AI77" s="180">
        <v>0</v>
      </c>
      <c r="AJ77" s="180">
        <v>0</v>
      </c>
      <c r="AK77" s="180">
        <v>0</v>
      </c>
      <c r="AL77" s="180">
        <v>0</v>
      </c>
      <c r="AM77" s="180">
        <v>0</v>
      </c>
      <c r="AN77" s="180">
        <v>0</v>
      </c>
      <c r="AO77" s="180">
        <v>0</v>
      </c>
      <c r="AP77" s="180">
        <v>0</v>
      </c>
      <c r="AQ77" s="180">
        <v>0</v>
      </c>
      <c r="AR77" s="180">
        <v>0</v>
      </c>
      <c r="AS77" s="180">
        <v>0</v>
      </c>
      <c r="AT77" s="180">
        <v>0</v>
      </c>
      <c r="AU77" s="180">
        <v>0</v>
      </c>
      <c r="AV77" s="180">
        <v>0</v>
      </c>
      <c r="AW77" s="180">
        <v>0</v>
      </c>
      <c r="AX77" s="180">
        <v>0</v>
      </c>
      <c r="AY77" s="180">
        <v>0</v>
      </c>
      <c r="AZ77" s="180">
        <v>1485</v>
      </c>
      <c r="BA77" s="180">
        <v>0</v>
      </c>
      <c r="BB77" s="180">
        <v>0</v>
      </c>
      <c r="BC77" s="180">
        <v>0</v>
      </c>
      <c r="BD77" s="180">
        <v>0</v>
      </c>
      <c r="BE77" s="180">
        <v>6123</v>
      </c>
      <c r="BF77" s="180">
        <v>53387</v>
      </c>
      <c r="BG77" s="180"/>
      <c r="BH77" s="180">
        <v>0</v>
      </c>
      <c r="BI77" s="180">
        <v>0</v>
      </c>
      <c r="BJ77" s="180">
        <v>54644</v>
      </c>
      <c r="BK77" s="180">
        <v>0</v>
      </c>
      <c r="BL77" s="180">
        <v>0</v>
      </c>
      <c r="BM77" s="180">
        <v>0</v>
      </c>
      <c r="BN77" s="180">
        <v>0</v>
      </c>
      <c r="BO77" s="180">
        <v>0</v>
      </c>
      <c r="BP77" s="180"/>
      <c r="BQ77" s="180">
        <v>0</v>
      </c>
      <c r="BR77" s="180"/>
      <c r="BS77" s="180">
        <v>0</v>
      </c>
      <c r="BT77" s="180">
        <v>0</v>
      </c>
      <c r="BU77" s="180"/>
      <c r="BV77" s="180">
        <v>0</v>
      </c>
      <c r="BW77" s="180"/>
      <c r="BX77" s="180"/>
      <c r="BY77" s="180"/>
      <c r="BZ77" s="180"/>
      <c r="CA77" s="180"/>
      <c r="CB77" s="180"/>
      <c r="CC77" s="180"/>
      <c r="CD77" s="180"/>
      <c r="CE77" s="180"/>
      <c r="CF77" s="180"/>
      <c r="CG77" s="180"/>
      <c r="CH77" s="180"/>
      <c r="CI77" s="180"/>
      <c r="CJ77" s="180"/>
      <c r="CK77" s="180"/>
      <c r="CL77" s="180"/>
      <c r="CM77" s="180"/>
      <c r="CN77" s="180"/>
      <c r="CO77" s="180"/>
      <c r="CP77" s="180"/>
      <c r="CQ77" s="180"/>
      <c r="CR77" s="180"/>
      <c r="CS77" s="180"/>
      <c r="CT77" s="180"/>
      <c r="CU77" s="180"/>
    </row>
    <row r="78" spans="1:99" x14ac:dyDescent="0.3">
      <c r="A78" s="155">
        <v>365</v>
      </c>
      <c r="B78" s="180" t="s">
        <v>236</v>
      </c>
      <c r="C78" s="180"/>
      <c r="D78" s="180">
        <v>0</v>
      </c>
      <c r="E78" s="180">
        <v>0</v>
      </c>
      <c r="F78" s="180"/>
      <c r="G78" s="180"/>
      <c r="H78" s="180">
        <v>0</v>
      </c>
      <c r="I78" s="180">
        <v>0</v>
      </c>
      <c r="J78" s="180"/>
      <c r="K78" s="180">
        <v>0</v>
      </c>
      <c r="L78" s="180">
        <v>0</v>
      </c>
      <c r="M78" s="180">
        <v>0</v>
      </c>
      <c r="N78" s="180">
        <v>0</v>
      </c>
      <c r="O78" s="180">
        <v>0</v>
      </c>
      <c r="P78" s="180"/>
      <c r="Q78" s="180">
        <v>0</v>
      </c>
      <c r="R78" s="180">
        <v>0</v>
      </c>
      <c r="S78" s="180">
        <v>0</v>
      </c>
      <c r="T78" s="180">
        <v>0</v>
      </c>
      <c r="U78" s="180"/>
      <c r="V78" s="180"/>
      <c r="W78" s="180"/>
      <c r="X78" s="180">
        <v>0</v>
      </c>
      <c r="Y78" s="180">
        <v>0</v>
      </c>
      <c r="Z78" s="180">
        <v>0</v>
      </c>
      <c r="AA78" s="180">
        <v>0</v>
      </c>
      <c r="AB78" s="180">
        <v>0</v>
      </c>
      <c r="AC78" s="180">
        <v>0</v>
      </c>
      <c r="AD78" s="180">
        <v>0</v>
      </c>
      <c r="AE78" s="180">
        <v>0</v>
      </c>
      <c r="AF78" s="180">
        <v>0</v>
      </c>
      <c r="AG78" s="180">
        <v>0</v>
      </c>
      <c r="AH78" s="180">
        <v>0</v>
      </c>
      <c r="AI78" s="180">
        <v>0</v>
      </c>
      <c r="AJ78" s="180">
        <v>0</v>
      </c>
      <c r="AK78" s="180">
        <v>0</v>
      </c>
      <c r="AL78" s="180">
        <v>0</v>
      </c>
      <c r="AM78" s="180">
        <v>0</v>
      </c>
      <c r="AN78" s="180">
        <v>0</v>
      </c>
      <c r="AO78" s="180">
        <v>0</v>
      </c>
      <c r="AP78" s="180">
        <v>0</v>
      </c>
      <c r="AQ78" s="180">
        <v>0</v>
      </c>
      <c r="AR78" s="180">
        <v>0</v>
      </c>
      <c r="AS78" s="180">
        <v>0</v>
      </c>
      <c r="AT78" s="180">
        <v>0</v>
      </c>
      <c r="AU78" s="180">
        <v>0</v>
      </c>
      <c r="AV78" s="180">
        <v>0</v>
      </c>
      <c r="AW78" s="180">
        <v>0</v>
      </c>
      <c r="AX78" s="180">
        <v>0</v>
      </c>
      <c r="AY78" s="180">
        <v>0</v>
      </c>
      <c r="AZ78" s="180">
        <v>0</v>
      </c>
      <c r="BA78" s="180">
        <v>0</v>
      </c>
      <c r="BB78" s="180">
        <v>0</v>
      </c>
      <c r="BC78" s="180">
        <v>0</v>
      </c>
      <c r="BD78" s="180">
        <v>0</v>
      </c>
      <c r="BE78" s="180">
        <v>0</v>
      </c>
      <c r="BF78" s="180">
        <v>0</v>
      </c>
      <c r="BG78" s="180"/>
      <c r="BH78" s="180">
        <v>0</v>
      </c>
      <c r="BI78" s="180">
        <v>0</v>
      </c>
      <c r="BJ78" s="180">
        <v>0</v>
      </c>
      <c r="BK78" s="180">
        <v>0</v>
      </c>
      <c r="BL78" s="180">
        <v>0</v>
      </c>
      <c r="BM78" s="180">
        <v>0</v>
      </c>
      <c r="BN78" s="180">
        <v>0</v>
      </c>
      <c r="BO78" s="180">
        <v>0</v>
      </c>
      <c r="BP78" s="180"/>
      <c r="BQ78" s="180">
        <v>0</v>
      </c>
      <c r="BR78" s="180"/>
      <c r="BS78" s="180">
        <v>0</v>
      </c>
      <c r="BT78" s="180">
        <v>0</v>
      </c>
      <c r="BU78" s="180"/>
      <c r="BV78" s="180">
        <v>0</v>
      </c>
      <c r="BW78" s="180"/>
      <c r="BX78" s="180"/>
      <c r="BY78" s="180"/>
      <c r="BZ78" s="180"/>
      <c r="CA78" s="180"/>
      <c r="CB78" s="180"/>
      <c r="CC78" s="180"/>
      <c r="CD78" s="180"/>
      <c r="CE78" s="180"/>
      <c r="CF78" s="180"/>
      <c r="CG78" s="180"/>
      <c r="CH78" s="180"/>
      <c r="CI78" s="180"/>
      <c r="CJ78" s="180"/>
      <c r="CK78" s="180"/>
      <c r="CL78" s="180"/>
      <c r="CM78" s="180"/>
      <c r="CN78" s="180"/>
      <c r="CO78" s="180"/>
      <c r="CP78" s="180"/>
      <c r="CQ78" s="180"/>
      <c r="CR78" s="180"/>
      <c r="CS78" s="180"/>
      <c r="CT78" s="180"/>
      <c r="CU78" s="180"/>
    </row>
    <row r="79" spans="1:99" x14ac:dyDescent="0.3">
      <c r="A79" s="155">
        <v>366</v>
      </c>
      <c r="B79" s="180" t="s">
        <v>924</v>
      </c>
      <c r="C79" s="180"/>
      <c r="D79" s="180">
        <v>0</v>
      </c>
      <c r="E79" s="180">
        <v>0</v>
      </c>
      <c r="F79" s="180"/>
      <c r="G79" s="180"/>
      <c r="H79" s="180">
        <v>0</v>
      </c>
      <c r="I79" s="180">
        <v>0</v>
      </c>
      <c r="J79" s="180"/>
      <c r="K79" s="180">
        <v>0</v>
      </c>
      <c r="L79" s="180">
        <v>30994</v>
      </c>
      <c r="M79" s="180">
        <v>0</v>
      </c>
      <c r="N79" s="180">
        <v>0</v>
      </c>
      <c r="O79" s="180">
        <v>0</v>
      </c>
      <c r="P79" s="180"/>
      <c r="Q79" s="180">
        <v>0</v>
      </c>
      <c r="R79" s="180">
        <v>0</v>
      </c>
      <c r="S79" s="180">
        <v>0</v>
      </c>
      <c r="T79" s="180">
        <v>0</v>
      </c>
      <c r="U79" s="180"/>
      <c r="V79" s="180"/>
      <c r="W79" s="180"/>
      <c r="X79" s="180">
        <v>0</v>
      </c>
      <c r="Y79" s="180">
        <v>0</v>
      </c>
      <c r="Z79" s="180">
        <v>2550000</v>
      </c>
      <c r="AA79" s="180">
        <v>0</v>
      </c>
      <c r="AB79" s="180">
        <v>0</v>
      </c>
      <c r="AC79" s="180">
        <v>0</v>
      </c>
      <c r="AD79" s="180">
        <v>0</v>
      </c>
      <c r="AE79" s="180">
        <v>0</v>
      </c>
      <c r="AF79" s="180">
        <v>0</v>
      </c>
      <c r="AG79" s="180">
        <v>0</v>
      </c>
      <c r="AH79" s="180">
        <v>0</v>
      </c>
      <c r="AI79" s="180">
        <v>0</v>
      </c>
      <c r="AJ79" s="180">
        <v>0</v>
      </c>
      <c r="AK79" s="180">
        <v>0</v>
      </c>
      <c r="AL79" s="180">
        <v>0</v>
      </c>
      <c r="AM79" s="180">
        <v>0</v>
      </c>
      <c r="AN79" s="180">
        <v>0</v>
      </c>
      <c r="AO79" s="180">
        <v>0</v>
      </c>
      <c r="AP79" s="180">
        <v>0</v>
      </c>
      <c r="AQ79" s="180">
        <v>0</v>
      </c>
      <c r="AR79" s="180">
        <v>0</v>
      </c>
      <c r="AS79" s="180">
        <v>0</v>
      </c>
      <c r="AT79" s="180">
        <v>0</v>
      </c>
      <c r="AU79" s="180">
        <v>0</v>
      </c>
      <c r="AV79" s="180">
        <v>33599</v>
      </c>
      <c r="AW79" s="180">
        <v>0</v>
      </c>
      <c r="AX79" s="180">
        <v>0</v>
      </c>
      <c r="AY79" s="180">
        <v>0</v>
      </c>
      <c r="AZ79" s="180">
        <v>175000</v>
      </c>
      <c r="BA79" s="180">
        <v>0</v>
      </c>
      <c r="BB79" s="180">
        <v>0</v>
      </c>
      <c r="BC79" s="180">
        <v>0</v>
      </c>
      <c r="BD79" s="180">
        <v>0</v>
      </c>
      <c r="BE79" s="180">
        <v>0</v>
      </c>
      <c r="BF79" s="180">
        <v>1305818</v>
      </c>
      <c r="BG79" s="180"/>
      <c r="BH79" s="180">
        <v>0</v>
      </c>
      <c r="BI79" s="180">
        <v>0</v>
      </c>
      <c r="BJ79" s="180">
        <v>0</v>
      </c>
      <c r="BK79" s="180">
        <v>0</v>
      </c>
      <c r="BL79" s="180">
        <v>0</v>
      </c>
      <c r="BM79" s="180">
        <v>0</v>
      </c>
      <c r="BN79" s="180">
        <v>0</v>
      </c>
      <c r="BO79" s="180">
        <v>0</v>
      </c>
      <c r="BP79" s="180"/>
      <c r="BQ79" s="180">
        <v>0</v>
      </c>
      <c r="BR79" s="180"/>
      <c r="BS79" s="180">
        <v>0</v>
      </c>
      <c r="BT79" s="180">
        <v>0</v>
      </c>
      <c r="BU79" s="180"/>
      <c r="BV79" s="180">
        <v>0</v>
      </c>
      <c r="BW79" s="180"/>
      <c r="BX79" s="180"/>
      <c r="BY79" s="180"/>
      <c r="BZ79" s="180"/>
      <c r="CA79" s="180"/>
      <c r="CB79" s="180"/>
      <c r="CC79" s="180"/>
      <c r="CD79" s="180"/>
      <c r="CE79" s="180"/>
      <c r="CF79" s="180"/>
      <c r="CG79" s="180"/>
      <c r="CH79" s="180"/>
      <c r="CI79" s="180"/>
      <c r="CJ79" s="180"/>
      <c r="CK79" s="180"/>
      <c r="CL79" s="180"/>
      <c r="CM79" s="180"/>
      <c r="CN79" s="180"/>
      <c r="CO79" s="180"/>
      <c r="CP79" s="180"/>
      <c r="CQ79" s="180"/>
      <c r="CR79" s="180"/>
      <c r="CS79" s="180"/>
      <c r="CT79" s="180"/>
      <c r="CU79" s="180"/>
    </row>
    <row r="80" spans="1:99" x14ac:dyDescent="0.3">
      <c r="A80" s="155">
        <v>368</v>
      </c>
      <c r="B80" s="180" t="s">
        <v>191</v>
      </c>
      <c r="C80" s="180"/>
      <c r="D80" s="180">
        <v>0</v>
      </c>
      <c r="E80" s="180">
        <v>78874</v>
      </c>
      <c r="F80" s="180"/>
      <c r="G80" s="180"/>
      <c r="H80" s="180">
        <v>0</v>
      </c>
      <c r="I80" s="180">
        <v>0</v>
      </c>
      <c r="J80" s="180"/>
      <c r="K80" s="180">
        <v>0</v>
      </c>
      <c r="L80" s="180">
        <v>0</v>
      </c>
      <c r="M80" s="180">
        <v>0</v>
      </c>
      <c r="N80" s="180">
        <v>0</v>
      </c>
      <c r="O80" s="180">
        <v>0</v>
      </c>
      <c r="P80" s="180"/>
      <c r="Q80" s="180">
        <v>0</v>
      </c>
      <c r="R80" s="180">
        <v>0</v>
      </c>
      <c r="S80" s="180">
        <v>0</v>
      </c>
      <c r="T80" s="180">
        <v>0</v>
      </c>
      <c r="U80" s="180"/>
      <c r="V80" s="180"/>
      <c r="W80" s="180"/>
      <c r="X80" s="180">
        <v>0</v>
      </c>
      <c r="Y80" s="180">
        <v>0</v>
      </c>
      <c r="Z80" s="180">
        <v>238941</v>
      </c>
      <c r="AA80" s="180">
        <v>0</v>
      </c>
      <c r="AB80" s="180">
        <v>0</v>
      </c>
      <c r="AC80" s="180">
        <v>0</v>
      </c>
      <c r="AD80" s="180">
        <v>0</v>
      </c>
      <c r="AE80" s="180">
        <v>0</v>
      </c>
      <c r="AF80" s="180">
        <v>0</v>
      </c>
      <c r="AG80" s="180">
        <v>0</v>
      </c>
      <c r="AH80" s="180">
        <v>0</v>
      </c>
      <c r="AI80" s="180">
        <v>0</v>
      </c>
      <c r="AJ80" s="180">
        <v>0</v>
      </c>
      <c r="AK80" s="180">
        <v>0</v>
      </c>
      <c r="AL80" s="180">
        <v>0</v>
      </c>
      <c r="AM80" s="180">
        <v>0</v>
      </c>
      <c r="AN80" s="180">
        <v>0</v>
      </c>
      <c r="AO80" s="180">
        <v>0</v>
      </c>
      <c r="AP80" s="180">
        <v>0</v>
      </c>
      <c r="AQ80" s="180">
        <v>0</v>
      </c>
      <c r="AR80" s="180">
        <v>0</v>
      </c>
      <c r="AS80" s="180">
        <v>0</v>
      </c>
      <c r="AT80" s="180">
        <v>0</v>
      </c>
      <c r="AU80" s="180">
        <v>0</v>
      </c>
      <c r="AV80" s="180">
        <v>0</v>
      </c>
      <c r="AW80" s="180">
        <v>0</v>
      </c>
      <c r="AX80" s="180">
        <v>0</v>
      </c>
      <c r="AY80" s="180">
        <v>0</v>
      </c>
      <c r="AZ80" s="180">
        <v>0</v>
      </c>
      <c r="BA80" s="180">
        <v>0</v>
      </c>
      <c r="BB80" s="180">
        <v>0</v>
      </c>
      <c r="BC80" s="180">
        <v>0</v>
      </c>
      <c r="BD80" s="180">
        <v>0</v>
      </c>
      <c r="BE80" s="180">
        <v>0</v>
      </c>
      <c r="BF80" s="180">
        <v>0</v>
      </c>
      <c r="BG80" s="180"/>
      <c r="BH80" s="180">
        <v>0</v>
      </c>
      <c r="BI80" s="180">
        <v>0</v>
      </c>
      <c r="BJ80" s="180">
        <v>0</v>
      </c>
      <c r="BK80" s="180">
        <v>0</v>
      </c>
      <c r="BL80" s="180">
        <v>879051</v>
      </c>
      <c r="BM80" s="180">
        <v>0</v>
      </c>
      <c r="BN80" s="180">
        <v>2003</v>
      </c>
      <c r="BO80" s="180">
        <v>0</v>
      </c>
      <c r="BP80" s="180"/>
      <c r="BQ80" s="180">
        <v>0</v>
      </c>
      <c r="BR80" s="180"/>
      <c r="BS80" s="180">
        <v>0</v>
      </c>
      <c r="BT80" s="180">
        <v>0</v>
      </c>
      <c r="BU80" s="180"/>
      <c r="BV80" s="180">
        <v>0</v>
      </c>
      <c r="BW80" s="180"/>
      <c r="BX80" s="180"/>
      <c r="BY80" s="180"/>
      <c r="BZ80" s="180"/>
      <c r="CA80" s="180"/>
      <c r="CB80" s="180"/>
      <c r="CC80" s="180"/>
      <c r="CD80" s="180"/>
      <c r="CE80" s="180"/>
      <c r="CF80" s="180"/>
      <c r="CG80" s="180"/>
      <c r="CH80" s="180"/>
      <c r="CI80" s="180"/>
      <c r="CJ80" s="180"/>
      <c r="CK80" s="180"/>
      <c r="CL80" s="180"/>
      <c r="CM80" s="180"/>
      <c r="CN80" s="180"/>
      <c r="CO80" s="180"/>
      <c r="CP80" s="180"/>
      <c r="CQ80" s="180"/>
      <c r="CR80" s="180"/>
      <c r="CS80" s="180"/>
      <c r="CT80" s="180"/>
      <c r="CU80" s="180"/>
    </row>
    <row r="81" spans="1:99" s="562" customFormat="1" x14ac:dyDescent="0.3">
      <c r="A81" s="561">
        <v>369</v>
      </c>
      <c r="B81" s="562" t="s">
        <v>196</v>
      </c>
      <c r="D81" s="562">
        <v>2496114</v>
      </c>
      <c r="E81" s="562">
        <v>21422923</v>
      </c>
      <c r="H81" s="562">
        <v>906440</v>
      </c>
      <c r="I81" s="562">
        <v>37637</v>
      </c>
      <c r="K81" s="562">
        <v>1184614</v>
      </c>
      <c r="L81" s="562">
        <v>1612986</v>
      </c>
      <c r="M81" s="562">
        <v>2715897</v>
      </c>
      <c r="N81" s="562">
        <v>158873</v>
      </c>
      <c r="O81" s="562">
        <v>124950</v>
      </c>
      <c r="Q81" s="562">
        <v>282957</v>
      </c>
      <c r="R81" s="562">
        <v>737840</v>
      </c>
      <c r="S81" s="562">
        <v>310649</v>
      </c>
      <c r="T81" s="562">
        <v>6245429</v>
      </c>
      <c r="X81" s="562">
        <v>4178169</v>
      </c>
      <c r="Y81" s="562">
        <v>1001827</v>
      </c>
      <c r="Z81" s="562">
        <v>27001006</v>
      </c>
      <c r="AA81" s="562">
        <v>1509553</v>
      </c>
      <c r="AB81" s="562">
        <v>244248</v>
      </c>
      <c r="AC81" s="562">
        <v>130724</v>
      </c>
      <c r="AD81" s="562">
        <v>675434</v>
      </c>
      <c r="AE81" s="562">
        <v>840187</v>
      </c>
      <c r="AF81" s="562">
        <v>298452</v>
      </c>
      <c r="AG81" s="562">
        <v>177979</v>
      </c>
      <c r="AH81" s="562">
        <v>1750912</v>
      </c>
      <c r="AI81" s="562">
        <v>78673</v>
      </c>
      <c r="AJ81" s="562">
        <v>1656580</v>
      </c>
      <c r="AK81" s="562">
        <v>93258</v>
      </c>
      <c r="AL81" s="562">
        <v>636048</v>
      </c>
      <c r="AM81" s="562">
        <v>2088190</v>
      </c>
      <c r="AN81" s="562">
        <v>18887</v>
      </c>
      <c r="AO81" s="562">
        <v>17942884</v>
      </c>
      <c r="AP81" s="562">
        <v>391984</v>
      </c>
      <c r="AQ81" s="562">
        <v>127675</v>
      </c>
      <c r="AR81" s="562">
        <v>174665</v>
      </c>
      <c r="AS81" s="562">
        <v>4686274</v>
      </c>
      <c r="AT81" s="562">
        <v>91771</v>
      </c>
      <c r="AU81" s="562">
        <v>326654</v>
      </c>
      <c r="AV81" s="562">
        <v>916525</v>
      </c>
      <c r="AW81" s="562">
        <v>230591</v>
      </c>
      <c r="AX81" s="562">
        <v>143401</v>
      </c>
      <c r="AY81" s="562">
        <v>98331</v>
      </c>
      <c r="AZ81" s="562">
        <v>1143520</v>
      </c>
      <c r="BA81" s="562">
        <v>552145</v>
      </c>
      <c r="BB81" s="562">
        <v>19232</v>
      </c>
      <c r="BC81" s="562">
        <v>55869</v>
      </c>
      <c r="BD81" s="562">
        <v>3450036</v>
      </c>
      <c r="BE81" s="562">
        <v>658603</v>
      </c>
      <c r="BF81" s="562">
        <v>3283408</v>
      </c>
      <c r="BH81" s="562">
        <v>131463</v>
      </c>
      <c r="BI81" s="562">
        <v>75538</v>
      </c>
      <c r="BJ81" s="562">
        <v>5257824</v>
      </c>
      <c r="BK81" s="562">
        <v>744196</v>
      </c>
      <c r="BL81" s="562">
        <v>7503653</v>
      </c>
      <c r="BM81" s="562">
        <v>628668</v>
      </c>
      <c r="BN81" s="562">
        <v>1910964</v>
      </c>
      <c r="BO81" s="562">
        <v>1247713</v>
      </c>
      <c r="BQ81" s="562">
        <v>1410670</v>
      </c>
      <c r="BS81" s="562">
        <v>434030</v>
      </c>
      <c r="BT81" s="562">
        <v>652667</v>
      </c>
      <c r="BV81" s="562">
        <v>1225395</v>
      </c>
    </row>
    <row r="82" spans="1:99" s="562" customFormat="1" x14ac:dyDescent="0.3">
      <c r="A82" s="561">
        <v>370</v>
      </c>
      <c r="B82" s="562" t="s">
        <v>198</v>
      </c>
      <c r="D82" s="562">
        <v>299619</v>
      </c>
      <c r="E82" s="562">
        <v>58489692</v>
      </c>
      <c r="H82" s="562">
        <v>0</v>
      </c>
      <c r="I82" s="562">
        <v>0</v>
      </c>
      <c r="K82" s="562">
        <v>0</v>
      </c>
      <c r="L82" s="562">
        <v>186287</v>
      </c>
      <c r="M82" s="562">
        <v>437342</v>
      </c>
      <c r="N82" s="562">
        <v>0</v>
      </c>
      <c r="O82" s="562">
        <v>17567</v>
      </c>
      <c r="Q82" s="562">
        <v>0</v>
      </c>
      <c r="R82" s="562">
        <v>40848</v>
      </c>
      <c r="S82" s="562">
        <v>0</v>
      </c>
      <c r="T82" s="562">
        <v>1654341</v>
      </c>
      <c r="X82" s="562">
        <v>428038</v>
      </c>
      <c r="Y82" s="562">
        <v>669</v>
      </c>
      <c r="Z82" s="562">
        <v>6000052</v>
      </c>
      <c r="AA82" s="562">
        <v>609738</v>
      </c>
      <c r="AB82" s="562">
        <v>0</v>
      </c>
      <c r="AC82" s="562">
        <v>0</v>
      </c>
      <c r="AD82" s="562">
        <v>3493</v>
      </c>
      <c r="AE82" s="562">
        <v>46512</v>
      </c>
      <c r="AF82" s="562">
        <v>15553</v>
      </c>
      <c r="AG82" s="562">
        <v>8301</v>
      </c>
      <c r="AH82" s="562">
        <v>448460</v>
      </c>
      <c r="AI82" s="562">
        <v>0</v>
      </c>
      <c r="AJ82" s="562">
        <v>154631</v>
      </c>
      <c r="AK82" s="562">
        <v>0</v>
      </c>
      <c r="AL82" s="562">
        <v>53114</v>
      </c>
      <c r="AM82" s="562">
        <v>274529</v>
      </c>
      <c r="AN82" s="562">
        <v>0</v>
      </c>
      <c r="AO82" s="562">
        <v>1297221</v>
      </c>
      <c r="AP82" s="562">
        <v>35671</v>
      </c>
      <c r="AQ82" s="562">
        <v>0</v>
      </c>
      <c r="AR82" s="562">
        <v>20652</v>
      </c>
      <c r="AS82" s="562">
        <v>1449112</v>
      </c>
      <c r="AT82" s="562">
        <v>12331</v>
      </c>
      <c r="AU82" s="562">
        <v>0</v>
      </c>
      <c r="AV82" s="562">
        <v>0</v>
      </c>
      <c r="AW82" s="562">
        <v>26969</v>
      </c>
      <c r="AX82" s="562">
        <v>0</v>
      </c>
      <c r="AY82" s="562">
        <v>0</v>
      </c>
      <c r="AZ82" s="562">
        <v>255439</v>
      </c>
      <c r="BA82" s="562">
        <v>112500</v>
      </c>
      <c r="BB82" s="562">
        <v>0</v>
      </c>
      <c r="BC82" s="562">
        <v>0</v>
      </c>
      <c r="BD82" s="562">
        <v>380573</v>
      </c>
      <c r="BE82" s="562">
        <v>73153</v>
      </c>
      <c r="BF82" s="562">
        <v>6684906</v>
      </c>
      <c r="BH82" s="562">
        <v>0</v>
      </c>
      <c r="BI82" s="562">
        <v>0</v>
      </c>
      <c r="BJ82" s="562">
        <v>3168809</v>
      </c>
      <c r="BK82" s="562">
        <v>0</v>
      </c>
      <c r="BL82" s="562">
        <v>1462291</v>
      </c>
      <c r="BM82" s="562">
        <v>52128</v>
      </c>
      <c r="BN82" s="562">
        <v>386875</v>
      </c>
      <c r="BO82" s="562">
        <v>0</v>
      </c>
      <c r="BQ82" s="562">
        <v>0</v>
      </c>
      <c r="BS82" s="562">
        <v>0</v>
      </c>
      <c r="BT82" s="562">
        <v>60953</v>
      </c>
      <c r="BV82" s="562">
        <v>74281</v>
      </c>
    </row>
    <row r="83" spans="1:99" s="562" customFormat="1" x14ac:dyDescent="0.3">
      <c r="A83" s="561">
        <v>371</v>
      </c>
      <c r="B83" s="562" t="s">
        <v>248</v>
      </c>
      <c r="D83" s="562">
        <v>0</v>
      </c>
      <c r="E83" s="562">
        <v>64960480</v>
      </c>
      <c r="H83" s="562">
        <v>0</v>
      </c>
      <c r="I83" s="562">
        <v>0</v>
      </c>
      <c r="K83" s="562">
        <v>0</v>
      </c>
      <c r="L83" s="562">
        <v>0</v>
      </c>
      <c r="M83" s="562">
        <v>0</v>
      </c>
      <c r="N83" s="562">
        <v>0</v>
      </c>
      <c r="O83" s="562">
        <v>0</v>
      </c>
      <c r="Q83" s="562">
        <v>0</v>
      </c>
      <c r="R83" s="562">
        <v>0</v>
      </c>
      <c r="S83" s="562">
        <v>0</v>
      </c>
      <c r="T83" s="562">
        <v>0</v>
      </c>
      <c r="X83" s="562">
        <v>0</v>
      </c>
      <c r="Y83" s="562">
        <v>0</v>
      </c>
      <c r="Z83" s="562">
        <v>0</v>
      </c>
      <c r="AA83" s="562">
        <v>0</v>
      </c>
      <c r="AB83" s="562">
        <v>0</v>
      </c>
      <c r="AC83" s="562">
        <v>0</v>
      </c>
      <c r="AD83" s="562">
        <v>0</v>
      </c>
      <c r="AE83" s="562">
        <v>0</v>
      </c>
      <c r="AF83" s="562">
        <v>0</v>
      </c>
      <c r="AG83" s="562">
        <v>0</v>
      </c>
      <c r="AH83" s="562">
        <v>0</v>
      </c>
      <c r="AI83" s="562">
        <v>0</v>
      </c>
      <c r="AJ83" s="562">
        <v>0</v>
      </c>
      <c r="AK83" s="562">
        <v>0</v>
      </c>
      <c r="AL83" s="562">
        <v>0</v>
      </c>
      <c r="AM83" s="562">
        <v>0</v>
      </c>
      <c r="AN83" s="562">
        <v>0</v>
      </c>
      <c r="AO83" s="562">
        <v>0</v>
      </c>
      <c r="AP83" s="562">
        <v>0</v>
      </c>
      <c r="AQ83" s="562">
        <v>0</v>
      </c>
      <c r="AR83" s="562">
        <v>0</v>
      </c>
      <c r="AS83" s="562">
        <v>0</v>
      </c>
      <c r="AT83" s="562">
        <v>0</v>
      </c>
      <c r="AU83" s="562">
        <v>0</v>
      </c>
      <c r="AV83" s="562">
        <v>0</v>
      </c>
      <c r="AW83" s="562">
        <v>0</v>
      </c>
      <c r="AX83" s="562">
        <v>0</v>
      </c>
      <c r="AY83" s="562">
        <v>0</v>
      </c>
      <c r="AZ83" s="562">
        <v>0</v>
      </c>
      <c r="BA83" s="562">
        <v>0</v>
      </c>
      <c r="BB83" s="562">
        <v>0</v>
      </c>
      <c r="BC83" s="562">
        <v>0</v>
      </c>
      <c r="BD83" s="562">
        <v>0</v>
      </c>
      <c r="BE83" s="562">
        <v>0</v>
      </c>
      <c r="BF83" s="562">
        <v>0</v>
      </c>
      <c r="BH83" s="562">
        <v>0</v>
      </c>
      <c r="BI83" s="562">
        <v>0</v>
      </c>
      <c r="BJ83" s="562">
        <v>0</v>
      </c>
      <c r="BK83" s="562">
        <v>0</v>
      </c>
      <c r="BL83" s="562">
        <v>0</v>
      </c>
      <c r="BM83" s="562">
        <v>0</v>
      </c>
      <c r="BN83" s="562">
        <v>0</v>
      </c>
      <c r="BO83" s="562">
        <v>0</v>
      </c>
      <c r="BQ83" s="562">
        <v>0</v>
      </c>
      <c r="BS83" s="562">
        <v>0</v>
      </c>
      <c r="BT83" s="562">
        <v>0</v>
      </c>
      <c r="BV83" s="562">
        <v>0</v>
      </c>
    </row>
    <row r="84" spans="1:99" x14ac:dyDescent="0.3">
      <c r="A84" s="155">
        <v>373</v>
      </c>
      <c r="B84" s="180" t="s">
        <v>304</v>
      </c>
      <c r="C84" s="180"/>
      <c r="D84" s="180">
        <v>6267559</v>
      </c>
      <c r="E84" s="180">
        <v>1087635877</v>
      </c>
      <c r="F84" s="180"/>
      <c r="G84" s="180"/>
      <c r="H84" s="180">
        <v>3211704</v>
      </c>
      <c r="I84" s="180">
        <v>11965</v>
      </c>
      <c r="J84" s="180"/>
      <c r="K84" s="180">
        <v>1946549</v>
      </c>
      <c r="L84" s="180">
        <v>4400538</v>
      </c>
      <c r="M84" s="180">
        <v>54828022</v>
      </c>
      <c r="N84" s="180">
        <v>85817</v>
      </c>
      <c r="O84" s="180">
        <v>748144</v>
      </c>
      <c r="P84" s="180"/>
      <c r="Q84" s="180">
        <v>461913</v>
      </c>
      <c r="R84" s="180">
        <v>842299</v>
      </c>
      <c r="S84" s="180">
        <v>2555715</v>
      </c>
      <c r="T84" s="180">
        <v>19406301</v>
      </c>
      <c r="U84" s="180"/>
      <c r="V84" s="180"/>
      <c r="W84" s="180"/>
      <c r="X84" s="180">
        <v>14308122</v>
      </c>
      <c r="Y84" s="180">
        <v>2092288</v>
      </c>
      <c r="Z84" s="180">
        <v>113099523</v>
      </c>
      <c r="AA84" s="180">
        <v>14570566</v>
      </c>
      <c r="AB84" s="180">
        <v>91672</v>
      </c>
      <c r="AC84" s="180">
        <v>716662</v>
      </c>
      <c r="AD84" s="180">
        <v>2961235</v>
      </c>
      <c r="AE84" s="180">
        <v>2069134</v>
      </c>
      <c r="AF84" s="180">
        <v>418067</v>
      </c>
      <c r="AG84" s="180">
        <v>1628268</v>
      </c>
      <c r="AH84" s="180">
        <v>13813699</v>
      </c>
      <c r="AI84" s="180">
        <v>45919</v>
      </c>
      <c r="AJ84" s="180">
        <v>5981333</v>
      </c>
      <c r="AK84" s="180">
        <v>102394</v>
      </c>
      <c r="AL84" s="180">
        <v>952505</v>
      </c>
      <c r="AM84" s="180">
        <v>8264855</v>
      </c>
      <c r="AN84" s="180">
        <v>0</v>
      </c>
      <c r="AO84" s="180">
        <v>66293296</v>
      </c>
      <c r="AP84" s="180">
        <v>1607334</v>
      </c>
      <c r="AQ84" s="180">
        <v>377607</v>
      </c>
      <c r="AR84" s="180">
        <v>157387</v>
      </c>
      <c r="AS84" s="180">
        <v>56971003</v>
      </c>
      <c r="AT84" s="180">
        <v>333341</v>
      </c>
      <c r="AU84" s="180">
        <v>3672815</v>
      </c>
      <c r="AV84" s="180">
        <v>4533341</v>
      </c>
      <c r="AW84" s="180">
        <v>360594</v>
      </c>
      <c r="AX84" s="180">
        <v>551921</v>
      </c>
      <c r="AY84" s="180">
        <v>225159</v>
      </c>
      <c r="AZ84" s="180">
        <v>10969322</v>
      </c>
      <c r="BA84" s="180">
        <v>2746327</v>
      </c>
      <c r="BB84" s="180">
        <v>197781</v>
      </c>
      <c r="BC84" s="180">
        <v>232979</v>
      </c>
      <c r="BD84" s="180">
        <v>5637116</v>
      </c>
      <c r="BE84" s="180">
        <v>1041532</v>
      </c>
      <c r="BF84" s="180">
        <v>36645264</v>
      </c>
      <c r="BG84" s="180"/>
      <c r="BH84" s="180">
        <v>362899</v>
      </c>
      <c r="BI84" s="180">
        <v>91794</v>
      </c>
      <c r="BJ84" s="180">
        <v>61033470</v>
      </c>
      <c r="BK84" s="180">
        <v>1316881</v>
      </c>
      <c r="BL84" s="180">
        <v>27382882</v>
      </c>
      <c r="BM84" s="180">
        <v>9548378</v>
      </c>
      <c r="BN84" s="180">
        <v>9642438</v>
      </c>
      <c r="BO84" s="180">
        <v>1315802</v>
      </c>
      <c r="BP84" s="180"/>
      <c r="BQ84" s="180">
        <v>4420617</v>
      </c>
      <c r="BR84" s="180"/>
      <c r="BS84" s="180">
        <v>3850952</v>
      </c>
      <c r="BT84" s="180">
        <v>1217219</v>
      </c>
      <c r="BU84" s="180"/>
      <c r="BV84" s="180">
        <v>3193688</v>
      </c>
      <c r="BW84" s="180"/>
      <c r="BX84" s="180"/>
      <c r="BY84" s="180"/>
      <c r="BZ84" s="180"/>
      <c r="CA84" s="180"/>
      <c r="CB84" s="180"/>
      <c r="CC84" s="180"/>
      <c r="CD84" s="180"/>
      <c r="CE84" s="180"/>
      <c r="CF84" s="180"/>
      <c r="CG84" s="180"/>
      <c r="CH84" s="180"/>
      <c r="CI84" s="180"/>
      <c r="CJ84" s="180"/>
      <c r="CK84" s="180"/>
      <c r="CL84" s="180"/>
      <c r="CM84" s="180"/>
      <c r="CN84" s="180"/>
      <c r="CO84" s="180"/>
      <c r="CP84" s="180"/>
      <c r="CQ84" s="180"/>
      <c r="CR84" s="180"/>
      <c r="CS84" s="180"/>
      <c r="CT84" s="180"/>
      <c r="CU84" s="180"/>
    </row>
    <row r="85" spans="1:99" x14ac:dyDescent="0.3">
      <c r="A85" s="155">
        <v>375</v>
      </c>
      <c r="B85" s="180" t="s">
        <v>213</v>
      </c>
      <c r="C85" s="180"/>
      <c r="D85" s="180">
        <v>6330136</v>
      </c>
      <c r="E85" s="180">
        <v>441659463</v>
      </c>
      <c r="F85" s="180"/>
      <c r="G85" s="180"/>
      <c r="H85" s="180">
        <v>1350291</v>
      </c>
      <c r="I85" s="180">
        <v>0</v>
      </c>
      <c r="J85" s="180"/>
      <c r="K85" s="180">
        <v>0</v>
      </c>
      <c r="L85" s="180">
        <v>90078</v>
      </c>
      <c r="M85" s="180">
        <v>7566430</v>
      </c>
      <c r="N85" s="180">
        <v>0</v>
      </c>
      <c r="O85" s="180">
        <v>549199</v>
      </c>
      <c r="P85" s="180"/>
      <c r="Q85" s="180">
        <v>0</v>
      </c>
      <c r="R85" s="180">
        <v>0</v>
      </c>
      <c r="S85" s="180">
        <v>2218848</v>
      </c>
      <c r="T85" s="180">
        <v>0</v>
      </c>
      <c r="U85" s="180"/>
      <c r="V85" s="180"/>
      <c r="W85" s="180"/>
      <c r="X85" s="180">
        <v>3242290</v>
      </c>
      <c r="Y85" s="180">
        <v>0</v>
      </c>
      <c r="Z85" s="180">
        <v>12465178</v>
      </c>
      <c r="AA85" s="180">
        <v>0</v>
      </c>
      <c r="AB85" s="180">
        <v>19982</v>
      </c>
      <c r="AC85" s="180">
        <v>96465</v>
      </c>
      <c r="AD85" s="180">
        <v>581880</v>
      </c>
      <c r="AE85" s="180">
        <v>-1953262</v>
      </c>
      <c r="AF85" s="180">
        <v>452529</v>
      </c>
      <c r="AG85" s="180">
        <v>46924</v>
      </c>
      <c r="AH85" s="180">
        <v>1363875</v>
      </c>
      <c r="AI85" s="180">
        <v>0</v>
      </c>
      <c r="AJ85" s="180">
        <v>0</v>
      </c>
      <c r="AK85" s="180">
        <v>0</v>
      </c>
      <c r="AL85" s="180">
        <v>989713</v>
      </c>
      <c r="AM85" s="180">
        <v>1081715</v>
      </c>
      <c r="AN85" s="180">
        <v>367490</v>
      </c>
      <c r="AO85" s="180">
        <v>39160404</v>
      </c>
      <c r="AP85" s="180">
        <v>868188</v>
      </c>
      <c r="AQ85" s="180">
        <v>0</v>
      </c>
      <c r="AR85" s="180">
        <v>73906</v>
      </c>
      <c r="AS85" s="180">
        <v>4019836</v>
      </c>
      <c r="AT85" s="180">
        <v>709137</v>
      </c>
      <c r="AU85" s="180">
        <v>5005897</v>
      </c>
      <c r="AV85" s="180">
        <v>715089</v>
      </c>
      <c r="AW85" s="180">
        <v>0</v>
      </c>
      <c r="AX85" s="180">
        <v>0</v>
      </c>
      <c r="AY85" s="180">
        <v>0</v>
      </c>
      <c r="AZ85" s="180">
        <v>5628881</v>
      </c>
      <c r="BA85" s="180">
        <v>309135</v>
      </c>
      <c r="BB85" s="180">
        <v>768127</v>
      </c>
      <c r="BC85" s="180">
        <v>579577</v>
      </c>
      <c r="BD85" s="180">
        <v>7268887</v>
      </c>
      <c r="BE85" s="180">
        <v>376081</v>
      </c>
      <c r="BF85" s="180">
        <v>9170030</v>
      </c>
      <c r="BG85" s="180"/>
      <c r="BH85" s="180">
        <v>0</v>
      </c>
      <c r="BI85" s="180">
        <v>865343</v>
      </c>
      <c r="BJ85" s="180">
        <v>12887080</v>
      </c>
      <c r="BK85" s="180">
        <v>1077266</v>
      </c>
      <c r="BL85" s="180">
        <v>18409486</v>
      </c>
      <c r="BM85" s="180">
        <v>0</v>
      </c>
      <c r="BN85" s="180">
        <v>3112932</v>
      </c>
      <c r="BO85" s="180">
        <v>1327707</v>
      </c>
      <c r="BP85" s="180"/>
      <c r="BQ85" s="180">
        <v>0</v>
      </c>
      <c r="BR85" s="180"/>
      <c r="BS85" s="180">
        <v>365073</v>
      </c>
      <c r="BT85" s="180">
        <v>564385</v>
      </c>
      <c r="BU85" s="180"/>
      <c r="BV85" s="180">
        <v>179721</v>
      </c>
      <c r="BW85" s="180"/>
      <c r="BX85" s="180"/>
      <c r="BY85" s="180"/>
      <c r="BZ85" s="180"/>
      <c r="CA85" s="180"/>
      <c r="CB85" s="180"/>
      <c r="CC85" s="180"/>
      <c r="CD85" s="180"/>
      <c r="CE85" s="180"/>
      <c r="CF85" s="180"/>
      <c r="CG85" s="180"/>
      <c r="CH85" s="180"/>
      <c r="CI85" s="180"/>
      <c r="CJ85" s="180"/>
      <c r="CK85" s="180"/>
      <c r="CL85" s="180"/>
      <c r="CM85" s="180"/>
      <c r="CN85" s="180"/>
      <c r="CO85" s="180"/>
      <c r="CP85" s="180"/>
      <c r="CQ85" s="180"/>
      <c r="CR85" s="180"/>
      <c r="CS85" s="180"/>
      <c r="CT85" s="180"/>
      <c r="CU85" s="180"/>
    </row>
    <row r="86" spans="1:99" x14ac:dyDescent="0.3">
      <c r="A86" s="155">
        <v>376</v>
      </c>
      <c r="B86" s="180" t="s">
        <v>100</v>
      </c>
      <c r="C86" s="180"/>
      <c r="D86" s="180">
        <v>0</v>
      </c>
      <c r="E86" s="180">
        <v>0</v>
      </c>
      <c r="F86" s="180"/>
      <c r="G86" s="180"/>
      <c r="H86" s="180">
        <v>2</v>
      </c>
      <c r="I86" s="180">
        <v>0</v>
      </c>
      <c r="J86" s="180"/>
      <c r="K86" s="180">
        <v>0</v>
      </c>
      <c r="L86" s="180">
        <v>0</v>
      </c>
      <c r="M86" s="180">
        <v>0</v>
      </c>
      <c r="N86" s="180">
        <v>0</v>
      </c>
      <c r="O86" s="180">
        <v>0</v>
      </c>
      <c r="P86" s="180"/>
      <c r="Q86" s="180">
        <v>0</v>
      </c>
      <c r="R86" s="180">
        <v>0</v>
      </c>
      <c r="S86" s="180">
        <v>0</v>
      </c>
      <c r="T86" s="180">
        <v>0</v>
      </c>
      <c r="U86" s="180"/>
      <c r="V86" s="180"/>
      <c r="W86" s="180"/>
      <c r="X86" s="180">
        <v>-682957</v>
      </c>
      <c r="Y86" s="180">
        <v>0</v>
      </c>
      <c r="Z86" s="180">
        <v>0</v>
      </c>
      <c r="AA86" s="180">
        <v>0</v>
      </c>
      <c r="AB86" s="180">
        <v>0</v>
      </c>
      <c r="AC86" s="180">
        <v>3375</v>
      </c>
      <c r="AD86" s="180">
        <v>0</v>
      </c>
      <c r="AE86" s="180">
        <v>0</v>
      </c>
      <c r="AF86" s="180">
        <v>0</v>
      </c>
      <c r="AG86" s="180">
        <v>0</v>
      </c>
      <c r="AH86" s="180">
        <v>0</v>
      </c>
      <c r="AI86" s="180">
        <v>0</v>
      </c>
      <c r="AJ86" s="180">
        <v>2212</v>
      </c>
      <c r="AK86" s="180">
        <v>0</v>
      </c>
      <c r="AL86" s="180">
        <v>0</v>
      </c>
      <c r="AM86" s="180">
        <v>0</v>
      </c>
      <c r="AN86" s="180">
        <v>8295</v>
      </c>
      <c r="AO86" s="180">
        <v>0</v>
      </c>
      <c r="AP86" s="180">
        <v>0</v>
      </c>
      <c r="AQ86" s="180">
        <v>0</v>
      </c>
      <c r="AR86" s="180">
        <v>0</v>
      </c>
      <c r="AS86" s="180">
        <v>0</v>
      </c>
      <c r="AT86" s="180">
        <v>0</v>
      </c>
      <c r="AU86" s="180">
        <v>0</v>
      </c>
      <c r="AV86" s="180">
        <v>0</v>
      </c>
      <c r="AW86" s="180">
        <v>-92</v>
      </c>
      <c r="AX86" s="180">
        <v>0</v>
      </c>
      <c r="AY86" s="180">
        <v>0</v>
      </c>
      <c r="AZ86" s="180">
        <v>0</v>
      </c>
      <c r="BA86" s="180">
        <v>-35366</v>
      </c>
      <c r="BB86" s="180">
        <v>0</v>
      </c>
      <c r="BC86" s="180">
        <v>0</v>
      </c>
      <c r="BD86" s="180">
        <v>0</v>
      </c>
      <c r="BE86" s="180">
        <v>0</v>
      </c>
      <c r="BF86" s="180">
        <v>0</v>
      </c>
      <c r="BG86" s="180"/>
      <c r="BH86" s="180">
        <v>0</v>
      </c>
      <c r="BI86" s="180">
        <v>0</v>
      </c>
      <c r="BJ86" s="180">
        <v>287162</v>
      </c>
      <c r="BK86" s="180">
        <v>0</v>
      </c>
      <c r="BL86" s="180">
        <v>0</v>
      </c>
      <c r="BM86" s="180">
        <v>0</v>
      </c>
      <c r="BN86" s="180">
        <v>0</v>
      </c>
      <c r="BO86" s="180">
        <v>0</v>
      </c>
      <c r="BP86" s="180"/>
      <c r="BQ86" s="180">
        <v>0</v>
      </c>
      <c r="BR86" s="180"/>
      <c r="BS86" s="180">
        <v>0</v>
      </c>
      <c r="BT86" s="180">
        <v>0</v>
      </c>
      <c r="BU86" s="180"/>
      <c r="BV86" s="180">
        <v>0</v>
      </c>
      <c r="BW86" s="180"/>
      <c r="BX86" s="180"/>
      <c r="BY86" s="180"/>
      <c r="BZ86" s="180"/>
      <c r="CA86" s="180"/>
      <c r="CB86" s="180"/>
      <c r="CC86" s="180"/>
      <c r="CD86" s="180"/>
      <c r="CE86" s="180"/>
      <c r="CF86" s="180"/>
      <c r="CG86" s="180"/>
      <c r="CH86" s="180"/>
      <c r="CI86" s="180"/>
      <c r="CJ86" s="180"/>
      <c r="CK86" s="180"/>
      <c r="CL86" s="180"/>
      <c r="CM86" s="180"/>
      <c r="CN86" s="180"/>
      <c r="CO86" s="180"/>
      <c r="CP86" s="180"/>
      <c r="CQ86" s="180"/>
      <c r="CR86" s="180"/>
      <c r="CS86" s="180"/>
      <c r="CT86" s="180"/>
      <c r="CU86" s="180"/>
    </row>
    <row r="87" spans="1:99" x14ac:dyDescent="0.3">
      <c r="A87" s="155">
        <v>377</v>
      </c>
      <c r="B87" s="180" t="s">
        <v>101</v>
      </c>
      <c r="C87" s="180"/>
      <c r="D87" s="180">
        <v>0</v>
      </c>
      <c r="E87" s="180">
        <v>0</v>
      </c>
      <c r="F87" s="180"/>
      <c r="G87" s="180"/>
      <c r="H87" s="180">
        <v>0</v>
      </c>
      <c r="I87" s="180">
        <v>0</v>
      </c>
      <c r="J87" s="180"/>
      <c r="K87" s="180">
        <v>0</v>
      </c>
      <c r="L87" s="180">
        <v>0</v>
      </c>
      <c r="M87" s="180">
        <v>0</v>
      </c>
      <c r="N87" s="180">
        <v>0</v>
      </c>
      <c r="O87" s="180">
        <v>0</v>
      </c>
      <c r="P87" s="180"/>
      <c r="Q87" s="180">
        <v>0</v>
      </c>
      <c r="R87" s="180">
        <v>0</v>
      </c>
      <c r="S87" s="180">
        <v>0</v>
      </c>
      <c r="T87" s="180">
        <v>0</v>
      </c>
      <c r="U87" s="180"/>
      <c r="V87" s="180"/>
      <c r="W87" s="180"/>
      <c r="X87" s="180">
        <v>124806</v>
      </c>
      <c r="Y87" s="180">
        <v>0</v>
      </c>
      <c r="Z87" s="180">
        <v>0</v>
      </c>
      <c r="AA87" s="180">
        <v>0</v>
      </c>
      <c r="AB87" s="180">
        <v>0</v>
      </c>
      <c r="AC87" s="180">
        <v>0</v>
      </c>
      <c r="AD87" s="180">
        <v>0</v>
      </c>
      <c r="AE87" s="180">
        <v>0</v>
      </c>
      <c r="AF87" s="180">
        <v>0</v>
      </c>
      <c r="AG87" s="180">
        <v>0</v>
      </c>
      <c r="AH87" s="180">
        <v>0</v>
      </c>
      <c r="AI87" s="180">
        <v>0</v>
      </c>
      <c r="AJ87" s="180">
        <v>0</v>
      </c>
      <c r="AK87" s="180">
        <v>0</v>
      </c>
      <c r="AL87" s="180">
        <v>0</v>
      </c>
      <c r="AM87" s="180">
        <v>0</v>
      </c>
      <c r="AN87" s="180">
        <v>-378</v>
      </c>
      <c r="AO87" s="180">
        <v>0</v>
      </c>
      <c r="AP87" s="180">
        <v>0</v>
      </c>
      <c r="AQ87" s="180">
        <v>0</v>
      </c>
      <c r="AR87" s="180">
        <v>0</v>
      </c>
      <c r="AS87" s="180">
        <v>0</v>
      </c>
      <c r="AT87" s="180">
        <v>0</v>
      </c>
      <c r="AU87" s="180">
        <v>0</v>
      </c>
      <c r="AV87" s="180">
        <v>0</v>
      </c>
      <c r="AW87" s="180">
        <v>-2</v>
      </c>
      <c r="AX87" s="180">
        <v>0</v>
      </c>
      <c r="AY87" s="180">
        <v>0</v>
      </c>
      <c r="AZ87" s="180">
        <v>0</v>
      </c>
      <c r="BA87" s="180">
        <v>-86588</v>
      </c>
      <c r="BB87" s="180">
        <v>0</v>
      </c>
      <c r="BC87" s="180">
        <v>0</v>
      </c>
      <c r="BD87" s="180">
        <v>0</v>
      </c>
      <c r="BE87" s="180">
        <v>0</v>
      </c>
      <c r="BF87" s="180">
        <v>0</v>
      </c>
      <c r="BG87" s="180"/>
      <c r="BH87" s="180">
        <v>0</v>
      </c>
      <c r="BI87" s="180">
        <v>0</v>
      </c>
      <c r="BJ87" s="180">
        <v>0</v>
      </c>
      <c r="BK87" s="180">
        <v>0</v>
      </c>
      <c r="BL87" s="180">
        <v>-2284991</v>
      </c>
      <c r="BM87" s="180">
        <v>0</v>
      </c>
      <c r="BN87" s="180">
        <v>0</v>
      </c>
      <c r="BO87" s="180">
        <v>0</v>
      </c>
      <c r="BP87" s="180"/>
      <c r="BQ87" s="180">
        <v>0</v>
      </c>
      <c r="BR87" s="180"/>
      <c r="BS87" s="180">
        <v>0</v>
      </c>
      <c r="BT87" s="180">
        <v>0</v>
      </c>
      <c r="BU87" s="180"/>
      <c r="BV87" s="180">
        <v>0</v>
      </c>
      <c r="BW87" s="180"/>
      <c r="BX87" s="180"/>
      <c r="BY87" s="180"/>
      <c r="BZ87" s="180"/>
      <c r="CA87" s="180"/>
      <c r="CB87" s="180"/>
      <c r="CC87" s="180"/>
      <c r="CD87" s="180"/>
      <c r="CE87" s="180"/>
      <c r="CF87" s="180"/>
      <c r="CG87" s="180"/>
      <c r="CH87" s="180"/>
      <c r="CI87" s="180"/>
      <c r="CJ87" s="180"/>
      <c r="CK87" s="180"/>
      <c r="CL87" s="180"/>
      <c r="CM87" s="180"/>
      <c r="CN87" s="180"/>
      <c r="CO87" s="180"/>
      <c r="CP87" s="180"/>
      <c r="CQ87" s="180"/>
      <c r="CR87" s="180"/>
      <c r="CS87" s="180"/>
      <c r="CT87" s="180"/>
      <c r="CU87" s="180"/>
    </row>
    <row r="88" spans="1:99" x14ac:dyDescent="0.3">
      <c r="A88" s="155">
        <v>378</v>
      </c>
      <c r="B88" s="180" t="s">
        <v>102</v>
      </c>
      <c r="C88" s="180"/>
      <c r="D88" s="180">
        <v>0</v>
      </c>
      <c r="E88" s="180">
        <v>0</v>
      </c>
      <c r="F88" s="180"/>
      <c r="G88" s="180"/>
      <c r="H88" s="180">
        <v>0</v>
      </c>
      <c r="I88" s="180">
        <v>0</v>
      </c>
      <c r="J88" s="180"/>
      <c r="K88" s="180">
        <v>0</v>
      </c>
      <c r="L88" s="180">
        <v>0</v>
      </c>
      <c r="M88" s="180">
        <v>0</v>
      </c>
      <c r="N88" s="180">
        <v>0</v>
      </c>
      <c r="O88" s="180">
        <v>0</v>
      </c>
      <c r="P88" s="180"/>
      <c r="Q88" s="180">
        <v>0</v>
      </c>
      <c r="R88" s="180">
        <v>0</v>
      </c>
      <c r="S88" s="180">
        <v>0</v>
      </c>
      <c r="T88" s="180">
        <v>0</v>
      </c>
      <c r="U88" s="180"/>
      <c r="V88" s="180"/>
      <c r="W88" s="180"/>
      <c r="X88" s="180">
        <v>0</v>
      </c>
      <c r="Y88" s="180">
        <v>0</v>
      </c>
      <c r="Z88" s="180">
        <v>0</v>
      </c>
      <c r="AA88" s="180">
        <v>0</v>
      </c>
      <c r="AB88" s="180">
        <v>0</v>
      </c>
      <c r="AC88" s="180">
        <v>0</v>
      </c>
      <c r="AD88" s="180">
        <v>0</v>
      </c>
      <c r="AE88" s="180">
        <v>0</v>
      </c>
      <c r="AF88" s="180">
        <v>0</v>
      </c>
      <c r="AG88" s="180">
        <v>0</v>
      </c>
      <c r="AH88" s="180">
        <v>0</v>
      </c>
      <c r="AI88" s="180">
        <v>0</v>
      </c>
      <c r="AJ88" s="180">
        <v>0</v>
      </c>
      <c r="AK88" s="180">
        <v>0</v>
      </c>
      <c r="AL88" s="180">
        <v>0</v>
      </c>
      <c r="AM88" s="180">
        <v>0</v>
      </c>
      <c r="AN88" s="180">
        <v>0</v>
      </c>
      <c r="AO88" s="180">
        <v>0</v>
      </c>
      <c r="AP88" s="180">
        <v>0</v>
      </c>
      <c r="AQ88" s="180">
        <v>0</v>
      </c>
      <c r="AR88" s="180">
        <v>0</v>
      </c>
      <c r="AS88" s="180">
        <v>0</v>
      </c>
      <c r="AT88" s="180">
        <v>0</v>
      </c>
      <c r="AU88" s="180">
        <v>0</v>
      </c>
      <c r="AV88" s="180">
        <v>0</v>
      </c>
      <c r="AW88" s="180">
        <v>0</v>
      </c>
      <c r="AX88" s="180">
        <v>0</v>
      </c>
      <c r="AY88" s="180">
        <v>0</v>
      </c>
      <c r="AZ88" s="180">
        <v>0</v>
      </c>
      <c r="BA88" s="180">
        <v>0</v>
      </c>
      <c r="BB88" s="180">
        <v>0</v>
      </c>
      <c r="BC88" s="180">
        <v>0</v>
      </c>
      <c r="BD88" s="180">
        <v>0</v>
      </c>
      <c r="BE88" s="180">
        <v>0</v>
      </c>
      <c r="BF88" s="180">
        <v>0</v>
      </c>
      <c r="BG88" s="180"/>
      <c r="BH88" s="180">
        <v>0</v>
      </c>
      <c r="BI88" s="180">
        <v>0</v>
      </c>
      <c r="BJ88" s="180">
        <v>0</v>
      </c>
      <c r="BK88" s="180">
        <v>0</v>
      </c>
      <c r="BL88" s="180">
        <v>0</v>
      </c>
      <c r="BM88" s="180">
        <v>0</v>
      </c>
      <c r="BN88" s="180">
        <v>0</v>
      </c>
      <c r="BO88" s="180">
        <v>0</v>
      </c>
      <c r="BP88" s="180"/>
      <c r="BQ88" s="180">
        <v>0</v>
      </c>
      <c r="BR88" s="180"/>
      <c r="BS88" s="180">
        <v>0</v>
      </c>
      <c r="BT88" s="180">
        <v>0</v>
      </c>
      <c r="BU88" s="180"/>
      <c r="BV88" s="180">
        <v>0</v>
      </c>
      <c r="BW88" s="180"/>
      <c r="BX88" s="180"/>
      <c r="BY88" s="180"/>
      <c r="BZ88" s="180"/>
      <c r="CA88" s="180"/>
      <c r="CB88" s="180"/>
      <c r="CC88" s="180"/>
      <c r="CD88" s="180"/>
      <c r="CE88" s="180"/>
      <c r="CF88" s="180"/>
      <c r="CG88" s="180"/>
      <c r="CH88" s="180"/>
      <c r="CI88" s="180"/>
      <c r="CJ88" s="180"/>
      <c r="CK88" s="180"/>
      <c r="CL88" s="180"/>
      <c r="CM88" s="180"/>
      <c r="CN88" s="180"/>
      <c r="CO88" s="180"/>
      <c r="CP88" s="180"/>
      <c r="CQ88" s="180"/>
      <c r="CR88" s="180"/>
      <c r="CS88" s="180"/>
      <c r="CT88" s="180"/>
      <c r="CU88" s="180"/>
    </row>
    <row r="89" spans="1:99" x14ac:dyDescent="0.3">
      <c r="A89" s="155">
        <v>379</v>
      </c>
      <c r="B89" s="180" t="s">
        <v>110</v>
      </c>
      <c r="C89" s="180"/>
      <c r="D89" s="180">
        <v>10396524</v>
      </c>
      <c r="E89" s="180">
        <v>468222882</v>
      </c>
      <c r="F89" s="180"/>
      <c r="G89" s="180"/>
      <c r="H89" s="180">
        <v>2424765</v>
      </c>
      <c r="I89" s="180">
        <v>76625</v>
      </c>
      <c r="J89" s="180"/>
      <c r="K89" s="180">
        <v>8272224</v>
      </c>
      <c r="L89" s="180">
        <v>3002092</v>
      </c>
      <c r="M89" s="180">
        <v>17523640</v>
      </c>
      <c r="N89" s="180">
        <v>916154</v>
      </c>
      <c r="O89" s="180">
        <v>1336515</v>
      </c>
      <c r="P89" s="180"/>
      <c r="Q89" s="180">
        <v>1478306</v>
      </c>
      <c r="R89" s="180">
        <v>1712177</v>
      </c>
      <c r="S89" s="180">
        <v>1406168</v>
      </c>
      <c r="T89" s="180">
        <v>8409854</v>
      </c>
      <c r="U89" s="180"/>
      <c r="V89" s="180"/>
      <c r="W89" s="180"/>
      <c r="X89" s="180">
        <v>6712431</v>
      </c>
      <c r="Y89" s="180">
        <v>2185840</v>
      </c>
      <c r="Z89" s="180">
        <v>75916666</v>
      </c>
      <c r="AA89" s="180">
        <v>10344759</v>
      </c>
      <c r="AB89" s="180">
        <v>404796</v>
      </c>
      <c r="AC89" s="180">
        <v>681684</v>
      </c>
      <c r="AD89" s="180">
        <v>1222418</v>
      </c>
      <c r="AE89" s="180">
        <v>2747006</v>
      </c>
      <c r="AF89" s="180">
        <v>582892</v>
      </c>
      <c r="AG89" s="180">
        <v>685000</v>
      </c>
      <c r="AH89" s="180">
        <v>3725945</v>
      </c>
      <c r="AI89" s="180">
        <v>349488</v>
      </c>
      <c r="AJ89" s="180">
        <v>4676093</v>
      </c>
      <c r="AK89" s="180">
        <v>669954</v>
      </c>
      <c r="AL89" s="180">
        <v>1159494</v>
      </c>
      <c r="AM89" s="180">
        <v>3264943</v>
      </c>
      <c r="AN89" s="180">
        <v>831750</v>
      </c>
      <c r="AO89" s="180">
        <v>31864132</v>
      </c>
      <c r="AP89" s="180">
        <v>1674426</v>
      </c>
      <c r="AQ89" s="180">
        <v>802475</v>
      </c>
      <c r="AR89" s="180">
        <v>1041455</v>
      </c>
      <c r="AS89" s="180">
        <v>30992148</v>
      </c>
      <c r="AT89" s="180">
        <v>509350</v>
      </c>
      <c r="AU89" s="180">
        <v>7246624</v>
      </c>
      <c r="AV89" s="180">
        <v>1732477</v>
      </c>
      <c r="AW89" s="180">
        <v>603385</v>
      </c>
      <c r="AX89" s="180">
        <v>353062</v>
      </c>
      <c r="AY89" s="180">
        <v>666946</v>
      </c>
      <c r="AZ89" s="180">
        <v>6566434</v>
      </c>
      <c r="BA89" s="180">
        <v>1255136</v>
      </c>
      <c r="BB89" s="180">
        <v>229079</v>
      </c>
      <c r="BC89" s="180">
        <v>1500029</v>
      </c>
      <c r="BD89" s="180">
        <v>8771781</v>
      </c>
      <c r="BE89" s="180">
        <v>1624576</v>
      </c>
      <c r="BF89" s="180">
        <v>17941744</v>
      </c>
      <c r="BG89" s="180"/>
      <c r="BH89" s="180">
        <v>513750</v>
      </c>
      <c r="BI89" s="180">
        <v>552027</v>
      </c>
      <c r="BJ89" s="180">
        <v>17370279</v>
      </c>
      <c r="BK89" s="180">
        <v>1895210</v>
      </c>
      <c r="BL89" s="180">
        <v>19766744</v>
      </c>
      <c r="BM89" s="180">
        <v>11816537</v>
      </c>
      <c r="BN89" s="180">
        <v>7690216</v>
      </c>
      <c r="BO89" s="180">
        <v>3314622</v>
      </c>
      <c r="BP89" s="180"/>
      <c r="BQ89" s="180">
        <v>3242594</v>
      </c>
      <c r="BR89" s="180"/>
      <c r="BS89" s="180">
        <v>3158741</v>
      </c>
      <c r="BT89" s="180">
        <v>1891867</v>
      </c>
      <c r="BU89" s="180"/>
      <c r="BV89" s="180">
        <v>4980814</v>
      </c>
      <c r="BW89" s="180"/>
      <c r="BX89" s="180"/>
      <c r="BY89" s="180"/>
      <c r="BZ89" s="180"/>
      <c r="CA89" s="180"/>
      <c r="CB89" s="180"/>
      <c r="CC89" s="180"/>
      <c r="CD89" s="180"/>
      <c r="CE89" s="180"/>
      <c r="CF89" s="180"/>
      <c r="CG89" s="180"/>
      <c r="CH89" s="180"/>
      <c r="CI89" s="180"/>
      <c r="CJ89" s="180"/>
      <c r="CK89" s="180"/>
      <c r="CL89" s="180"/>
      <c r="CM89" s="180"/>
      <c r="CN89" s="180"/>
      <c r="CO89" s="180"/>
      <c r="CP89" s="180"/>
      <c r="CQ89" s="180"/>
      <c r="CR89" s="180"/>
      <c r="CS89" s="180"/>
      <c r="CT89" s="180"/>
      <c r="CU89" s="180"/>
    </row>
    <row r="90" spans="1:99" x14ac:dyDescent="0.3">
      <c r="A90" s="155">
        <v>380</v>
      </c>
      <c r="B90" s="180" t="s">
        <v>113</v>
      </c>
      <c r="C90" s="180"/>
      <c r="D90" s="180">
        <v>133785</v>
      </c>
      <c r="E90" s="180">
        <v>17341652</v>
      </c>
      <c r="F90" s="180"/>
      <c r="G90" s="180"/>
      <c r="H90" s="180">
        <v>48109</v>
      </c>
      <c r="I90" s="180">
        <v>652</v>
      </c>
      <c r="J90" s="180"/>
      <c r="K90" s="180">
        <v>0</v>
      </c>
      <c r="L90" s="180">
        <v>781043</v>
      </c>
      <c r="M90" s="180">
        <v>1534313</v>
      </c>
      <c r="N90" s="180">
        <v>3361</v>
      </c>
      <c r="O90" s="180">
        <v>12026</v>
      </c>
      <c r="P90" s="180"/>
      <c r="Q90" s="180">
        <v>488444</v>
      </c>
      <c r="R90" s="180">
        <v>46413</v>
      </c>
      <c r="S90" s="180">
        <v>7208</v>
      </c>
      <c r="T90" s="180">
        <v>275931</v>
      </c>
      <c r="U90" s="180"/>
      <c r="V90" s="180"/>
      <c r="W90" s="180"/>
      <c r="X90" s="180">
        <v>62208</v>
      </c>
      <c r="Y90" s="180">
        <v>27975</v>
      </c>
      <c r="Z90" s="180">
        <v>12988277</v>
      </c>
      <c r="AA90" s="180">
        <v>26134</v>
      </c>
      <c r="AB90" s="180">
        <v>33242</v>
      </c>
      <c r="AC90" s="180">
        <v>79758</v>
      </c>
      <c r="AD90" s="180">
        <v>0</v>
      </c>
      <c r="AE90" s="180">
        <v>55371</v>
      </c>
      <c r="AF90" s="180">
        <v>1199</v>
      </c>
      <c r="AG90" s="180">
        <v>126135</v>
      </c>
      <c r="AH90" s="180">
        <v>494515</v>
      </c>
      <c r="AI90" s="180">
        <v>3634</v>
      </c>
      <c r="AJ90" s="180">
        <v>12567</v>
      </c>
      <c r="AK90" s="180">
        <v>3774</v>
      </c>
      <c r="AL90" s="180">
        <v>2642</v>
      </c>
      <c r="AM90" s="180">
        <v>43179</v>
      </c>
      <c r="AN90" s="180">
        <v>562</v>
      </c>
      <c r="AO90" s="180">
        <v>1754274</v>
      </c>
      <c r="AP90" s="180">
        <v>14725</v>
      </c>
      <c r="AQ90" s="180">
        <v>2263</v>
      </c>
      <c r="AR90" s="180">
        <v>3922</v>
      </c>
      <c r="AS90" s="180">
        <v>492693</v>
      </c>
      <c r="AT90" s="180">
        <v>19459</v>
      </c>
      <c r="AU90" s="180">
        <v>47007</v>
      </c>
      <c r="AV90" s="180">
        <v>119961</v>
      </c>
      <c r="AW90" s="180">
        <v>81683</v>
      </c>
      <c r="AX90" s="180">
        <v>146633</v>
      </c>
      <c r="AY90" s="180">
        <v>17882</v>
      </c>
      <c r="AZ90" s="180">
        <v>172043</v>
      </c>
      <c r="BA90" s="180">
        <v>9893</v>
      </c>
      <c r="BB90" s="180">
        <v>1997</v>
      </c>
      <c r="BC90" s="180">
        <v>7604</v>
      </c>
      <c r="BD90" s="180">
        <v>46604</v>
      </c>
      <c r="BE90" s="180">
        <v>73332</v>
      </c>
      <c r="BF90" s="180">
        <v>443182</v>
      </c>
      <c r="BG90" s="180"/>
      <c r="BH90" s="180">
        <v>160486</v>
      </c>
      <c r="BI90" s="180">
        <v>822</v>
      </c>
      <c r="BJ90" s="180">
        <v>711171</v>
      </c>
      <c r="BK90" s="180">
        <v>32397</v>
      </c>
      <c r="BL90" s="180">
        <v>3053351</v>
      </c>
      <c r="BM90" s="180">
        <v>9406</v>
      </c>
      <c r="BN90" s="180">
        <v>28959</v>
      </c>
      <c r="BO90" s="180">
        <v>2130</v>
      </c>
      <c r="BP90" s="180"/>
      <c r="BQ90" s="180">
        <v>115188</v>
      </c>
      <c r="BR90" s="180"/>
      <c r="BS90" s="180">
        <v>118808</v>
      </c>
      <c r="BT90" s="180">
        <v>49312</v>
      </c>
      <c r="BU90" s="180"/>
      <c r="BV90" s="180">
        <v>145799</v>
      </c>
      <c r="BW90" s="180"/>
      <c r="BX90" s="180"/>
      <c r="BY90" s="180"/>
      <c r="BZ90" s="180"/>
      <c r="CA90" s="180"/>
      <c r="CB90" s="180"/>
      <c r="CC90" s="180"/>
      <c r="CD90" s="180"/>
      <c r="CE90" s="180"/>
      <c r="CF90" s="180"/>
      <c r="CG90" s="180"/>
      <c r="CH90" s="180"/>
      <c r="CI90" s="180"/>
      <c r="CJ90" s="180"/>
      <c r="CK90" s="180"/>
      <c r="CL90" s="180"/>
      <c r="CM90" s="180"/>
      <c r="CN90" s="180"/>
      <c r="CO90" s="180"/>
      <c r="CP90" s="180"/>
      <c r="CQ90" s="180"/>
      <c r="CR90" s="180"/>
      <c r="CS90" s="180"/>
      <c r="CT90" s="180"/>
      <c r="CU90" s="180"/>
    </row>
    <row r="91" spans="1:99" x14ac:dyDescent="0.3">
      <c r="A91" s="155">
        <v>381</v>
      </c>
      <c r="B91" s="180" t="s">
        <v>105</v>
      </c>
      <c r="C91" s="180"/>
      <c r="D91" s="180">
        <v>22416870</v>
      </c>
      <c r="E91" s="180">
        <v>2500054641</v>
      </c>
      <c r="F91" s="180"/>
      <c r="G91" s="180"/>
      <c r="H91" s="180">
        <v>6051737</v>
      </c>
      <c r="I91" s="180">
        <v>0</v>
      </c>
      <c r="J91" s="180"/>
      <c r="K91" s="180">
        <v>0</v>
      </c>
      <c r="L91" s="180">
        <v>19842101</v>
      </c>
      <c r="M91" s="180">
        <v>66274345</v>
      </c>
      <c r="N91" s="180">
        <v>133712</v>
      </c>
      <c r="O91" s="180">
        <v>5472455</v>
      </c>
      <c r="P91" s="180"/>
      <c r="Q91" s="180">
        <v>0</v>
      </c>
      <c r="R91" s="180">
        <v>0</v>
      </c>
      <c r="S91" s="180">
        <v>3898649</v>
      </c>
      <c r="T91" s="180">
        <v>0</v>
      </c>
      <c r="U91" s="180"/>
      <c r="V91" s="180"/>
      <c r="W91" s="180"/>
      <c r="X91" s="180">
        <v>18056751</v>
      </c>
      <c r="Y91" s="180">
        <v>0</v>
      </c>
      <c r="Z91" s="180">
        <v>103517666</v>
      </c>
      <c r="AA91" s="180">
        <v>0</v>
      </c>
      <c r="AB91" s="180">
        <v>1587319</v>
      </c>
      <c r="AC91" s="180">
        <v>6535018</v>
      </c>
      <c r="AD91" s="180">
        <v>8638129</v>
      </c>
      <c r="AE91" s="180">
        <v>4469410</v>
      </c>
      <c r="AF91" s="180">
        <v>5207710</v>
      </c>
      <c r="AG91" s="180">
        <v>4007829</v>
      </c>
      <c r="AH91" s="180">
        <v>46012422</v>
      </c>
      <c r="AI91" s="180">
        <v>0</v>
      </c>
      <c r="AJ91" s="180">
        <v>0</v>
      </c>
      <c r="AK91" s="180">
        <v>0</v>
      </c>
      <c r="AL91" s="180">
        <v>4267353</v>
      </c>
      <c r="AM91" s="180">
        <v>9573466</v>
      </c>
      <c r="AN91" s="180">
        <v>1645508</v>
      </c>
      <c r="AO91" s="180">
        <v>188416097</v>
      </c>
      <c r="AP91" s="180">
        <v>5818370</v>
      </c>
      <c r="AQ91" s="180">
        <v>0</v>
      </c>
      <c r="AR91" s="180">
        <v>1096712</v>
      </c>
      <c r="AS91" s="180">
        <v>205404237</v>
      </c>
      <c r="AT91" s="180">
        <v>6487168</v>
      </c>
      <c r="AU91" s="180">
        <v>10736752</v>
      </c>
      <c r="AV91" s="180">
        <v>7137721</v>
      </c>
      <c r="AW91" s="180">
        <v>7559426</v>
      </c>
      <c r="AX91" s="180">
        <v>0</v>
      </c>
      <c r="AY91" s="180">
        <v>15684</v>
      </c>
      <c r="AZ91" s="180">
        <v>16919526</v>
      </c>
      <c r="BA91" s="180">
        <v>2471332</v>
      </c>
      <c r="BB91" s="180">
        <v>3230940</v>
      </c>
      <c r="BC91" s="180">
        <v>1271393</v>
      </c>
      <c r="BD91" s="180">
        <v>19105175</v>
      </c>
      <c r="BE91" s="180">
        <v>9532868</v>
      </c>
      <c r="BF91" s="180">
        <v>144941023</v>
      </c>
      <c r="BG91" s="180"/>
      <c r="BH91" s="180">
        <v>0</v>
      </c>
      <c r="BI91" s="180">
        <v>2414831</v>
      </c>
      <c r="BJ91" s="180">
        <v>42573641</v>
      </c>
      <c r="BK91" s="180">
        <v>7240111</v>
      </c>
      <c r="BL91" s="180">
        <v>61924194</v>
      </c>
      <c r="BM91" s="180">
        <v>0</v>
      </c>
      <c r="BN91" s="180">
        <v>25395656</v>
      </c>
      <c r="BO91" s="180">
        <v>17856566</v>
      </c>
      <c r="BP91" s="180"/>
      <c r="BQ91" s="180">
        <v>0</v>
      </c>
      <c r="BR91" s="180"/>
      <c r="BS91" s="180">
        <v>16512558</v>
      </c>
      <c r="BT91" s="180">
        <v>3900781</v>
      </c>
      <c r="BU91" s="180"/>
      <c r="BV91" s="180">
        <v>15101579</v>
      </c>
      <c r="BW91" s="180"/>
      <c r="BX91" s="180"/>
      <c r="BY91" s="180"/>
      <c r="BZ91" s="180"/>
      <c r="CA91" s="180"/>
      <c r="CB91" s="180"/>
      <c r="CC91" s="180"/>
      <c r="CD91" s="180"/>
      <c r="CE91" s="180"/>
      <c r="CF91" s="180"/>
      <c r="CG91" s="180"/>
      <c r="CH91" s="180"/>
      <c r="CI91" s="180"/>
      <c r="CJ91" s="180"/>
      <c r="CK91" s="180"/>
      <c r="CL91" s="180"/>
      <c r="CM91" s="180"/>
      <c r="CN91" s="180"/>
      <c r="CO91" s="180"/>
      <c r="CP91" s="180"/>
      <c r="CQ91" s="180"/>
      <c r="CR91" s="180"/>
      <c r="CS91" s="180"/>
      <c r="CT91" s="180"/>
      <c r="CU91" s="180"/>
    </row>
    <row r="92" spans="1:99" x14ac:dyDescent="0.3">
      <c r="A92" s="155">
        <v>382</v>
      </c>
      <c r="B92" s="180" t="s">
        <v>106</v>
      </c>
      <c r="C92" s="180"/>
      <c r="D92" s="180">
        <v>0</v>
      </c>
      <c r="E92" s="180">
        <v>0</v>
      </c>
      <c r="F92" s="180"/>
      <c r="G92" s="180"/>
      <c r="H92" s="180">
        <v>0</v>
      </c>
      <c r="I92" s="180">
        <v>0</v>
      </c>
      <c r="J92" s="180"/>
      <c r="K92" s="180">
        <v>0</v>
      </c>
      <c r="L92" s="180">
        <v>2725103</v>
      </c>
      <c r="M92" s="180">
        <v>0</v>
      </c>
      <c r="N92" s="180">
        <v>0</v>
      </c>
      <c r="O92" s="180">
        <v>0</v>
      </c>
      <c r="P92" s="180"/>
      <c r="Q92" s="180">
        <v>0</v>
      </c>
      <c r="R92" s="180">
        <v>0</v>
      </c>
      <c r="S92" s="180">
        <v>0</v>
      </c>
      <c r="T92" s="180">
        <v>0</v>
      </c>
      <c r="U92" s="180"/>
      <c r="V92" s="180"/>
      <c r="W92" s="180"/>
      <c r="X92" s="180">
        <v>0</v>
      </c>
      <c r="Y92" s="180">
        <v>0</v>
      </c>
      <c r="Z92" s="180">
        <v>110612571</v>
      </c>
      <c r="AA92" s="180">
        <v>0</v>
      </c>
      <c r="AB92" s="180">
        <v>0</v>
      </c>
      <c r="AC92" s="180">
        <v>0</v>
      </c>
      <c r="AD92" s="180">
        <v>0</v>
      </c>
      <c r="AE92" s="180">
        <v>0</v>
      </c>
      <c r="AF92" s="180">
        <v>0</v>
      </c>
      <c r="AG92" s="180">
        <v>0</v>
      </c>
      <c r="AH92" s="180">
        <v>0</v>
      </c>
      <c r="AI92" s="180">
        <v>0</v>
      </c>
      <c r="AJ92" s="180">
        <v>0</v>
      </c>
      <c r="AK92" s="180">
        <v>0</v>
      </c>
      <c r="AL92" s="180">
        <v>0</v>
      </c>
      <c r="AM92" s="180">
        <v>0</v>
      </c>
      <c r="AN92" s="180">
        <v>0</v>
      </c>
      <c r="AO92" s="180">
        <v>0</v>
      </c>
      <c r="AP92" s="180">
        <v>0</v>
      </c>
      <c r="AQ92" s="180">
        <v>0</v>
      </c>
      <c r="AR92" s="180">
        <v>0</v>
      </c>
      <c r="AS92" s="180">
        <v>0</v>
      </c>
      <c r="AT92" s="180">
        <v>0</v>
      </c>
      <c r="AU92" s="180">
        <v>0</v>
      </c>
      <c r="AV92" s="180">
        <v>2789526</v>
      </c>
      <c r="AW92" s="180">
        <v>0</v>
      </c>
      <c r="AX92" s="180">
        <v>0</v>
      </c>
      <c r="AY92" s="180">
        <v>0</v>
      </c>
      <c r="AZ92" s="180">
        <v>6452916</v>
      </c>
      <c r="BA92" s="180">
        <v>0</v>
      </c>
      <c r="BB92" s="180">
        <v>0</v>
      </c>
      <c r="BC92" s="180">
        <v>0</v>
      </c>
      <c r="BD92" s="180">
        <v>0</v>
      </c>
      <c r="BE92" s="180">
        <v>3551487</v>
      </c>
      <c r="BF92" s="180">
        <v>40224335</v>
      </c>
      <c r="BG92" s="180"/>
      <c r="BH92" s="180">
        <v>0</v>
      </c>
      <c r="BI92" s="180">
        <v>0</v>
      </c>
      <c r="BJ92" s="180">
        <v>25837888</v>
      </c>
      <c r="BK92" s="180">
        <v>0</v>
      </c>
      <c r="BL92" s="180">
        <v>0</v>
      </c>
      <c r="BM92" s="180">
        <v>0</v>
      </c>
      <c r="BN92" s="180">
        <v>19868061</v>
      </c>
      <c r="BO92" s="180">
        <v>0</v>
      </c>
      <c r="BP92" s="180"/>
      <c r="BQ92" s="180">
        <v>0</v>
      </c>
      <c r="BR92" s="180"/>
      <c r="BS92" s="180">
        <v>0</v>
      </c>
      <c r="BT92" s="180">
        <v>0</v>
      </c>
      <c r="BU92" s="180"/>
      <c r="BV92" s="180">
        <v>0</v>
      </c>
      <c r="BW92" s="180"/>
      <c r="BX92" s="180"/>
      <c r="BY92" s="180"/>
      <c r="BZ92" s="180"/>
      <c r="CA92" s="180"/>
      <c r="CB92" s="180"/>
      <c r="CC92" s="180"/>
      <c r="CD92" s="180"/>
      <c r="CE92" s="180"/>
      <c r="CF92" s="180"/>
      <c r="CG92" s="180"/>
      <c r="CH92" s="180"/>
      <c r="CI92" s="180"/>
      <c r="CJ92" s="180"/>
      <c r="CK92" s="180"/>
      <c r="CL92" s="180"/>
      <c r="CM92" s="180"/>
      <c r="CN92" s="180"/>
      <c r="CO92" s="180"/>
      <c r="CP92" s="180"/>
      <c r="CQ92" s="180"/>
      <c r="CR92" s="180"/>
      <c r="CS92" s="180"/>
      <c r="CT92" s="180"/>
      <c r="CU92" s="180"/>
    </row>
    <row r="93" spans="1:99" x14ac:dyDescent="0.3">
      <c r="A93" s="155">
        <v>383</v>
      </c>
      <c r="B93" s="180" t="s">
        <v>212</v>
      </c>
      <c r="C93" s="180"/>
      <c r="D93" s="180">
        <v>0</v>
      </c>
      <c r="E93" s="180">
        <v>0</v>
      </c>
      <c r="F93" s="180"/>
      <c r="G93" s="180"/>
      <c r="H93" s="180">
        <v>0</v>
      </c>
      <c r="I93" s="180">
        <v>0</v>
      </c>
      <c r="J93" s="180"/>
      <c r="K93" s="180">
        <v>0</v>
      </c>
      <c r="L93" s="180">
        <v>0</v>
      </c>
      <c r="M93" s="180">
        <v>0</v>
      </c>
      <c r="N93" s="180">
        <v>0</v>
      </c>
      <c r="O93" s="180">
        <v>0</v>
      </c>
      <c r="P93" s="180"/>
      <c r="Q93" s="180">
        <v>0</v>
      </c>
      <c r="R93" s="180">
        <v>0</v>
      </c>
      <c r="S93" s="180">
        <v>0</v>
      </c>
      <c r="T93" s="180">
        <v>0</v>
      </c>
      <c r="U93" s="180"/>
      <c r="V93" s="180"/>
      <c r="W93" s="180"/>
      <c r="X93" s="180">
        <v>0</v>
      </c>
      <c r="Y93" s="180">
        <v>0</v>
      </c>
      <c r="Z93" s="180">
        <v>0</v>
      </c>
      <c r="AA93" s="180">
        <v>0</v>
      </c>
      <c r="AB93" s="180">
        <v>0</v>
      </c>
      <c r="AC93" s="180">
        <v>0</v>
      </c>
      <c r="AD93" s="180">
        <v>0</v>
      </c>
      <c r="AE93" s="180">
        <v>0</v>
      </c>
      <c r="AF93" s="180">
        <v>0</v>
      </c>
      <c r="AG93" s="180">
        <v>0</v>
      </c>
      <c r="AH93" s="180">
        <v>0</v>
      </c>
      <c r="AI93" s="180">
        <v>0</v>
      </c>
      <c r="AJ93" s="180">
        <v>0</v>
      </c>
      <c r="AK93" s="180">
        <v>0</v>
      </c>
      <c r="AL93" s="180">
        <v>0</v>
      </c>
      <c r="AM93" s="180">
        <v>0</v>
      </c>
      <c r="AN93" s="180">
        <v>2511</v>
      </c>
      <c r="AO93" s="180">
        <v>0</v>
      </c>
      <c r="AP93" s="180">
        <v>0</v>
      </c>
      <c r="AQ93" s="180">
        <v>0</v>
      </c>
      <c r="AR93" s="180">
        <v>17080</v>
      </c>
      <c r="AS93" s="180">
        <v>0</v>
      </c>
      <c r="AT93" s="180">
        <v>0</v>
      </c>
      <c r="AU93" s="180">
        <v>0</v>
      </c>
      <c r="AV93" s="180">
        <v>0</v>
      </c>
      <c r="AW93" s="180">
        <v>0</v>
      </c>
      <c r="AX93" s="180">
        <v>0</v>
      </c>
      <c r="AY93" s="180">
        <v>0</v>
      </c>
      <c r="AZ93" s="180">
        <v>0</v>
      </c>
      <c r="BA93" s="180">
        <v>0</v>
      </c>
      <c r="BB93" s="180">
        <v>0</v>
      </c>
      <c r="BC93" s="180">
        <v>2492</v>
      </c>
      <c r="BD93" s="180">
        <v>0</v>
      </c>
      <c r="BE93" s="180">
        <v>0</v>
      </c>
      <c r="BF93" s="180">
        <v>0</v>
      </c>
      <c r="BG93" s="180"/>
      <c r="BH93" s="180">
        <v>0</v>
      </c>
      <c r="BI93" s="180">
        <v>0</v>
      </c>
      <c r="BJ93" s="180">
        <v>0</v>
      </c>
      <c r="BK93" s="180">
        <v>0</v>
      </c>
      <c r="BL93" s="180">
        <v>0</v>
      </c>
      <c r="BM93" s="180">
        <v>0</v>
      </c>
      <c r="BN93" s="180">
        <v>0</v>
      </c>
      <c r="BO93" s="180">
        <v>0</v>
      </c>
      <c r="BP93" s="180"/>
      <c r="BQ93" s="180">
        <v>0</v>
      </c>
      <c r="BR93" s="180"/>
      <c r="BS93" s="180">
        <v>0</v>
      </c>
      <c r="BT93" s="180">
        <v>0</v>
      </c>
      <c r="BU93" s="180"/>
      <c r="BV93" s="180">
        <v>0</v>
      </c>
      <c r="BW93" s="180"/>
      <c r="BX93" s="180"/>
      <c r="BY93" s="180"/>
      <c r="BZ93" s="180"/>
      <c r="CA93" s="180"/>
      <c r="CB93" s="180"/>
      <c r="CC93" s="180"/>
      <c r="CD93" s="180"/>
      <c r="CE93" s="180"/>
      <c r="CF93" s="180"/>
      <c r="CG93" s="180"/>
      <c r="CH93" s="180"/>
      <c r="CI93" s="180"/>
      <c r="CJ93" s="180"/>
      <c r="CK93" s="180"/>
      <c r="CL93" s="180"/>
      <c r="CM93" s="180"/>
      <c r="CN93" s="180"/>
      <c r="CO93" s="180"/>
      <c r="CP93" s="180"/>
      <c r="CQ93" s="180"/>
      <c r="CR93" s="180"/>
      <c r="CS93" s="180"/>
      <c r="CT93" s="180"/>
      <c r="CU93" s="180"/>
    </row>
    <row r="94" spans="1:99" x14ac:dyDescent="0.3">
      <c r="A94" s="155">
        <v>384</v>
      </c>
      <c r="B94" s="180" t="s">
        <v>116</v>
      </c>
      <c r="C94" s="180"/>
      <c r="D94" s="180">
        <v>0</v>
      </c>
      <c r="E94" s="180">
        <v>0</v>
      </c>
      <c r="F94" s="180"/>
      <c r="G94" s="180"/>
      <c r="H94" s="180">
        <v>0</v>
      </c>
      <c r="I94" s="180">
        <v>0</v>
      </c>
      <c r="J94" s="180"/>
      <c r="K94" s="180">
        <v>0</v>
      </c>
      <c r="L94" s="180">
        <v>0</v>
      </c>
      <c r="M94" s="180">
        <v>0</v>
      </c>
      <c r="N94" s="180">
        <v>0</v>
      </c>
      <c r="O94" s="180">
        <v>0</v>
      </c>
      <c r="P94" s="180"/>
      <c r="Q94" s="180">
        <v>0</v>
      </c>
      <c r="R94" s="180">
        <v>0</v>
      </c>
      <c r="S94" s="180">
        <v>0</v>
      </c>
      <c r="T94" s="180">
        <v>0</v>
      </c>
      <c r="U94" s="180"/>
      <c r="V94" s="180"/>
      <c r="W94" s="180"/>
      <c r="X94" s="180">
        <v>0</v>
      </c>
      <c r="Y94" s="180">
        <v>0</v>
      </c>
      <c r="Z94" s="180">
        <v>0</v>
      </c>
      <c r="AA94" s="180">
        <v>0</v>
      </c>
      <c r="AB94" s="180">
        <v>0</v>
      </c>
      <c r="AC94" s="180">
        <v>0</v>
      </c>
      <c r="AD94" s="180">
        <v>0</v>
      </c>
      <c r="AE94" s="180">
        <v>0</v>
      </c>
      <c r="AF94" s="180">
        <v>0</v>
      </c>
      <c r="AG94" s="180">
        <v>0</v>
      </c>
      <c r="AH94" s="180">
        <v>0</v>
      </c>
      <c r="AI94" s="180">
        <v>0</v>
      </c>
      <c r="AJ94" s="180">
        <v>0</v>
      </c>
      <c r="AK94" s="180">
        <v>0</v>
      </c>
      <c r="AL94" s="180">
        <v>0</v>
      </c>
      <c r="AM94" s="180">
        <v>0</v>
      </c>
      <c r="AN94" s="180">
        <v>0</v>
      </c>
      <c r="AO94" s="180">
        <v>0</v>
      </c>
      <c r="AP94" s="180">
        <v>0</v>
      </c>
      <c r="AQ94" s="180">
        <v>0</v>
      </c>
      <c r="AR94" s="180">
        <v>0</v>
      </c>
      <c r="AS94" s="180">
        <v>0</v>
      </c>
      <c r="AT94" s="180">
        <v>0</v>
      </c>
      <c r="AU94" s="180">
        <v>0</v>
      </c>
      <c r="AV94" s="180">
        <v>0</v>
      </c>
      <c r="AW94" s="180">
        <v>0</v>
      </c>
      <c r="AX94" s="180">
        <v>0</v>
      </c>
      <c r="AY94" s="180">
        <v>0</v>
      </c>
      <c r="AZ94" s="180">
        <v>0</v>
      </c>
      <c r="BA94" s="180">
        <v>0</v>
      </c>
      <c r="BB94" s="180">
        <v>0</v>
      </c>
      <c r="BC94" s="180">
        <v>0</v>
      </c>
      <c r="BD94" s="180">
        <v>0</v>
      </c>
      <c r="BE94" s="180">
        <v>0</v>
      </c>
      <c r="BF94" s="180">
        <v>47080</v>
      </c>
      <c r="BG94" s="180"/>
      <c r="BH94" s="180">
        <v>0</v>
      </c>
      <c r="BI94" s="180">
        <v>0</v>
      </c>
      <c r="BJ94" s="180">
        <v>0</v>
      </c>
      <c r="BK94" s="180">
        <v>0</v>
      </c>
      <c r="BL94" s="180">
        <v>0</v>
      </c>
      <c r="BM94" s="180">
        <v>0</v>
      </c>
      <c r="BN94" s="180">
        <v>0</v>
      </c>
      <c r="BO94" s="180">
        <v>0</v>
      </c>
      <c r="BP94" s="180"/>
      <c r="BQ94" s="180">
        <v>0</v>
      </c>
      <c r="BR94" s="180"/>
      <c r="BS94" s="180">
        <v>0</v>
      </c>
      <c r="BT94" s="180">
        <v>0</v>
      </c>
      <c r="BU94" s="180"/>
      <c r="BV94" s="180">
        <v>0</v>
      </c>
      <c r="BW94" s="180"/>
      <c r="BX94" s="180"/>
      <c r="BY94" s="180"/>
      <c r="BZ94" s="180"/>
      <c r="CA94" s="180"/>
      <c r="CB94" s="180"/>
      <c r="CC94" s="180"/>
      <c r="CD94" s="180"/>
      <c r="CE94" s="180"/>
      <c r="CF94" s="180"/>
      <c r="CG94" s="180"/>
      <c r="CH94" s="180"/>
      <c r="CI94" s="180"/>
      <c r="CJ94" s="180"/>
      <c r="CK94" s="180"/>
      <c r="CL94" s="180"/>
      <c r="CM94" s="180"/>
      <c r="CN94" s="180"/>
      <c r="CO94" s="180"/>
      <c r="CP94" s="180"/>
      <c r="CQ94" s="180"/>
      <c r="CR94" s="180"/>
      <c r="CS94" s="180"/>
      <c r="CT94" s="180"/>
      <c r="CU94" s="180"/>
    </row>
    <row r="95" spans="1:99" x14ac:dyDescent="0.3">
      <c r="A95" s="155">
        <v>385</v>
      </c>
      <c r="B95" s="180" t="s">
        <v>107</v>
      </c>
      <c r="C95" s="180"/>
      <c r="D95" s="180">
        <v>17216847</v>
      </c>
      <c r="E95" s="180">
        <v>2400160543</v>
      </c>
      <c r="F95" s="180"/>
      <c r="G95" s="180"/>
      <c r="H95" s="180">
        <v>8747747</v>
      </c>
      <c r="I95" s="180">
        <v>84078</v>
      </c>
      <c r="J95" s="180"/>
      <c r="K95" s="180">
        <v>12661286</v>
      </c>
      <c r="L95" s="180">
        <v>11164929</v>
      </c>
      <c r="M95" s="180">
        <v>53688654</v>
      </c>
      <c r="N95" s="180">
        <v>981073</v>
      </c>
      <c r="O95" s="180">
        <v>2198347</v>
      </c>
      <c r="P95" s="180"/>
      <c r="Q95" s="180">
        <v>2320704</v>
      </c>
      <c r="R95" s="180">
        <v>3093408</v>
      </c>
      <c r="S95" s="180">
        <v>6649941</v>
      </c>
      <c r="T95" s="180">
        <v>33378338</v>
      </c>
      <c r="U95" s="180"/>
      <c r="V95" s="180"/>
      <c r="W95" s="180"/>
      <c r="X95" s="180">
        <v>39879777</v>
      </c>
      <c r="Y95" s="180">
        <v>5387512</v>
      </c>
      <c r="Z95" s="180">
        <v>256322723</v>
      </c>
      <c r="AA95" s="180">
        <v>68605074</v>
      </c>
      <c r="AB95" s="180">
        <v>530101</v>
      </c>
      <c r="AC95" s="180">
        <v>1495507</v>
      </c>
      <c r="AD95" s="180">
        <v>2798817</v>
      </c>
      <c r="AE95" s="180">
        <v>4056426</v>
      </c>
      <c r="AF95" s="180">
        <v>1364519</v>
      </c>
      <c r="AG95" s="180">
        <v>1771389</v>
      </c>
      <c r="AH95" s="180">
        <v>15683523</v>
      </c>
      <c r="AI95" s="180">
        <v>706159</v>
      </c>
      <c r="AJ95" s="180">
        <v>10015118</v>
      </c>
      <c r="AK95" s="180">
        <v>832280</v>
      </c>
      <c r="AL95" s="180">
        <v>3172779</v>
      </c>
      <c r="AM95" s="180">
        <v>10709847</v>
      </c>
      <c r="AN95" s="180">
        <v>1417945</v>
      </c>
      <c r="AO95" s="180">
        <v>110735006</v>
      </c>
      <c r="AP95" s="180">
        <v>3551140</v>
      </c>
      <c r="AQ95" s="180">
        <v>843820</v>
      </c>
      <c r="AR95" s="180">
        <v>1535934</v>
      </c>
      <c r="AS95" s="180">
        <v>99001289</v>
      </c>
      <c r="AT95" s="180">
        <v>1058758</v>
      </c>
      <c r="AU95" s="180">
        <v>11737900</v>
      </c>
      <c r="AV95" s="180">
        <v>4794228</v>
      </c>
      <c r="AW95" s="180">
        <v>1340290</v>
      </c>
      <c r="AX95" s="180">
        <v>5000533</v>
      </c>
      <c r="AY95" s="180">
        <v>990244</v>
      </c>
      <c r="AZ95" s="180">
        <v>17811113</v>
      </c>
      <c r="BA95" s="180">
        <v>4402663</v>
      </c>
      <c r="BB95" s="180">
        <v>256532</v>
      </c>
      <c r="BC95" s="180">
        <v>1658458</v>
      </c>
      <c r="BD95" s="180">
        <v>28935652</v>
      </c>
      <c r="BE95" s="180">
        <v>2961086</v>
      </c>
      <c r="BF95" s="180">
        <v>110954789</v>
      </c>
      <c r="BG95" s="180"/>
      <c r="BH95" s="180">
        <v>718723</v>
      </c>
      <c r="BI95" s="180">
        <v>874183</v>
      </c>
      <c r="BJ95" s="180">
        <v>57857014</v>
      </c>
      <c r="BK95" s="180">
        <v>3954663</v>
      </c>
      <c r="BL95" s="180">
        <v>72284163</v>
      </c>
      <c r="BM95" s="180">
        <v>31651930</v>
      </c>
      <c r="BN95" s="180">
        <v>26204120</v>
      </c>
      <c r="BO95" s="180">
        <v>5452799</v>
      </c>
      <c r="BP95" s="180"/>
      <c r="BQ95" s="180">
        <v>12411961</v>
      </c>
      <c r="BR95" s="180"/>
      <c r="BS95" s="180">
        <v>8921617</v>
      </c>
      <c r="BT95" s="180">
        <v>3842494</v>
      </c>
      <c r="BU95" s="180"/>
      <c r="BV95" s="180">
        <v>9065190</v>
      </c>
      <c r="BW95" s="180"/>
      <c r="BX95" s="180"/>
      <c r="BY95" s="180"/>
      <c r="BZ95" s="180"/>
      <c r="CA95" s="180"/>
      <c r="CB95" s="180"/>
      <c r="CC95" s="180"/>
      <c r="CD95" s="180"/>
      <c r="CE95" s="180"/>
      <c r="CF95" s="180"/>
      <c r="CG95" s="180"/>
      <c r="CH95" s="180"/>
      <c r="CI95" s="180"/>
      <c r="CJ95" s="180"/>
      <c r="CK95" s="180"/>
      <c r="CL95" s="180"/>
      <c r="CM95" s="180"/>
      <c r="CN95" s="180"/>
      <c r="CO95" s="180"/>
      <c r="CP95" s="180"/>
      <c r="CQ95" s="180"/>
      <c r="CR95" s="180"/>
      <c r="CS95" s="180"/>
      <c r="CT95" s="180"/>
      <c r="CU95" s="180"/>
    </row>
    <row r="96" spans="1:99" x14ac:dyDescent="0.3">
      <c r="A96" s="155">
        <v>386</v>
      </c>
      <c r="B96" s="180" t="s">
        <v>185</v>
      </c>
      <c r="C96" s="180"/>
      <c r="D96" s="180">
        <v>0</v>
      </c>
      <c r="E96" s="180">
        <v>13268982</v>
      </c>
      <c r="F96" s="180"/>
      <c r="G96" s="180"/>
      <c r="H96" s="180">
        <v>0</v>
      </c>
      <c r="I96" s="180">
        <v>0</v>
      </c>
      <c r="J96" s="180"/>
      <c r="K96" s="180">
        <v>0</v>
      </c>
      <c r="L96" s="180">
        <v>0</v>
      </c>
      <c r="M96" s="180">
        <v>0</v>
      </c>
      <c r="N96" s="180">
        <v>0</v>
      </c>
      <c r="O96" s="180">
        <v>0</v>
      </c>
      <c r="P96" s="180"/>
      <c r="Q96" s="180">
        <v>0</v>
      </c>
      <c r="R96" s="180">
        <v>0</v>
      </c>
      <c r="S96" s="180">
        <v>0</v>
      </c>
      <c r="T96" s="180">
        <v>0</v>
      </c>
      <c r="U96" s="180"/>
      <c r="V96" s="180"/>
      <c r="W96" s="180"/>
      <c r="X96" s="180">
        <v>6140</v>
      </c>
      <c r="Y96" s="180">
        <v>0</v>
      </c>
      <c r="Z96" s="180">
        <v>5580577</v>
      </c>
      <c r="AA96" s="180">
        <v>0</v>
      </c>
      <c r="AB96" s="180">
        <v>0</v>
      </c>
      <c r="AC96" s="180">
        <v>0</v>
      </c>
      <c r="AD96" s="180">
        <v>0</v>
      </c>
      <c r="AE96" s="180">
        <v>0</v>
      </c>
      <c r="AF96" s="180">
        <v>0</v>
      </c>
      <c r="AG96" s="180">
        <v>0</v>
      </c>
      <c r="AH96" s="180">
        <v>0</v>
      </c>
      <c r="AI96" s="180">
        <v>0</v>
      </c>
      <c r="AJ96" s="180">
        <v>0</v>
      </c>
      <c r="AK96" s="180">
        <v>0</v>
      </c>
      <c r="AL96" s="180">
        <v>0</v>
      </c>
      <c r="AM96" s="180">
        <v>0</v>
      </c>
      <c r="AN96" s="180">
        <v>0</v>
      </c>
      <c r="AO96" s="180">
        <v>0</v>
      </c>
      <c r="AP96" s="180">
        <v>20000</v>
      </c>
      <c r="AQ96" s="180">
        <v>0</v>
      </c>
      <c r="AR96" s="180">
        <v>0</v>
      </c>
      <c r="AS96" s="180">
        <v>0</v>
      </c>
      <c r="AT96" s="180">
        <v>0</v>
      </c>
      <c r="AU96" s="180">
        <v>0</v>
      </c>
      <c r="AV96" s="180">
        <v>33599</v>
      </c>
      <c r="AW96" s="180">
        <v>0</v>
      </c>
      <c r="AX96" s="180">
        <v>0</v>
      </c>
      <c r="AY96" s="180">
        <v>0</v>
      </c>
      <c r="AZ96" s="180">
        <v>175000</v>
      </c>
      <c r="BA96" s="180">
        <v>0</v>
      </c>
      <c r="BB96" s="180">
        <v>3250</v>
      </c>
      <c r="BC96" s="180">
        <v>0</v>
      </c>
      <c r="BD96" s="180">
        <v>0</v>
      </c>
      <c r="BE96" s="180">
        <v>0</v>
      </c>
      <c r="BF96" s="180">
        <v>6144877</v>
      </c>
      <c r="BG96" s="180"/>
      <c r="BH96" s="180">
        <v>0</v>
      </c>
      <c r="BI96" s="180">
        <v>0</v>
      </c>
      <c r="BJ96" s="180">
        <v>445040</v>
      </c>
      <c r="BK96" s="180">
        <v>0</v>
      </c>
      <c r="BL96" s="180">
        <v>52937</v>
      </c>
      <c r="BM96" s="180">
        <v>0</v>
      </c>
      <c r="BN96" s="180">
        <v>0</v>
      </c>
      <c r="BO96" s="180">
        <v>0</v>
      </c>
      <c r="BP96" s="180"/>
      <c r="BQ96" s="180">
        <v>0</v>
      </c>
      <c r="BR96" s="180"/>
      <c r="BS96" s="180">
        <v>0</v>
      </c>
      <c r="BT96" s="180">
        <v>0</v>
      </c>
      <c r="BU96" s="180"/>
      <c r="BV96" s="180">
        <v>0</v>
      </c>
      <c r="BW96" s="180"/>
      <c r="BX96" s="180"/>
      <c r="BY96" s="180"/>
      <c r="BZ96" s="180"/>
      <c r="CA96" s="180"/>
      <c r="CB96" s="180"/>
      <c r="CC96" s="180"/>
      <c r="CD96" s="180"/>
      <c r="CE96" s="180"/>
      <c r="CF96" s="180"/>
      <c r="CG96" s="180"/>
      <c r="CH96" s="180"/>
      <c r="CI96" s="180"/>
      <c r="CJ96" s="180"/>
      <c r="CK96" s="180"/>
      <c r="CL96" s="180"/>
      <c r="CM96" s="180"/>
      <c r="CN96" s="180"/>
      <c r="CO96" s="180"/>
      <c r="CP96" s="180"/>
      <c r="CQ96" s="180"/>
      <c r="CR96" s="180"/>
      <c r="CS96" s="180"/>
      <c r="CT96" s="180"/>
      <c r="CU96" s="180"/>
    </row>
    <row r="97" spans="1:99" x14ac:dyDescent="0.3">
      <c r="A97" s="155">
        <v>387</v>
      </c>
      <c r="B97" s="180" t="s">
        <v>186</v>
      </c>
      <c r="C97" s="180"/>
      <c r="D97" s="180">
        <v>0</v>
      </c>
      <c r="E97" s="180">
        <v>72009439</v>
      </c>
      <c r="F97" s="180"/>
      <c r="G97" s="180"/>
      <c r="H97" s="180">
        <v>0</v>
      </c>
      <c r="I97" s="180">
        <v>0</v>
      </c>
      <c r="J97" s="180"/>
      <c r="K97" s="180">
        <v>0</v>
      </c>
      <c r="L97" s="180">
        <v>36852</v>
      </c>
      <c r="M97" s="180">
        <v>0</v>
      </c>
      <c r="N97" s="180">
        <v>0</v>
      </c>
      <c r="O97" s="180">
        <v>0</v>
      </c>
      <c r="P97" s="180"/>
      <c r="Q97" s="180">
        <v>0</v>
      </c>
      <c r="R97" s="180">
        <v>0</v>
      </c>
      <c r="S97" s="180">
        <v>0</v>
      </c>
      <c r="T97" s="180">
        <v>0</v>
      </c>
      <c r="U97" s="180"/>
      <c r="V97" s="180"/>
      <c r="W97" s="180"/>
      <c r="X97" s="180">
        <v>0</v>
      </c>
      <c r="Y97" s="180">
        <v>0</v>
      </c>
      <c r="Z97" s="180">
        <v>2805577</v>
      </c>
      <c r="AA97" s="180">
        <v>0</v>
      </c>
      <c r="AB97" s="180">
        <v>0</v>
      </c>
      <c r="AC97" s="180">
        <v>0</v>
      </c>
      <c r="AD97" s="180">
        <v>0</v>
      </c>
      <c r="AE97" s="180">
        <v>0</v>
      </c>
      <c r="AF97" s="180">
        <v>130501</v>
      </c>
      <c r="AG97" s="180">
        <v>0</v>
      </c>
      <c r="AH97" s="180">
        <v>0</v>
      </c>
      <c r="AI97" s="180">
        <v>0</v>
      </c>
      <c r="AJ97" s="180">
        <v>0</v>
      </c>
      <c r="AK97" s="180">
        <v>0</v>
      </c>
      <c r="AL97" s="180">
        <v>81007</v>
      </c>
      <c r="AM97" s="180">
        <v>0</v>
      </c>
      <c r="AN97" s="180">
        <v>0</v>
      </c>
      <c r="AO97" s="180">
        <v>3575040</v>
      </c>
      <c r="AP97" s="180">
        <v>0</v>
      </c>
      <c r="AQ97" s="180">
        <v>0</v>
      </c>
      <c r="AR97" s="180">
        <v>0</v>
      </c>
      <c r="AS97" s="180">
        <v>138543</v>
      </c>
      <c r="AT97" s="180">
        <v>60674</v>
      </c>
      <c r="AU97" s="180">
        <v>0</v>
      </c>
      <c r="AV97" s="180">
        <v>0</v>
      </c>
      <c r="AW97" s="180">
        <v>0</v>
      </c>
      <c r="AX97" s="180">
        <v>0</v>
      </c>
      <c r="AY97" s="180">
        <v>0</v>
      </c>
      <c r="AZ97" s="180">
        <v>1131535</v>
      </c>
      <c r="BA97" s="180">
        <v>0</v>
      </c>
      <c r="BB97" s="180">
        <v>0</v>
      </c>
      <c r="BC97" s="180">
        <v>0</v>
      </c>
      <c r="BD97" s="180">
        <v>19817</v>
      </c>
      <c r="BE97" s="180">
        <v>0</v>
      </c>
      <c r="BF97" s="180">
        <v>2671941</v>
      </c>
      <c r="BG97" s="180"/>
      <c r="BH97" s="180">
        <v>0</v>
      </c>
      <c r="BI97" s="180">
        <v>0</v>
      </c>
      <c r="BJ97" s="180">
        <v>327400</v>
      </c>
      <c r="BK97" s="180">
        <v>0</v>
      </c>
      <c r="BL97" s="180">
        <v>0</v>
      </c>
      <c r="BM97" s="180">
        <v>0</v>
      </c>
      <c r="BN97" s="180">
        <v>0</v>
      </c>
      <c r="BO97" s="180">
        <v>0</v>
      </c>
      <c r="BP97" s="180"/>
      <c r="BQ97" s="180">
        <v>0</v>
      </c>
      <c r="BR97" s="180"/>
      <c r="BS97" s="180">
        <v>50000</v>
      </c>
      <c r="BT97" s="180">
        <v>0</v>
      </c>
      <c r="BU97" s="180"/>
      <c r="BV97" s="180">
        <v>318863</v>
      </c>
      <c r="BW97" s="180"/>
      <c r="BX97" s="180"/>
      <c r="BY97" s="180"/>
      <c r="BZ97" s="180"/>
      <c r="CA97" s="180"/>
      <c r="CB97" s="180"/>
      <c r="CC97" s="180"/>
      <c r="CD97" s="180"/>
      <c r="CE97" s="180"/>
      <c r="CF97" s="180"/>
      <c r="CG97" s="180"/>
      <c r="CH97" s="180"/>
      <c r="CI97" s="180"/>
      <c r="CJ97" s="180"/>
      <c r="CK97" s="180"/>
      <c r="CL97" s="180"/>
      <c r="CM97" s="180"/>
      <c r="CN97" s="180"/>
      <c r="CO97" s="180"/>
      <c r="CP97" s="180"/>
      <c r="CQ97" s="180"/>
      <c r="CR97" s="180"/>
      <c r="CS97" s="180"/>
      <c r="CT97" s="180"/>
      <c r="CU97" s="180"/>
    </row>
    <row r="98" spans="1:99" x14ac:dyDescent="0.3">
      <c r="A98" s="155">
        <v>388</v>
      </c>
      <c r="B98" s="180" t="s">
        <v>180</v>
      </c>
      <c r="C98" s="180"/>
      <c r="D98" s="180">
        <v>5645025</v>
      </c>
      <c r="E98" s="180">
        <v>475904080</v>
      </c>
      <c r="F98" s="180"/>
      <c r="G98" s="180"/>
      <c r="H98" s="180">
        <v>2648678</v>
      </c>
      <c r="I98" s="180">
        <v>36762</v>
      </c>
      <c r="J98" s="180"/>
      <c r="K98" s="180">
        <v>992797</v>
      </c>
      <c r="L98" s="180">
        <v>4220642</v>
      </c>
      <c r="M98" s="180">
        <v>17590338</v>
      </c>
      <c r="N98" s="180">
        <v>89072</v>
      </c>
      <c r="O98" s="180">
        <v>651076</v>
      </c>
      <c r="P98" s="180"/>
      <c r="Q98" s="180">
        <v>394730</v>
      </c>
      <c r="R98" s="180">
        <v>1342699</v>
      </c>
      <c r="S98" s="180">
        <v>1855790</v>
      </c>
      <c r="T98" s="180">
        <v>15768265</v>
      </c>
      <c r="U98" s="180"/>
      <c r="V98" s="180"/>
      <c r="W98" s="180"/>
      <c r="X98" s="180">
        <v>10024667</v>
      </c>
      <c r="Y98" s="180">
        <v>1958364</v>
      </c>
      <c r="Z98" s="180">
        <v>78565933</v>
      </c>
      <c r="AA98" s="180">
        <v>10679182</v>
      </c>
      <c r="AB98" s="180">
        <v>312174</v>
      </c>
      <c r="AC98" s="180">
        <v>348425</v>
      </c>
      <c r="AD98" s="180">
        <v>1299512</v>
      </c>
      <c r="AE98" s="180">
        <v>1267225</v>
      </c>
      <c r="AF98" s="180">
        <v>419672</v>
      </c>
      <c r="AG98" s="180">
        <v>1126235</v>
      </c>
      <c r="AH98" s="180">
        <v>13635309</v>
      </c>
      <c r="AI98" s="180">
        <v>111606</v>
      </c>
      <c r="AJ98" s="180">
        <v>3086329</v>
      </c>
      <c r="AK98" s="180">
        <v>173560</v>
      </c>
      <c r="AL98" s="180">
        <v>736680</v>
      </c>
      <c r="AM98" s="180">
        <v>4850088</v>
      </c>
      <c r="AN98" s="180">
        <v>363984</v>
      </c>
      <c r="AO98" s="180">
        <v>38994093</v>
      </c>
      <c r="AP98" s="180">
        <v>1195100</v>
      </c>
      <c r="AQ98" s="180">
        <v>117420</v>
      </c>
      <c r="AR98" s="180">
        <v>146191</v>
      </c>
      <c r="AS98" s="180">
        <v>33627863</v>
      </c>
      <c r="AT98" s="180">
        <v>308448</v>
      </c>
      <c r="AU98" s="180">
        <v>2352325</v>
      </c>
      <c r="AV98" s="180">
        <v>2093099</v>
      </c>
      <c r="AW98" s="180">
        <v>362157</v>
      </c>
      <c r="AX98" s="180">
        <v>439677</v>
      </c>
      <c r="AY98" s="180">
        <v>257033</v>
      </c>
      <c r="AZ98" s="180">
        <v>5932327</v>
      </c>
      <c r="BA98" s="180">
        <v>1964742</v>
      </c>
      <c r="BB98" s="180">
        <v>58080</v>
      </c>
      <c r="BC98" s="180">
        <v>331717</v>
      </c>
      <c r="BD98" s="180">
        <v>5649863</v>
      </c>
      <c r="BE98" s="180">
        <v>1490396</v>
      </c>
      <c r="BF98" s="180">
        <v>29595132</v>
      </c>
      <c r="BG98" s="180"/>
      <c r="BH98" s="180">
        <v>602378</v>
      </c>
      <c r="BI98" s="180">
        <v>239868</v>
      </c>
      <c r="BJ98" s="180">
        <v>15022738</v>
      </c>
      <c r="BK98" s="180">
        <v>1304559</v>
      </c>
      <c r="BL98" s="180">
        <v>20184212</v>
      </c>
      <c r="BM98" s="180">
        <v>6849740</v>
      </c>
      <c r="BN98" s="180">
        <v>7770177</v>
      </c>
      <c r="BO98" s="180">
        <v>1512702</v>
      </c>
      <c r="BP98" s="180"/>
      <c r="BQ98" s="180">
        <v>3453666</v>
      </c>
      <c r="BR98" s="180"/>
      <c r="BS98" s="180">
        <v>3416296</v>
      </c>
      <c r="BT98" s="180">
        <v>1354963</v>
      </c>
      <c r="BU98" s="180"/>
      <c r="BV98" s="180">
        <v>2400090</v>
      </c>
      <c r="BW98" s="180"/>
      <c r="BX98" s="180"/>
      <c r="BY98" s="180"/>
      <c r="BZ98" s="180"/>
      <c r="CA98" s="180"/>
      <c r="CB98" s="180"/>
      <c r="CC98" s="180"/>
      <c r="CD98" s="180"/>
      <c r="CE98" s="180"/>
      <c r="CF98" s="180"/>
      <c r="CG98" s="180"/>
      <c r="CH98" s="180"/>
      <c r="CI98" s="180"/>
      <c r="CJ98" s="180"/>
      <c r="CK98" s="180"/>
      <c r="CL98" s="180"/>
      <c r="CM98" s="180"/>
      <c r="CN98" s="180"/>
      <c r="CO98" s="180"/>
      <c r="CP98" s="180"/>
      <c r="CQ98" s="180"/>
      <c r="CR98" s="180"/>
      <c r="CS98" s="180"/>
      <c r="CT98" s="180"/>
      <c r="CU98" s="180"/>
    </row>
    <row r="99" spans="1:99" x14ac:dyDescent="0.3">
      <c r="A99" s="155">
        <v>389</v>
      </c>
      <c r="B99" s="180" t="s">
        <v>187</v>
      </c>
      <c r="C99" s="180"/>
      <c r="D99" s="180">
        <v>0</v>
      </c>
      <c r="E99" s="180">
        <v>0</v>
      </c>
      <c r="F99" s="180"/>
      <c r="G99" s="180"/>
      <c r="H99" s="180">
        <v>0</v>
      </c>
      <c r="I99" s="180">
        <v>0</v>
      </c>
      <c r="J99" s="180"/>
      <c r="K99" s="180">
        <v>0</v>
      </c>
      <c r="L99" s="180">
        <v>0</v>
      </c>
      <c r="M99" s="180">
        <v>0</v>
      </c>
      <c r="N99" s="180">
        <v>0</v>
      </c>
      <c r="O99" s="180">
        <v>0</v>
      </c>
      <c r="P99" s="180"/>
      <c r="Q99" s="180">
        <v>0</v>
      </c>
      <c r="R99" s="180">
        <v>0</v>
      </c>
      <c r="S99" s="180">
        <v>0</v>
      </c>
      <c r="T99" s="180">
        <v>0</v>
      </c>
      <c r="U99" s="180"/>
      <c r="V99" s="180"/>
      <c r="W99" s="180"/>
      <c r="X99" s="180">
        <v>0</v>
      </c>
      <c r="Y99" s="180">
        <v>0</v>
      </c>
      <c r="Z99" s="180">
        <v>0</v>
      </c>
      <c r="AA99" s="180">
        <v>0</v>
      </c>
      <c r="AB99" s="180">
        <v>0</v>
      </c>
      <c r="AC99" s="180">
        <v>0</v>
      </c>
      <c r="AD99" s="180">
        <v>0</v>
      </c>
      <c r="AE99" s="180">
        <v>0</v>
      </c>
      <c r="AF99" s="180">
        <v>0</v>
      </c>
      <c r="AG99" s="180">
        <v>0</v>
      </c>
      <c r="AH99" s="180">
        <v>41929</v>
      </c>
      <c r="AI99" s="180">
        <v>0</v>
      </c>
      <c r="AJ99" s="180">
        <v>0</v>
      </c>
      <c r="AK99" s="180">
        <v>0</v>
      </c>
      <c r="AL99" s="180">
        <v>0</v>
      </c>
      <c r="AM99" s="180">
        <v>0</v>
      </c>
      <c r="AN99" s="180">
        <v>0</v>
      </c>
      <c r="AO99" s="180">
        <v>0</v>
      </c>
      <c r="AP99" s="180">
        <v>0</v>
      </c>
      <c r="AQ99" s="180">
        <v>0</v>
      </c>
      <c r="AR99" s="180">
        <v>0</v>
      </c>
      <c r="AS99" s="180">
        <v>0</v>
      </c>
      <c r="AT99" s="180">
        <v>0</v>
      </c>
      <c r="AU99" s="180">
        <v>0</v>
      </c>
      <c r="AV99" s="180">
        <v>0</v>
      </c>
      <c r="AW99" s="180">
        <v>0</v>
      </c>
      <c r="AX99" s="180">
        <v>0</v>
      </c>
      <c r="AY99" s="180">
        <v>0</v>
      </c>
      <c r="AZ99" s="180">
        <v>0</v>
      </c>
      <c r="BA99" s="180">
        <v>0</v>
      </c>
      <c r="BB99" s="180">
        <v>0</v>
      </c>
      <c r="BC99" s="180">
        <v>0</v>
      </c>
      <c r="BD99" s="180">
        <v>0</v>
      </c>
      <c r="BE99" s="180">
        <v>0</v>
      </c>
      <c r="BF99" s="180">
        <v>0</v>
      </c>
      <c r="BG99" s="180"/>
      <c r="BH99" s="180">
        <v>0</v>
      </c>
      <c r="BI99" s="180">
        <v>0</v>
      </c>
      <c r="BJ99" s="180">
        <v>0</v>
      </c>
      <c r="BK99" s="180">
        <v>0</v>
      </c>
      <c r="BL99" s="180">
        <v>0</v>
      </c>
      <c r="BM99" s="180">
        <v>0</v>
      </c>
      <c r="BN99" s="180">
        <v>-3899</v>
      </c>
      <c r="BO99" s="180">
        <v>0</v>
      </c>
      <c r="BP99" s="180"/>
      <c r="BQ99" s="180">
        <v>0</v>
      </c>
      <c r="BR99" s="180"/>
      <c r="BS99" s="180">
        <v>0</v>
      </c>
      <c r="BT99" s="180">
        <v>0</v>
      </c>
      <c r="BU99" s="180"/>
      <c r="BV99" s="180">
        <v>0</v>
      </c>
      <c r="BW99" s="180"/>
      <c r="BX99" s="180"/>
      <c r="BY99" s="180"/>
      <c r="BZ99" s="180"/>
      <c r="CA99" s="180"/>
      <c r="CB99" s="180"/>
      <c r="CC99" s="180"/>
      <c r="CD99" s="180"/>
      <c r="CE99" s="180"/>
      <c r="CF99" s="180"/>
      <c r="CG99" s="180"/>
      <c r="CH99" s="180"/>
      <c r="CI99" s="180"/>
      <c r="CJ99" s="180"/>
      <c r="CK99" s="180"/>
      <c r="CL99" s="180"/>
      <c r="CM99" s="180"/>
      <c r="CN99" s="180"/>
      <c r="CO99" s="180"/>
      <c r="CP99" s="180"/>
      <c r="CQ99" s="180"/>
      <c r="CR99" s="180"/>
      <c r="CS99" s="180"/>
      <c r="CT99" s="180"/>
      <c r="CU99" s="180"/>
    </row>
    <row r="100" spans="1:99" x14ac:dyDescent="0.3">
      <c r="A100" s="155">
        <v>391</v>
      </c>
      <c r="B100" s="180" t="s">
        <v>192</v>
      </c>
      <c r="C100" s="180"/>
      <c r="D100" s="180">
        <v>721974</v>
      </c>
      <c r="E100" s="180">
        <v>68468668</v>
      </c>
      <c r="F100" s="180"/>
      <c r="G100" s="180"/>
      <c r="H100" s="180">
        <v>205747</v>
      </c>
      <c r="I100" s="180">
        <v>0</v>
      </c>
      <c r="J100" s="180"/>
      <c r="K100" s="180">
        <v>229848</v>
      </c>
      <c r="L100" s="180">
        <v>287125</v>
      </c>
      <c r="M100" s="180">
        <v>7216356</v>
      </c>
      <c r="N100" s="180">
        <v>0</v>
      </c>
      <c r="O100" s="180">
        <v>59199</v>
      </c>
      <c r="P100" s="180"/>
      <c r="Q100" s="180">
        <v>50331</v>
      </c>
      <c r="R100" s="180">
        <v>111563</v>
      </c>
      <c r="S100" s="180">
        <v>163479</v>
      </c>
      <c r="T100" s="180">
        <v>1029308</v>
      </c>
      <c r="U100" s="180"/>
      <c r="V100" s="180"/>
      <c r="W100" s="180"/>
      <c r="X100" s="180">
        <v>1246104</v>
      </c>
      <c r="Y100" s="180">
        <v>252653</v>
      </c>
      <c r="Z100" s="180">
        <v>7535970</v>
      </c>
      <c r="AA100" s="180">
        <v>1171947</v>
      </c>
      <c r="AB100" s="180">
        <v>59784</v>
      </c>
      <c r="AC100" s="180">
        <v>11541</v>
      </c>
      <c r="AD100" s="180">
        <v>123061</v>
      </c>
      <c r="AE100" s="180">
        <v>128666</v>
      </c>
      <c r="AF100" s="180">
        <v>35586</v>
      </c>
      <c r="AG100" s="180">
        <v>235072</v>
      </c>
      <c r="AH100" s="180">
        <v>1028422</v>
      </c>
      <c r="AI100" s="180">
        <v>12056</v>
      </c>
      <c r="AJ100" s="180">
        <v>245548</v>
      </c>
      <c r="AK100" s="180">
        <v>8132</v>
      </c>
      <c r="AL100" s="180">
        <v>204171</v>
      </c>
      <c r="AM100" s="180">
        <v>524940</v>
      </c>
      <c r="AN100" s="180">
        <v>48401</v>
      </c>
      <c r="AO100" s="180">
        <v>5481142</v>
      </c>
      <c r="AP100" s="180">
        <v>138416</v>
      </c>
      <c r="AQ100" s="180">
        <v>19948</v>
      </c>
      <c r="AR100" s="180">
        <v>27320</v>
      </c>
      <c r="AS100" s="180">
        <v>5546081</v>
      </c>
      <c r="AT100" s="180">
        <v>27264</v>
      </c>
      <c r="AU100" s="180">
        <v>251000</v>
      </c>
      <c r="AV100" s="180">
        <v>76287</v>
      </c>
      <c r="AW100" s="180">
        <v>37970</v>
      </c>
      <c r="AX100" s="180">
        <v>32084</v>
      </c>
      <c r="AY100" s="180">
        <v>25058</v>
      </c>
      <c r="AZ100" s="180">
        <v>748280</v>
      </c>
      <c r="BA100" s="180">
        <v>120888</v>
      </c>
      <c r="BB100" s="180">
        <v>16967</v>
      </c>
      <c r="BC100" s="180">
        <v>12315</v>
      </c>
      <c r="BD100" s="180">
        <v>603698</v>
      </c>
      <c r="BE100" s="180">
        <v>658536</v>
      </c>
      <c r="BF100" s="180">
        <v>5928438</v>
      </c>
      <c r="BG100" s="180"/>
      <c r="BH100" s="180">
        <v>37159</v>
      </c>
      <c r="BI100" s="180">
        <v>36498</v>
      </c>
      <c r="BJ100" s="180">
        <v>3539444</v>
      </c>
      <c r="BK100" s="180">
        <v>125123</v>
      </c>
      <c r="BL100" s="180">
        <v>2421321</v>
      </c>
      <c r="BM100" s="180">
        <v>2067392</v>
      </c>
      <c r="BN100" s="180">
        <v>852935</v>
      </c>
      <c r="BO100" s="180">
        <v>380098</v>
      </c>
      <c r="BP100" s="180"/>
      <c r="BQ100" s="180">
        <v>351756</v>
      </c>
      <c r="BR100" s="180"/>
      <c r="BS100" s="180">
        <v>400032</v>
      </c>
      <c r="BT100" s="180">
        <v>134439</v>
      </c>
      <c r="BU100" s="180"/>
      <c r="BV100" s="180">
        <v>47273</v>
      </c>
      <c r="BW100" s="180"/>
      <c r="BX100" s="180"/>
      <c r="BY100" s="180"/>
      <c r="BZ100" s="180"/>
      <c r="CA100" s="180"/>
      <c r="CB100" s="180"/>
      <c r="CC100" s="180"/>
      <c r="CD100" s="180"/>
      <c r="CE100" s="180"/>
      <c r="CF100" s="180"/>
      <c r="CG100" s="180"/>
      <c r="CH100" s="180"/>
      <c r="CI100" s="180"/>
      <c r="CJ100" s="180"/>
      <c r="CK100" s="180"/>
      <c r="CL100" s="180"/>
      <c r="CM100" s="180"/>
      <c r="CN100" s="180"/>
      <c r="CO100" s="180"/>
      <c r="CP100" s="180"/>
      <c r="CQ100" s="180"/>
      <c r="CR100" s="180"/>
      <c r="CS100" s="180"/>
      <c r="CT100" s="180"/>
      <c r="CU100" s="180"/>
    </row>
    <row r="101" spans="1:99" x14ac:dyDescent="0.3">
      <c r="A101" s="155">
        <v>500</v>
      </c>
      <c r="B101" s="180" t="s">
        <v>175</v>
      </c>
      <c r="C101" s="180"/>
      <c r="D101" s="180">
        <v>826680</v>
      </c>
      <c r="E101" s="180">
        <v>87376163</v>
      </c>
      <c r="F101" s="180"/>
      <c r="G101" s="180"/>
      <c r="H101" s="180">
        <v>4136872</v>
      </c>
      <c r="I101" s="180">
        <v>1671</v>
      </c>
      <c r="J101" s="180"/>
      <c r="K101" s="180">
        <v>187063</v>
      </c>
      <c r="L101" s="180">
        <v>3003682</v>
      </c>
      <c r="M101" s="180">
        <v>298182</v>
      </c>
      <c r="N101" s="180">
        <v>67857</v>
      </c>
      <c r="O101" s="180">
        <v>68462</v>
      </c>
      <c r="P101" s="180"/>
      <c r="Q101" s="180">
        <v>229131</v>
      </c>
      <c r="R101" s="180">
        <v>316036</v>
      </c>
      <c r="S101" s="180">
        <v>115745</v>
      </c>
      <c r="T101" s="180">
        <v>1064417</v>
      </c>
      <c r="U101" s="180"/>
      <c r="V101" s="180"/>
      <c r="W101" s="180"/>
      <c r="X101" s="180">
        <v>1106964</v>
      </c>
      <c r="Y101" s="180">
        <v>345683</v>
      </c>
      <c r="Z101" s="180">
        <v>14708830</v>
      </c>
      <c r="AA101" s="180">
        <v>491313</v>
      </c>
      <c r="AB101" s="180">
        <v>145999</v>
      </c>
      <c r="AC101" s="180">
        <v>50793</v>
      </c>
      <c r="AD101" s="180">
        <v>200127</v>
      </c>
      <c r="AE101" s="180">
        <v>254725</v>
      </c>
      <c r="AF101" s="180">
        <v>64572</v>
      </c>
      <c r="AG101" s="180">
        <v>0</v>
      </c>
      <c r="AH101" s="180">
        <v>1589529</v>
      </c>
      <c r="AI101" s="180">
        <v>37846</v>
      </c>
      <c r="AJ101" s="180">
        <v>749923</v>
      </c>
      <c r="AK101" s="180">
        <v>87266</v>
      </c>
      <c r="AL101" s="180">
        <v>7063</v>
      </c>
      <c r="AM101" s="180">
        <v>1264850</v>
      </c>
      <c r="AN101" s="180">
        <v>74848</v>
      </c>
      <c r="AO101" s="180">
        <v>3299361</v>
      </c>
      <c r="AP101" s="180">
        <v>178836</v>
      </c>
      <c r="AQ101" s="180">
        <v>77986</v>
      </c>
      <c r="AR101" s="180">
        <v>316214</v>
      </c>
      <c r="AS101" s="180">
        <v>8426874</v>
      </c>
      <c r="AT101" s="180">
        <v>73637</v>
      </c>
      <c r="AU101" s="180">
        <v>1079000</v>
      </c>
      <c r="AV101" s="180">
        <v>164512</v>
      </c>
      <c r="AW101" s="180">
        <v>60527</v>
      </c>
      <c r="AX101" s="180">
        <v>1806981</v>
      </c>
      <c r="AY101" s="180">
        <v>205770</v>
      </c>
      <c r="AZ101" s="180">
        <v>632526</v>
      </c>
      <c r="BA101" s="180">
        <v>0</v>
      </c>
      <c r="BB101" s="180">
        <v>52595</v>
      </c>
      <c r="BC101" s="180">
        <v>47727</v>
      </c>
      <c r="BD101" s="180">
        <v>1811704</v>
      </c>
      <c r="BE101" s="180">
        <v>408029</v>
      </c>
      <c r="BF101" s="180">
        <v>14869171</v>
      </c>
      <c r="BG101" s="180"/>
      <c r="BH101" s="180">
        <v>88430</v>
      </c>
      <c r="BI101" s="180">
        <v>88529</v>
      </c>
      <c r="BJ101" s="180">
        <v>5418484</v>
      </c>
      <c r="BK101" s="180">
        <v>562523</v>
      </c>
      <c r="BL101" s="180">
        <v>3218296</v>
      </c>
      <c r="BM101" s="180">
        <v>8885169</v>
      </c>
      <c r="BN101" s="180">
        <v>807223</v>
      </c>
      <c r="BO101" s="180">
        <v>344659</v>
      </c>
      <c r="BP101" s="180"/>
      <c r="BQ101" s="180">
        <v>869049</v>
      </c>
      <c r="BR101" s="180"/>
      <c r="BS101" s="180">
        <v>730089</v>
      </c>
      <c r="BT101" s="180">
        <v>450733</v>
      </c>
      <c r="BU101" s="180"/>
      <c r="BV101" s="180">
        <v>683118</v>
      </c>
      <c r="BW101" s="180"/>
      <c r="BX101" s="180"/>
      <c r="BY101" s="180"/>
      <c r="BZ101" s="180"/>
      <c r="CA101" s="180"/>
      <c r="CB101" s="180"/>
      <c r="CC101" s="180"/>
      <c r="CD101" s="180"/>
      <c r="CE101" s="180"/>
      <c r="CF101" s="180"/>
      <c r="CG101" s="180"/>
      <c r="CH101" s="180"/>
      <c r="CI101" s="180"/>
      <c r="CJ101" s="180"/>
      <c r="CK101" s="180"/>
      <c r="CL101" s="180"/>
      <c r="CM101" s="180"/>
      <c r="CN101" s="180"/>
      <c r="CO101" s="180"/>
      <c r="CP101" s="180"/>
      <c r="CQ101" s="180"/>
      <c r="CR101" s="180"/>
      <c r="CS101" s="180"/>
      <c r="CT101" s="180"/>
      <c r="CU101" s="180"/>
    </row>
    <row r="102" spans="1:99" x14ac:dyDescent="0.3">
      <c r="A102" s="155">
        <v>502</v>
      </c>
      <c r="B102" s="180" t="s">
        <v>177</v>
      </c>
      <c r="C102" s="180"/>
      <c r="D102" s="180">
        <v>6580904</v>
      </c>
      <c r="E102" s="180">
        <v>627454568</v>
      </c>
      <c r="F102" s="180"/>
      <c r="G102" s="180"/>
      <c r="H102" s="180">
        <v>1027109</v>
      </c>
      <c r="I102" s="180">
        <v>0</v>
      </c>
      <c r="J102" s="180"/>
      <c r="K102" s="180">
        <v>0</v>
      </c>
      <c r="L102" s="180">
        <v>656795</v>
      </c>
      <c r="M102" s="180">
        <v>6937486</v>
      </c>
      <c r="N102" s="180">
        <v>0</v>
      </c>
      <c r="O102" s="180">
        <v>528665</v>
      </c>
      <c r="P102" s="180"/>
      <c r="Q102" s="180">
        <v>0</v>
      </c>
      <c r="R102" s="180">
        <v>0</v>
      </c>
      <c r="S102" s="180">
        <v>1834448</v>
      </c>
      <c r="T102" s="180">
        <v>0</v>
      </c>
      <c r="U102" s="180"/>
      <c r="V102" s="180"/>
      <c r="W102" s="180"/>
      <c r="X102" s="180">
        <v>3773158</v>
      </c>
      <c r="Y102" s="180">
        <v>0</v>
      </c>
      <c r="Z102" s="180">
        <v>72210462</v>
      </c>
      <c r="AA102" s="180">
        <v>0</v>
      </c>
      <c r="AB102" s="180">
        <v>0</v>
      </c>
      <c r="AC102" s="180">
        <v>108601</v>
      </c>
      <c r="AD102" s="180">
        <v>763895</v>
      </c>
      <c r="AE102" s="180">
        <v>462830</v>
      </c>
      <c r="AF102" s="180">
        <v>341396</v>
      </c>
      <c r="AG102" s="180">
        <v>90996</v>
      </c>
      <c r="AH102" s="180">
        <v>2509388</v>
      </c>
      <c r="AI102" s="180">
        <v>0</v>
      </c>
      <c r="AJ102" s="180">
        <v>0</v>
      </c>
      <c r="AK102" s="180">
        <v>0</v>
      </c>
      <c r="AL102" s="180">
        <v>969961</v>
      </c>
      <c r="AM102" s="180">
        <v>880868</v>
      </c>
      <c r="AN102" s="180">
        <v>355740</v>
      </c>
      <c r="AO102" s="180">
        <v>41354766</v>
      </c>
      <c r="AP102" s="180">
        <v>573062</v>
      </c>
      <c r="AQ102" s="180">
        <v>0</v>
      </c>
      <c r="AR102" s="180">
        <v>70201</v>
      </c>
      <c r="AS102" s="180">
        <v>14910027</v>
      </c>
      <c r="AT102" s="180">
        <v>697869</v>
      </c>
      <c r="AU102" s="180">
        <v>4813925</v>
      </c>
      <c r="AV102" s="180">
        <v>2366428</v>
      </c>
      <c r="AW102" s="180">
        <v>0</v>
      </c>
      <c r="AX102" s="180">
        <v>0</v>
      </c>
      <c r="AY102" s="180">
        <v>15684</v>
      </c>
      <c r="AZ102" s="180">
        <v>8792021</v>
      </c>
      <c r="BA102" s="180">
        <v>307999</v>
      </c>
      <c r="BB102" s="180">
        <v>716063</v>
      </c>
      <c r="BC102" s="180">
        <v>568246</v>
      </c>
      <c r="BD102" s="180">
        <v>6853897</v>
      </c>
      <c r="BE102" s="180">
        <v>2528855</v>
      </c>
      <c r="BF102" s="180">
        <v>30029521</v>
      </c>
      <c r="BG102" s="180"/>
      <c r="BH102" s="180">
        <v>0</v>
      </c>
      <c r="BI102" s="180">
        <v>879953</v>
      </c>
      <c r="BJ102" s="180">
        <v>25540218</v>
      </c>
      <c r="BK102" s="180">
        <v>796874</v>
      </c>
      <c r="BL102" s="180">
        <v>16365072</v>
      </c>
      <c r="BM102" s="180">
        <v>0</v>
      </c>
      <c r="BN102" s="180">
        <v>11488495</v>
      </c>
      <c r="BO102" s="180">
        <v>1289439</v>
      </c>
      <c r="BP102" s="180"/>
      <c r="BQ102" s="180">
        <v>0</v>
      </c>
      <c r="BR102" s="180"/>
      <c r="BS102" s="180">
        <v>767563</v>
      </c>
      <c r="BT102" s="180">
        <v>556544</v>
      </c>
      <c r="BU102" s="180"/>
      <c r="BV102" s="180">
        <v>201157</v>
      </c>
      <c r="BW102" s="180"/>
      <c r="BX102" s="180"/>
      <c r="BY102" s="180"/>
      <c r="BZ102" s="180"/>
      <c r="CA102" s="180"/>
      <c r="CB102" s="180"/>
      <c r="CC102" s="180"/>
      <c r="CD102" s="180"/>
      <c r="CE102" s="180"/>
      <c r="CF102" s="180"/>
      <c r="CG102" s="180"/>
      <c r="CH102" s="180"/>
      <c r="CI102" s="180"/>
      <c r="CJ102" s="180"/>
      <c r="CK102" s="180"/>
      <c r="CL102" s="180"/>
      <c r="CM102" s="180"/>
      <c r="CN102" s="180"/>
      <c r="CO102" s="180"/>
      <c r="CP102" s="180"/>
      <c r="CQ102" s="180"/>
      <c r="CR102" s="180"/>
      <c r="CS102" s="180"/>
      <c r="CT102" s="180"/>
      <c r="CU102" s="180"/>
    </row>
    <row r="103" spans="1:99" x14ac:dyDescent="0.3">
      <c r="A103" s="155">
        <v>503</v>
      </c>
      <c r="B103" s="180" t="s">
        <v>178</v>
      </c>
      <c r="C103" s="180"/>
      <c r="D103" s="180">
        <v>69375</v>
      </c>
      <c r="E103" s="180">
        <v>44081921</v>
      </c>
      <c r="F103" s="180"/>
      <c r="G103" s="180"/>
      <c r="H103" s="180">
        <v>961532</v>
      </c>
      <c r="I103" s="180">
        <v>0</v>
      </c>
      <c r="J103" s="180"/>
      <c r="K103" s="180">
        <v>0</v>
      </c>
      <c r="L103" s="180">
        <v>325839</v>
      </c>
      <c r="M103" s="180">
        <v>1745809</v>
      </c>
      <c r="N103" s="180">
        <v>0</v>
      </c>
      <c r="O103" s="180">
        <v>24550</v>
      </c>
      <c r="P103" s="180"/>
      <c r="Q103" s="180">
        <v>0</v>
      </c>
      <c r="R103" s="180">
        <v>0</v>
      </c>
      <c r="S103" s="180">
        <v>278781</v>
      </c>
      <c r="T103" s="180">
        <v>0</v>
      </c>
      <c r="U103" s="180"/>
      <c r="V103" s="180"/>
      <c r="W103" s="180"/>
      <c r="X103" s="180">
        <v>123768</v>
      </c>
      <c r="Y103" s="180">
        <v>0</v>
      </c>
      <c r="Z103" s="180">
        <v>9557258</v>
      </c>
      <c r="AA103" s="180">
        <v>0</v>
      </c>
      <c r="AB103" s="180">
        <v>14175</v>
      </c>
      <c r="AC103" s="180">
        <v>72737</v>
      </c>
      <c r="AD103" s="180">
        <v>97955</v>
      </c>
      <c r="AE103" s="180">
        <v>262695</v>
      </c>
      <c r="AF103" s="180">
        <v>80469</v>
      </c>
      <c r="AG103" s="180">
        <v>0</v>
      </c>
      <c r="AH103" s="180">
        <v>3074841</v>
      </c>
      <c r="AI103" s="180">
        <v>0</v>
      </c>
      <c r="AJ103" s="180">
        <v>0</v>
      </c>
      <c r="AK103" s="180">
        <v>0</v>
      </c>
      <c r="AL103" s="180">
        <v>0</v>
      </c>
      <c r="AM103" s="180">
        <v>0</v>
      </c>
      <c r="AN103" s="180">
        <v>15990</v>
      </c>
      <c r="AO103" s="180">
        <v>7993332</v>
      </c>
      <c r="AP103" s="180">
        <v>255067</v>
      </c>
      <c r="AQ103" s="180">
        <v>0</v>
      </c>
      <c r="AR103" s="180">
        <v>17080</v>
      </c>
      <c r="AS103" s="180">
        <v>731032</v>
      </c>
      <c r="AT103" s="180">
        <v>46167</v>
      </c>
      <c r="AU103" s="180">
        <v>103142</v>
      </c>
      <c r="AV103" s="180">
        <v>107298</v>
      </c>
      <c r="AW103" s="180">
        <v>0</v>
      </c>
      <c r="AX103" s="180">
        <v>0</v>
      </c>
      <c r="AY103" s="180">
        <v>0</v>
      </c>
      <c r="AZ103" s="180">
        <v>98460</v>
      </c>
      <c r="BA103" s="180">
        <v>0</v>
      </c>
      <c r="BB103" s="180">
        <v>8561</v>
      </c>
      <c r="BC103" s="180">
        <v>5935</v>
      </c>
      <c r="BD103" s="180">
        <v>150503</v>
      </c>
      <c r="BE103" s="180">
        <v>335848</v>
      </c>
      <c r="BF103" s="180">
        <v>592006</v>
      </c>
      <c r="BG103" s="180"/>
      <c r="BH103" s="180">
        <v>0</v>
      </c>
      <c r="BI103" s="180">
        <v>25956</v>
      </c>
      <c r="BJ103" s="180">
        <v>854674</v>
      </c>
      <c r="BK103" s="180">
        <v>75312</v>
      </c>
      <c r="BL103" s="180">
        <v>1753372</v>
      </c>
      <c r="BM103" s="180">
        <v>0</v>
      </c>
      <c r="BN103" s="180">
        <v>3811196</v>
      </c>
      <c r="BO103" s="180">
        <v>7023812</v>
      </c>
      <c r="BP103" s="180"/>
      <c r="BQ103" s="180">
        <v>0</v>
      </c>
      <c r="BR103" s="180"/>
      <c r="BS103" s="180">
        <v>60000</v>
      </c>
      <c r="BT103" s="180">
        <v>43932</v>
      </c>
      <c r="BU103" s="180"/>
      <c r="BV103" s="180">
        <v>57103</v>
      </c>
      <c r="BW103" s="180"/>
      <c r="BX103" s="180"/>
      <c r="BY103" s="180"/>
      <c r="BZ103" s="180"/>
      <c r="CA103" s="180"/>
      <c r="CB103" s="180"/>
      <c r="CC103" s="180"/>
      <c r="CD103" s="180"/>
      <c r="CE103" s="180"/>
      <c r="CF103" s="180"/>
      <c r="CG103" s="180"/>
      <c r="CH103" s="180"/>
      <c r="CI103" s="180"/>
      <c r="CJ103" s="180"/>
      <c r="CK103" s="180"/>
      <c r="CL103" s="180"/>
      <c r="CM103" s="180"/>
      <c r="CN103" s="180"/>
      <c r="CO103" s="180"/>
      <c r="CP103" s="180"/>
      <c r="CQ103" s="180"/>
      <c r="CR103" s="180"/>
      <c r="CS103" s="180"/>
      <c r="CT103" s="180"/>
      <c r="CU103" s="180"/>
    </row>
    <row r="104" spans="1:99" x14ac:dyDescent="0.3">
      <c r="A104" s="155">
        <v>504</v>
      </c>
      <c r="B104" s="180" t="s">
        <v>182</v>
      </c>
      <c r="C104" s="180"/>
      <c r="D104" s="180">
        <v>1087854</v>
      </c>
      <c r="E104" s="180">
        <v>77541506</v>
      </c>
      <c r="F104" s="180"/>
      <c r="G104" s="180"/>
      <c r="H104" s="180">
        <v>150124</v>
      </c>
      <c r="I104" s="180">
        <v>10155</v>
      </c>
      <c r="J104" s="180"/>
      <c r="K104" s="180">
        <v>250000</v>
      </c>
      <c r="L104" s="180">
        <v>753796</v>
      </c>
      <c r="M104" s="180">
        <v>847345</v>
      </c>
      <c r="N104" s="180">
        <v>43222</v>
      </c>
      <c r="O104" s="180">
        <v>173428</v>
      </c>
      <c r="P104" s="180"/>
      <c r="Q104" s="180">
        <v>124996</v>
      </c>
      <c r="R104" s="180">
        <v>69723</v>
      </c>
      <c r="S104" s="180">
        <v>820652</v>
      </c>
      <c r="T104" s="180">
        <v>5788601</v>
      </c>
      <c r="U104" s="180"/>
      <c r="V104" s="180"/>
      <c r="W104" s="180"/>
      <c r="X104" s="180">
        <v>465293</v>
      </c>
      <c r="Y104" s="180">
        <v>274165</v>
      </c>
      <c r="Z104" s="180">
        <v>8209652</v>
      </c>
      <c r="AA104" s="180">
        <v>111518</v>
      </c>
      <c r="AB104" s="180">
        <v>19031</v>
      </c>
      <c r="AC104" s="180">
        <v>19244</v>
      </c>
      <c r="AD104" s="180">
        <v>159828</v>
      </c>
      <c r="AE104" s="180">
        <v>245979</v>
      </c>
      <c r="AF104" s="180">
        <v>95612</v>
      </c>
      <c r="AG104" s="180">
        <v>165907</v>
      </c>
      <c r="AH104" s="180">
        <v>1357653</v>
      </c>
      <c r="AI104" s="180">
        <v>8396</v>
      </c>
      <c r="AJ104" s="180">
        <v>843126</v>
      </c>
      <c r="AK104" s="180">
        <v>13421</v>
      </c>
      <c r="AL104" s="180">
        <v>47112</v>
      </c>
      <c r="AM104" s="180">
        <v>880025</v>
      </c>
      <c r="AN104" s="180">
        <v>84857</v>
      </c>
      <c r="AO104" s="180">
        <v>4751078</v>
      </c>
      <c r="AP104" s="180">
        <v>45706</v>
      </c>
      <c r="AQ104" s="180">
        <v>11128</v>
      </c>
      <c r="AR104" s="180">
        <v>13986</v>
      </c>
      <c r="AS104" s="180">
        <v>3154193</v>
      </c>
      <c r="AT104" s="180">
        <v>13581</v>
      </c>
      <c r="AU104" s="180">
        <v>395194</v>
      </c>
      <c r="AV104" s="180">
        <v>383220</v>
      </c>
      <c r="AW104" s="180">
        <v>44292</v>
      </c>
      <c r="AX104" s="180">
        <v>35601</v>
      </c>
      <c r="AY104" s="180">
        <v>74510</v>
      </c>
      <c r="AZ104" s="180">
        <v>1170504</v>
      </c>
      <c r="BA104" s="180">
        <v>123304</v>
      </c>
      <c r="BB104" s="180">
        <v>3469</v>
      </c>
      <c r="BC104" s="180">
        <v>7931</v>
      </c>
      <c r="BD104" s="180">
        <v>305279</v>
      </c>
      <c r="BE104" s="180">
        <v>55123</v>
      </c>
      <c r="BF104" s="180">
        <v>1938770</v>
      </c>
      <c r="BG104" s="180"/>
      <c r="BH104" s="180">
        <v>35914</v>
      </c>
      <c r="BI104" s="180">
        <v>9296</v>
      </c>
      <c r="BJ104" s="180">
        <v>623779</v>
      </c>
      <c r="BK104" s="180">
        <v>49158</v>
      </c>
      <c r="BL104" s="180">
        <v>727120</v>
      </c>
      <c r="BM104" s="180">
        <v>507933</v>
      </c>
      <c r="BN104" s="180">
        <v>454226</v>
      </c>
      <c r="BO104" s="180">
        <v>74914</v>
      </c>
      <c r="BP104" s="180"/>
      <c r="BQ104" s="180">
        <v>126537</v>
      </c>
      <c r="BR104" s="180"/>
      <c r="BS104" s="180">
        <v>566415</v>
      </c>
      <c r="BT104" s="180">
        <v>75320</v>
      </c>
      <c r="BU104" s="180"/>
      <c r="BV104" s="180">
        <v>470542</v>
      </c>
      <c r="BW104" s="180"/>
      <c r="BX104" s="180"/>
      <c r="BY104" s="180"/>
      <c r="BZ104" s="180"/>
      <c r="CA104" s="180"/>
      <c r="CB104" s="180"/>
      <c r="CC104" s="180"/>
      <c r="CD104" s="180"/>
      <c r="CE104" s="180"/>
      <c r="CF104" s="180"/>
      <c r="CG104" s="180"/>
      <c r="CH104" s="180"/>
      <c r="CI104" s="180"/>
      <c r="CJ104" s="180"/>
      <c r="CK104" s="180"/>
      <c r="CL104" s="180"/>
      <c r="CM104" s="180"/>
      <c r="CN104" s="180"/>
      <c r="CO104" s="180"/>
      <c r="CP104" s="180"/>
      <c r="CQ104" s="180"/>
      <c r="CR104" s="180"/>
      <c r="CS104" s="180"/>
      <c r="CT104" s="180"/>
      <c r="CU104" s="180"/>
    </row>
    <row r="105" spans="1:99" x14ac:dyDescent="0.3">
      <c r="A105" s="155">
        <v>505</v>
      </c>
      <c r="B105" s="180" t="s">
        <v>183</v>
      </c>
      <c r="C105" s="180"/>
      <c r="D105" s="180">
        <v>0</v>
      </c>
      <c r="E105" s="180">
        <v>40265865</v>
      </c>
      <c r="F105" s="180"/>
      <c r="G105" s="180"/>
      <c r="H105" s="180">
        <v>0</v>
      </c>
      <c r="I105" s="180">
        <v>0</v>
      </c>
      <c r="J105" s="180"/>
      <c r="K105" s="180">
        <v>0</v>
      </c>
      <c r="L105" s="180">
        <v>0</v>
      </c>
      <c r="M105" s="180">
        <v>305341</v>
      </c>
      <c r="N105" s="180">
        <v>0</v>
      </c>
      <c r="O105" s="180">
        <v>0</v>
      </c>
      <c r="P105" s="180"/>
      <c r="Q105" s="180">
        <v>0</v>
      </c>
      <c r="R105" s="180">
        <v>0</v>
      </c>
      <c r="S105" s="180">
        <v>0</v>
      </c>
      <c r="T105" s="180">
        <v>0</v>
      </c>
      <c r="U105" s="180"/>
      <c r="V105" s="180"/>
      <c r="W105" s="180"/>
      <c r="X105" s="180">
        <v>1616276</v>
      </c>
      <c r="Y105" s="180">
        <v>19000</v>
      </c>
      <c r="Z105" s="180">
        <v>652759</v>
      </c>
      <c r="AA105" s="180">
        <v>4442007</v>
      </c>
      <c r="AB105" s="180">
        <v>0</v>
      </c>
      <c r="AC105" s="180">
        <v>0</v>
      </c>
      <c r="AD105" s="180">
        <v>0</v>
      </c>
      <c r="AE105" s="180">
        <v>0</v>
      </c>
      <c r="AF105" s="180">
        <v>130501</v>
      </c>
      <c r="AG105" s="180">
        <v>328316</v>
      </c>
      <c r="AH105" s="180">
        <v>0</v>
      </c>
      <c r="AI105" s="180">
        <v>0</v>
      </c>
      <c r="AJ105" s="180">
        <v>0</v>
      </c>
      <c r="AK105" s="180">
        <v>0</v>
      </c>
      <c r="AL105" s="180">
        <v>400250</v>
      </c>
      <c r="AM105" s="180">
        <v>0</v>
      </c>
      <c r="AN105" s="180">
        <v>0</v>
      </c>
      <c r="AO105" s="180">
        <v>11690837</v>
      </c>
      <c r="AP105" s="180">
        <v>0</v>
      </c>
      <c r="AQ105" s="180">
        <v>0</v>
      </c>
      <c r="AR105" s="180">
        <v>0</v>
      </c>
      <c r="AS105" s="180">
        <v>3524217</v>
      </c>
      <c r="AT105" s="180">
        <v>0</v>
      </c>
      <c r="AU105" s="180">
        <v>0</v>
      </c>
      <c r="AV105" s="180">
        <v>0</v>
      </c>
      <c r="AW105" s="180">
        <v>0</v>
      </c>
      <c r="AX105" s="180">
        <v>654555</v>
      </c>
      <c r="AY105" s="180">
        <v>117670</v>
      </c>
      <c r="AZ105" s="180">
        <v>304103</v>
      </c>
      <c r="BA105" s="180">
        <v>0</v>
      </c>
      <c r="BB105" s="180">
        <v>0</v>
      </c>
      <c r="BC105" s="180">
        <v>0</v>
      </c>
      <c r="BD105" s="180">
        <v>745098</v>
      </c>
      <c r="BE105" s="180">
        <v>50000</v>
      </c>
      <c r="BF105" s="180">
        <v>1794576</v>
      </c>
      <c r="BG105" s="180"/>
      <c r="BH105" s="180">
        <v>335747</v>
      </c>
      <c r="BI105" s="180">
        <v>0</v>
      </c>
      <c r="BJ105" s="180">
        <v>169952</v>
      </c>
      <c r="BK105" s="180">
        <v>0</v>
      </c>
      <c r="BL105" s="180">
        <v>39960</v>
      </c>
      <c r="BM105" s="180">
        <v>143450</v>
      </c>
      <c r="BN105" s="180">
        <v>0</v>
      </c>
      <c r="BO105" s="180">
        <v>131977</v>
      </c>
      <c r="BP105" s="180"/>
      <c r="BQ105" s="180">
        <v>336888</v>
      </c>
      <c r="BR105" s="180"/>
      <c r="BS105" s="180">
        <v>181754</v>
      </c>
      <c r="BT105" s="180">
        <v>0</v>
      </c>
      <c r="BU105" s="180"/>
      <c r="BV105" s="180">
        <v>650000</v>
      </c>
      <c r="BW105" s="180"/>
      <c r="BX105" s="180"/>
      <c r="BY105" s="180"/>
      <c r="BZ105" s="180"/>
      <c r="CA105" s="180"/>
      <c r="CB105" s="180"/>
      <c r="CC105" s="180"/>
      <c r="CD105" s="180"/>
      <c r="CE105" s="180"/>
      <c r="CF105" s="180"/>
      <c r="CG105" s="180"/>
      <c r="CH105" s="180"/>
      <c r="CI105" s="180"/>
      <c r="CJ105" s="180"/>
      <c r="CK105" s="180"/>
      <c r="CL105" s="180"/>
      <c r="CM105" s="180"/>
      <c r="CN105" s="180"/>
      <c r="CO105" s="180"/>
      <c r="CP105" s="180"/>
      <c r="CQ105" s="180"/>
      <c r="CR105" s="180"/>
      <c r="CS105" s="180"/>
      <c r="CT105" s="180"/>
      <c r="CU105" s="180"/>
    </row>
    <row r="106" spans="1:99" x14ac:dyDescent="0.3">
      <c r="A106" s="155">
        <v>506</v>
      </c>
      <c r="B106" s="180" t="s">
        <v>189</v>
      </c>
      <c r="C106" s="180"/>
      <c r="D106" s="180">
        <v>8760189</v>
      </c>
      <c r="E106" s="180">
        <v>360750806</v>
      </c>
      <c r="F106" s="180"/>
      <c r="G106" s="180"/>
      <c r="H106" s="180">
        <v>1632179</v>
      </c>
      <c r="I106" s="180">
        <v>74302</v>
      </c>
      <c r="J106" s="180"/>
      <c r="K106" s="180">
        <v>8029553</v>
      </c>
      <c r="L106" s="180">
        <v>1934212</v>
      </c>
      <c r="M106" s="180">
        <v>12375584</v>
      </c>
      <c r="N106" s="180">
        <v>844936</v>
      </c>
      <c r="O106" s="180">
        <v>1195309</v>
      </c>
      <c r="P106" s="180"/>
      <c r="Q106" s="180">
        <v>794787</v>
      </c>
      <c r="R106" s="180">
        <v>1238164</v>
      </c>
      <c r="S106" s="180">
        <v>1213491</v>
      </c>
      <c r="T106" s="180">
        <v>6928558</v>
      </c>
      <c r="U106" s="180"/>
      <c r="V106" s="180"/>
      <c r="W106" s="180"/>
      <c r="X106" s="180">
        <v>4932308</v>
      </c>
      <c r="Y106" s="180">
        <v>1745534</v>
      </c>
      <c r="Z106" s="180">
        <v>34122410</v>
      </c>
      <c r="AA106" s="180">
        <v>8787676</v>
      </c>
      <c r="AB106" s="180">
        <v>231263</v>
      </c>
      <c r="AC106" s="180">
        <v>539592</v>
      </c>
      <c r="AD106" s="180">
        <v>1055360</v>
      </c>
      <c r="AE106" s="180">
        <v>2193092</v>
      </c>
      <c r="AF106" s="180">
        <v>478535</v>
      </c>
      <c r="AG106" s="180">
        <v>449928</v>
      </c>
      <c r="AH106" s="180">
        <v>3555423</v>
      </c>
      <c r="AI106" s="180">
        <v>295952</v>
      </c>
      <c r="AJ106" s="180">
        <v>3670158</v>
      </c>
      <c r="AK106" s="180">
        <v>636593</v>
      </c>
      <c r="AL106" s="180">
        <v>945618</v>
      </c>
      <c r="AM106" s="180">
        <v>1834795</v>
      </c>
      <c r="AN106" s="180">
        <v>707939</v>
      </c>
      <c r="AO106" s="180">
        <v>22851036</v>
      </c>
      <c r="AP106" s="180">
        <v>1342449</v>
      </c>
      <c r="AQ106" s="180">
        <v>702278</v>
      </c>
      <c r="AR106" s="180">
        <v>693999</v>
      </c>
      <c r="AS106" s="180">
        <v>23662166</v>
      </c>
      <c r="AT106" s="180">
        <v>388990</v>
      </c>
      <c r="AU106" s="180">
        <v>6457762</v>
      </c>
      <c r="AV106" s="180">
        <v>1340611</v>
      </c>
      <c r="AW106" s="180">
        <v>404078</v>
      </c>
      <c r="AX106" s="180">
        <v>253023</v>
      </c>
      <c r="AY106" s="180">
        <v>497585</v>
      </c>
      <c r="AZ106" s="180">
        <v>4916489</v>
      </c>
      <c r="BA106" s="180">
        <v>1124355</v>
      </c>
      <c r="BB106" s="180">
        <v>173677</v>
      </c>
      <c r="BC106" s="180">
        <v>1432382</v>
      </c>
      <c r="BD106" s="180">
        <v>7677116</v>
      </c>
      <c r="BE106" s="180">
        <v>1105446</v>
      </c>
      <c r="BF106" s="180">
        <v>9061559</v>
      </c>
      <c r="BG106" s="180"/>
      <c r="BH106" s="180">
        <v>302822</v>
      </c>
      <c r="BI106" s="180">
        <v>471752</v>
      </c>
      <c r="BJ106" s="180">
        <v>13463298</v>
      </c>
      <c r="BK106" s="180">
        <v>1610717</v>
      </c>
      <c r="BL106" s="180">
        <v>13245019</v>
      </c>
      <c r="BM106" s="180">
        <v>8633551</v>
      </c>
      <c r="BN106" s="180">
        <v>6690147</v>
      </c>
      <c r="BO106" s="180">
        <v>2862293</v>
      </c>
      <c r="BP106" s="180"/>
      <c r="BQ106" s="180">
        <v>2425602</v>
      </c>
      <c r="BR106" s="180"/>
      <c r="BS106" s="180">
        <v>2191913</v>
      </c>
      <c r="BT106" s="180">
        <v>1257383</v>
      </c>
      <c r="BU106" s="180"/>
      <c r="BV106" s="180">
        <v>3994307</v>
      </c>
      <c r="BW106" s="180"/>
      <c r="BX106" s="180"/>
      <c r="BY106" s="180"/>
      <c r="BZ106" s="180"/>
      <c r="CA106" s="180"/>
      <c r="CB106" s="180"/>
      <c r="CC106" s="180"/>
      <c r="CD106" s="180"/>
      <c r="CE106" s="180"/>
      <c r="CF106" s="180"/>
      <c r="CG106" s="180"/>
      <c r="CH106" s="180"/>
      <c r="CI106" s="180"/>
      <c r="CJ106" s="180"/>
      <c r="CK106" s="180"/>
      <c r="CL106" s="180"/>
      <c r="CM106" s="180"/>
      <c r="CN106" s="180"/>
      <c r="CO106" s="180"/>
      <c r="CP106" s="180"/>
      <c r="CQ106" s="180"/>
      <c r="CR106" s="180"/>
      <c r="CS106" s="180"/>
      <c r="CT106" s="180"/>
      <c r="CU106" s="180"/>
    </row>
    <row r="107" spans="1:99" x14ac:dyDescent="0.3">
      <c r="A107" s="155">
        <v>507</v>
      </c>
      <c r="B107" s="180" t="s">
        <v>925</v>
      </c>
      <c r="C107" s="180"/>
      <c r="D107" s="180">
        <v>0</v>
      </c>
      <c r="E107" s="180">
        <v>0</v>
      </c>
      <c r="F107" s="180"/>
      <c r="G107" s="180"/>
      <c r="H107" s="180">
        <v>0</v>
      </c>
      <c r="I107" s="180">
        <v>0</v>
      </c>
      <c r="J107" s="180"/>
      <c r="K107" s="180">
        <v>0</v>
      </c>
      <c r="L107" s="180">
        <v>0</v>
      </c>
      <c r="M107" s="180">
        <v>-86949</v>
      </c>
      <c r="N107" s="180">
        <v>0</v>
      </c>
      <c r="O107" s="180">
        <v>0</v>
      </c>
      <c r="P107" s="180"/>
      <c r="Q107" s="180">
        <v>0</v>
      </c>
      <c r="R107" s="180">
        <v>0</v>
      </c>
      <c r="S107" s="180">
        <v>0</v>
      </c>
      <c r="T107" s="180">
        <v>0</v>
      </c>
      <c r="U107" s="180"/>
      <c r="V107" s="180"/>
      <c r="W107" s="180"/>
      <c r="X107" s="180">
        <v>0</v>
      </c>
      <c r="Y107" s="180">
        <v>0</v>
      </c>
      <c r="Z107" s="180">
        <v>0</v>
      </c>
      <c r="AA107" s="180">
        <v>0</v>
      </c>
      <c r="AB107" s="180">
        <v>0</v>
      </c>
      <c r="AC107" s="180">
        <v>0</v>
      </c>
      <c r="AD107" s="180">
        <v>0</v>
      </c>
      <c r="AE107" s="180">
        <v>0</v>
      </c>
      <c r="AF107" s="180">
        <v>0</v>
      </c>
      <c r="AG107" s="180">
        <v>0</v>
      </c>
      <c r="AH107" s="180">
        <v>0</v>
      </c>
      <c r="AI107" s="180">
        <v>0</v>
      </c>
      <c r="AJ107" s="180">
        <v>45628</v>
      </c>
      <c r="AK107" s="180">
        <v>0</v>
      </c>
      <c r="AL107" s="180">
        <v>0</v>
      </c>
      <c r="AM107" s="180">
        <v>0</v>
      </c>
      <c r="AN107" s="180">
        <v>2970</v>
      </c>
      <c r="AO107" s="180">
        <v>0</v>
      </c>
      <c r="AP107" s="180">
        <v>0</v>
      </c>
      <c r="AQ107" s="180">
        <v>0</v>
      </c>
      <c r="AR107" s="180">
        <v>0</v>
      </c>
      <c r="AS107" s="180">
        <v>0</v>
      </c>
      <c r="AT107" s="180">
        <v>0</v>
      </c>
      <c r="AU107" s="180">
        <v>0</v>
      </c>
      <c r="AV107" s="180">
        <v>0</v>
      </c>
      <c r="AW107" s="180">
        <v>9</v>
      </c>
      <c r="AX107" s="180">
        <v>-141911</v>
      </c>
      <c r="AY107" s="180">
        <v>7801</v>
      </c>
      <c r="AZ107" s="180">
        <v>0</v>
      </c>
      <c r="BA107" s="180">
        <v>-35366</v>
      </c>
      <c r="BB107" s="180">
        <v>0</v>
      </c>
      <c r="BC107" s="180">
        <v>0</v>
      </c>
      <c r="BD107" s="180">
        <v>0</v>
      </c>
      <c r="BE107" s="180">
        <v>0</v>
      </c>
      <c r="BF107" s="180">
        <v>0</v>
      </c>
      <c r="BG107" s="180"/>
      <c r="BH107" s="180">
        <v>0</v>
      </c>
      <c r="BI107" s="180">
        <v>0</v>
      </c>
      <c r="BJ107" s="180">
        <v>287162</v>
      </c>
      <c r="BK107" s="180">
        <v>0</v>
      </c>
      <c r="BL107" s="180">
        <v>0</v>
      </c>
      <c r="BM107" s="180">
        <v>0</v>
      </c>
      <c r="BN107" s="180">
        <v>0</v>
      </c>
      <c r="BO107" s="180">
        <v>0</v>
      </c>
      <c r="BP107" s="180"/>
      <c r="BQ107" s="180">
        <v>0</v>
      </c>
      <c r="BR107" s="180"/>
      <c r="BS107" s="180">
        <v>0</v>
      </c>
      <c r="BT107" s="180">
        <v>0</v>
      </c>
      <c r="BU107" s="180"/>
      <c r="BV107" s="180">
        <v>0</v>
      </c>
      <c r="BW107" s="180"/>
      <c r="BX107" s="180"/>
      <c r="BY107" s="180"/>
      <c r="BZ107" s="180"/>
      <c r="CA107" s="180"/>
      <c r="CB107" s="180"/>
      <c r="CC107" s="180"/>
      <c r="CD107" s="180"/>
      <c r="CE107" s="180"/>
      <c r="CF107" s="180"/>
      <c r="CG107" s="180"/>
      <c r="CH107" s="180"/>
      <c r="CI107" s="180"/>
      <c r="CJ107" s="180"/>
      <c r="CK107" s="180"/>
      <c r="CL107" s="180"/>
      <c r="CM107" s="180"/>
      <c r="CN107" s="180"/>
      <c r="CO107" s="180"/>
      <c r="CP107" s="180"/>
      <c r="CQ107" s="180"/>
      <c r="CR107" s="180"/>
      <c r="CS107" s="180"/>
      <c r="CT107" s="180"/>
      <c r="CU107" s="180"/>
    </row>
    <row r="108" spans="1:99" x14ac:dyDescent="0.3">
      <c r="A108" s="155">
        <v>508</v>
      </c>
      <c r="B108" s="180" t="s">
        <v>204</v>
      </c>
      <c r="C108" s="180"/>
      <c r="D108" s="180">
        <v>0</v>
      </c>
      <c r="E108" s="180">
        <v>0</v>
      </c>
      <c r="F108" s="180"/>
      <c r="G108" s="180"/>
      <c r="H108" s="180">
        <v>0</v>
      </c>
      <c r="I108" s="180">
        <v>0</v>
      </c>
      <c r="J108" s="180"/>
      <c r="K108" s="180">
        <v>0</v>
      </c>
      <c r="L108" s="180">
        <v>0</v>
      </c>
      <c r="M108" s="180">
        <v>0</v>
      </c>
      <c r="N108" s="180">
        <v>0</v>
      </c>
      <c r="O108" s="180">
        <v>0</v>
      </c>
      <c r="P108" s="180"/>
      <c r="Q108" s="180">
        <v>0</v>
      </c>
      <c r="R108" s="180">
        <v>0</v>
      </c>
      <c r="S108" s="180">
        <v>0</v>
      </c>
      <c r="T108" s="180">
        <v>0</v>
      </c>
      <c r="U108" s="180"/>
      <c r="V108" s="180"/>
      <c r="W108" s="180"/>
      <c r="X108" s="180">
        <v>0</v>
      </c>
      <c r="Y108" s="180">
        <v>0</v>
      </c>
      <c r="Z108" s="180">
        <v>0</v>
      </c>
      <c r="AA108" s="180">
        <v>0</v>
      </c>
      <c r="AB108" s="180">
        <v>0</v>
      </c>
      <c r="AC108" s="180">
        <v>0</v>
      </c>
      <c r="AD108" s="180">
        <v>0</v>
      </c>
      <c r="AE108" s="180">
        <v>0</v>
      </c>
      <c r="AF108" s="180">
        <v>0</v>
      </c>
      <c r="AG108" s="180">
        <v>0</v>
      </c>
      <c r="AH108" s="180">
        <v>0</v>
      </c>
      <c r="AI108" s="180">
        <v>0</v>
      </c>
      <c r="AJ108" s="180">
        <v>0</v>
      </c>
      <c r="AK108" s="180">
        <v>0</v>
      </c>
      <c r="AL108" s="180">
        <v>0</v>
      </c>
      <c r="AM108" s="180">
        <v>0</v>
      </c>
      <c r="AN108" s="180">
        <v>0</v>
      </c>
      <c r="AO108" s="180">
        <v>0</v>
      </c>
      <c r="AP108" s="180">
        <v>0</v>
      </c>
      <c r="AQ108" s="180">
        <v>0</v>
      </c>
      <c r="AR108" s="180">
        <v>0</v>
      </c>
      <c r="AS108" s="180">
        <v>0</v>
      </c>
      <c r="AT108" s="180">
        <v>0</v>
      </c>
      <c r="AU108" s="180">
        <v>0</v>
      </c>
      <c r="AV108" s="180">
        <v>0</v>
      </c>
      <c r="AW108" s="180">
        <v>0</v>
      </c>
      <c r="AX108" s="180">
        <v>0</v>
      </c>
      <c r="AY108" s="180">
        <v>0</v>
      </c>
      <c r="AZ108" s="180">
        <v>0</v>
      </c>
      <c r="BA108" s="180">
        <v>0</v>
      </c>
      <c r="BB108" s="180">
        <v>0</v>
      </c>
      <c r="BC108" s="180">
        <v>0</v>
      </c>
      <c r="BD108" s="180">
        <v>0</v>
      </c>
      <c r="BE108" s="180">
        <v>0</v>
      </c>
      <c r="BF108" s="180">
        <v>0</v>
      </c>
      <c r="BG108" s="180"/>
      <c r="BH108" s="180">
        <v>0</v>
      </c>
      <c r="BI108" s="180">
        <v>0</v>
      </c>
      <c r="BJ108" s="180">
        <v>0</v>
      </c>
      <c r="BK108" s="180">
        <v>0</v>
      </c>
      <c r="BL108" s="180">
        <v>0</v>
      </c>
      <c r="BM108" s="180">
        <v>0</v>
      </c>
      <c r="BN108" s="180">
        <v>0</v>
      </c>
      <c r="BO108" s="180">
        <v>0</v>
      </c>
      <c r="BP108" s="180"/>
      <c r="BQ108" s="180">
        <v>0</v>
      </c>
      <c r="BR108" s="180"/>
      <c r="BS108" s="180">
        <v>0</v>
      </c>
      <c r="BT108" s="180">
        <v>0</v>
      </c>
      <c r="BU108" s="180"/>
      <c r="BV108" s="180">
        <v>0</v>
      </c>
      <c r="BW108" s="180"/>
      <c r="BX108" s="180"/>
      <c r="BY108" s="180"/>
      <c r="BZ108" s="180"/>
      <c r="CA108" s="180"/>
      <c r="CB108" s="180"/>
      <c r="CC108" s="180"/>
      <c r="CD108" s="180"/>
      <c r="CE108" s="180"/>
      <c r="CF108" s="180"/>
      <c r="CG108" s="180"/>
      <c r="CH108" s="180"/>
      <c r="CI108" s="180"/>
      <c r="CJ108" s="180"/>
      <c r="CK108" s="180"/>
      <c r="CL108" s="180"/>
      <c r="CM108" s="180"/>
      <c r="CN108" s="180"/>
      <c r="CO108" s="180"/>
      <c r="CP108" s="180"/>
      <c r="CQ108" s="180"/>
      <c r="CR108" s="180"/>
      <c r="CS108" s="180"/>
      <c r="CT108" s="180"/>
      <c r="CU108" s="180"/>
    </row>
    <row r="109" spans="1:99" x14ac:dyDescent="0.3">
      <c r="A109" s="155">
        <v>509</v>
      </c>
      <c r="B109" s="180" t="s">
        <v>205</v>
      </c>
      <c r="C109" s="180"/>
      <c r="D109" s="180">
        <v>0</v>
      </c>
      <c r="E109" s="180">
        <v>0</v>
      </c>
      <c r="F109" s="180"/>
      <c r="G109" s="180"/>
      <c r="H109" s="180">
        <v>0</v>
      </c>
      <c r="I109" s="180">
        <v>0</v>
      </c>
      <c r="J109" s="180"/>
      <c r="K109" s="180">
        <v>0</v>
      </c>
      <c r="L109" s="180">
        <v>0</v>
      </c>
      <c r="M109" s="180">
        <v>0</v>
      </c>
      <c r="N109" s="180">
        <v>0</v>
      </c>
      <c r="O109" s="180">
        <v>0</v>
      </c>
      <c r="P109" s="180"/>
      <c r="Q109" s="180">
        <v>0</v>
      </c>
      <c r="R109" s="180">
        <v>0</v>
      </c>
      <c r="S109" s="180">
        <v>0</v>
      </c>
      <c r="T109" s="180">
        <v>0</v>
      </c>
      <c r="U109" s="180"/>
      <c r="V109" s="180"/>
      <c r="W109" s="180"/>
      <c r="X109" s="180">
        <v>0</v>
      </c>
      <c r="Y109" s="180">
        <v>0</v>
      </c>
      <c r="Z109" s="180">
        <v>0</v>
      </c>
      <c r="AA109" s="180">
        <v>0</v>
      </c>
      <c r="AB109" s="180">
        <v>0</v>
      </c>
      <c r="AC109" s="180">
        <v>0</v>
      </c>
      <c r="AD109" s="180">
        <v>0</v>
      </c>
      <c r="AE109" s="180">
        <v>0</v>
      </c>
      <c r="AF109" s="180">
        <v>0</v>
      </c>
      <c r="AG109" s="180">
        <v>0</v>
      </c>
      <c r="AH109" s="180">
        <v>0</v>
      </c>
      <c r="AI109" s="180">
        <v>0</v>
      </c>
      <c r="AJ109" s="180">
        <v>0</v>
      </c>
      <c r="AK109" s="180">
        <v>0</v>
      </c>
      <c r="AL109" s="180">
        <v>0</v>
      </c>
      <c r="AM109" s="180">
        <v>0</v>
      </c>
      <c r="AN109" s="180">
        <v>0</v>
      </c>
      <c r="AO109" s="180">
        <v>0</v>
      </c>
      <c r="AP109" s="180">
        <v>0</v>
      </c>
      <c r="AQ109" s="180">
        <v>0</v>
      </c>
      <c r="AR109" s="180">
        <v>0</v>
      </c>
      <c r="AS109" s="180">
        <v>0</v>
      </c>
      <c r="AT109" s="180">
        <v>0</v>
      </c>
      <c r="AU109" s="180">
        <v>0</v>
      </c>
      <c r="AV109" s="180">
        <v>0</v>
      </c>
      <c r="AW109" s="180">
        <v>0</v>
      </c>
      <c r="AX109" s="180">
        <v>0</v>
      </c>
      <c r="AY109" s="180">
        <v>0</v>
      </c>
      <c r="AZ109" s="180">
        <v>0</v>
      </c>
      <c r="BA109" s="180">
        <v>0</v>
      </c>
      <c r="BB109" s="180">
        <v>0</v>
      </c>
      <c r="BC109" s="180">
        <v>0</v>
      </c>
      <c r="BD109" s="180">
        <v>0</v>
      </c>
      <c r="BE109" s="180">
        <v>0</v>
      </c>
      <c r="BF109" s="180">
        <v>0</v>
      </c>
      <c r="BG109" s="180"/>
      <c r="BH109" s="180">
        <v>0</v>
      </c>
      <c r="BI109" s="180">
        <v>0</v>
      </c>
      <c r="BJ109" s="180">
        <v>0</v>
      </c>
      <c r="BK109" s="180">
        <v>0</v>
      </c>
      <c r="BL109" s="180">
        <v>0</v>
      </c>
      <c r="BM109" s="180">
        <v>0</v>
      </c>
      <c r="BN109" s="180">
        <v>0</v>
      </c>
      <c r="BO109" s="180">
        <v>0</v>
      </c>
      <c r="BP109" s="180"/>
      <c r="BQ109" s="180">
        <v>0</v>
      </c>
      <c r="BR109" s="180"/>
      <c r="BS109" s="180">
        <v>0</v>
      </c>
      <c r="BT109" s="180">
        <v>0</v>
      </c>
      <c r="BU109" s="180"/>
      <c r="BV109" s="180">
        <v>0</v>
      </c>
      <c r="BW109" s="180"/>
      <c r="BX109" s="180"/>
      <c r="BY109" s="180"/>
      <c r="BZ109" s="180"/>
      <c r="CA109" s="180"/>
      <c r="CB109" s="180"/>
      <c r="CC109" s="180"/>
      <c r="CD109" s="180"/>
      <c r="CE109" s="180"/>
      <c r="CF109" s="180"/>
      <c r="CG109" s="180"/>
      <c r="CH109" s="180"/>
      <c r="CI109" s="180"/>
      <c r="CJ109" s="180"/>
      <c r="CK109" s="180"/>
      <c r="CL109" s="180"/>
      <c r="CM109" s="180"/>
      <c r="CN109" s="180"/>
      <c r="CO109" s="180"/>
      <c r="CP109" s="180"/>
      <c r="CQ109" s="180"/>
      <c r="CR109" s="180"/>
      <c r="CS109" s="180"/>
      <c r="CT109" s="180"/>
      <c r="CU109" s="180"/>
    </row>
    <row r="110" spans="1:99" x14ac:dyDescent="0.3">
      <c r="A110" s="155">
        <v>510</v>
      </c>
      <c r="B110" s="180" t="s">
        <v>211</v>
      </c>
      <c r="C110" s="180"/>
      <c r="D110" s="180">
        <v>15545</v>
      </c>
      <c r="E110" s="180">
        <v>12673119</v>
      </c>
      <c r="F110" s="180"/>
      <c r="G110" s="180"/>
      <c r="H110" s="180">
        <v>0</v>
      </c>
      <c r="I110" s="180">
        <v>0</v>
      </c>
      <c r="J110" s="180"/>
      <c r="K110" s="180">
        <v>0</v>
      </c>
      <c r="L110" s="180">
        <v>99782</v>
      </c>
      <c r="M110" s="180">
        <v>228059</v>
      </c>
      <c r="N110" s="180">
        <v>0</v>
      </c>
      <c r="O110" s="180">
        <v>0</v>
      </c>
      <c r="P110" s="180"/>
      <c r="Q110" s="180">
        <v>0</v>
      </c>
      <c r="R110" s="180">
        <v>0</v>
      </c>
      <c r="S110" s="180">
        <v>0</v>
      </c>
      <c r="T110" s="180">
        <v>0</v>
      </c>
      <c r="U110" s="180"/>
      <c r="V110" s="180"/>
      <c r="W110" s="180"/>
      <c r="X110" s="180">
        <v>148863</v>
      </c>
      <c r="Y110" s="180">
        <v>0</v>
      </c>
      <c r="Z110" s="180">
        <v>186238</v>
      </c>
      <c r="AA110" s="180">
        <v>0</v>
      </c>
      <c r="AB110" s="180">
        <v>0</v>
      </c>
      <c r="AC110" s="180">
        <v>0</v>
      </c>
      <c r="AD110" s="180">
        <v>0</v>
      </c>
      <c r="AE110" s="180">
        <v>0</v>
      </c>
      <c r="AF110" s="180">
        <v>0</v>
      </c>
      <c r="AG110" s="180">
        <v>4750</v>
      </c>
      <c r="AH110" s="180">
        <v>0</v>
      </c>
      <c r="AI110" s="180">
        <v>0</v>
      </c>
      <c r="AJ110" s="180">
        <v>0</v>
      </c>
      <c r="AK110" s="180">
        <v>0</v>
      </c>
      <c r="AL110" s="180">
        <v>0</v>
      </c>
      <c r="AM110" s="180">
        <v>0</v>
      </c>
      <c r="AN110" s="180">
        <v>0</v>
      </c>
      <c r="AO110" s="180">
        <v>896157</v>
      </c>
      <c r="AP110" s="180">
        <v>0</v>
      </c>
      <c r="AQ110" s="180">
        <v>0</v>
      </c>
      <c r="AR110" s="180">
        <v>0</v>
      </c>
      <c r="AS110" s="180">
        <v>190991</v>
      </c>
      <c r="AT110" s="180">
        <v>0</v>
      </c>
      <c r="AU110" s="180">
        <v>114480</v>
      </c>
      <c r="AV110" s="180">
        <v>31532</v>
      </c>
      <c r="AW110" s="180">
        <v>0</v>
      </c>
      <c r="AX110" s="180">
        <v>0</v>
      </c>
      <c r="AY110" s="180">
        <v>0</v>
      </c>
      <c r="AZ110" s="180">
        <v>101268</v>
      </c>
      <c r="BA110" s="180">
        <v>0</v>
      </c>
      <c r="BB110" s="180">
        <v>0</v>
      </c>
      <c r="BC110" s="180">
        <v>0</v>
      </c>
      <c r="BD110" s="180">
        <v>176242</v>
      </c>
      <c r="BE110" s="180">
        <v>30713</v>
      </c>
      <c r="BF110" s="180">
        <v>731194</v>
      </c>
      <c r="BG110" s="180"/>
      <c r="BH110" s="180">
        <v>0</v>
      </c>
      <c r="BI110" s="180">
        <v>0</v>
      </c>
      <c r="BJ110" s="180">
        <v>233352</v>
      </c>
      <c r="BK110" s="180">
        <v>32046</v>
      </c>
      <c r="BL110" s="180">
        <v>0</v>
      </c>
      <c r="BM110" s="180">
        <v>0</v>
      </c>
      <c r="BN110" s="180">
        <v>0</v>
      </c>
      <c r="BO110" s="180">
        <v>46645</v>
      </c>
      <c r="BP110" s="180"/>
      <c r="BQ110" s="180">
        <v>0</v>
      </c>
      <c r="BR110" s="180"/>
      <c r="BS110" s="180">
        <v>0</v>
      </c>
      <c r="BT110" s="180">
        <v>500</v>
      </c>
      <c r="BU110" s="180"/>
      <c r="BV110" s="180">
        <v>0</v>
      </c>
      <c r="BW110" s="180"/>
      <c r="BX110" s="180"/>
      <c r="BY110" s="180"/>
      <c r="BZ110" s="180"/>
      <c r="CA110" s="180"/>
      <c r="CB110" s="180"/>
      <c r="CC110" s="180"/>
      <c r="CD110" s="180"/>
      <c r="CE110" s="180"/>
      <c r="CF110" s="180"/>
      <c r="CG110" s="180"/>
      <c r="CH110" s="180"/>
      <c r="CI110" s="180"/>
      <c r="CJ110" s="180"/>
      <c r="CK110" s="180"/>
      <c r="CL110" s="180"/>
      <c r="CM110" s="180"/>
      <c r="CN110" s="180"/>
      <c r="CO110" s="180"/>
      <c r="CP110" s="180"/>
      <c r="CQ110" s="180"/>
      <c r="CR110" s="180"/>
      <c r="CS110" s="180"/>
      <c r="CT110" s="180"/>
      <c r="CU110" s="180"/>
    </row>
    <row r="111" spans="1:99" x14ac:dyDescent="0.3">
      <c r="A111" s="155">
        <v>511</v>
      </c>
      <c r="B111" s="180" t="s">
        <v>216</v>
      </c>
      <c r="C111" s="180"/>
      <c r="D111" s="180">
        <v>0</v>
      </c>
      <c r="E111" s="180">
        <v>0</v>
      </c>
      <c r="F111" s="180"/>
      <c r="G111" s="180"/>
      <c r="H111" s="180">
        <v>0</v>
      </c>
      <c r="I111" s="180">
        <v>0</v>
      </c>
      <c r="J111" s="180"/>
      <c r="K111" s="180">
        <v>0</v>
      </c>
      <c r="L111" s="180">
        <v>420651</v>
      </c>
      <c r="M111" s="180">
        <v>0</v>
      </c>
      <c r="N111" s="180">
        <v>0</v>
      </c>
      <c r="O111" s="180">
        <v>0</v>
      </c>
      <c r="P111" s="180"/>
      <c r="Q111" s="180">
        <v>0</v>
      </c>
      <c r="R111" s="180">
        <v>0</v>
      </c>
      <c r="S111" s="180">
        <v>0</v>
      </c>
      <c r="T111" s="180">
        <v>0</v>
      </c>
      <c r="U111" s="180"/>
      <c r="V111" s="180"/>
      <c r="W111" s="180"/>
      <c r="X111" s="180">
        <v>0</v>
      </c>
      <c r="Y111" s="180">
        <v>0</v>
      </c>
      <c r="Z111" s="180">
        <v>1601368</v>
      </c>
      <c r="AA111" s="180">
        <v>0</v>
      </c>
      <c r="AB111" s="180">
        <v>0</v>
      </c>
      <c r="AC111" s="180">
        <v>0</v>
      </c>
      <c r="AD111" s="180">
        <v>0</v>
      </c>
      <c r="AE111" s="180">
        <v>0</v>
      </c>
      <c r="AF111" s="180">
        <v>0</v>
      </c>
      <c r="AG111" s="180">
        <v>0</v>
      </c>
      <c r="AH111" s="180">
        <v>0</v>
      </c>
      <c r="AI111" s="180">
        <v>0</v>
      </c>
      <c r="AJ111" s="180">
        <v>0</v>
      </c>
      <c r="AK111" s="180">
        <v>0</v>
      </c>
      <c r="AL111" s="180">
        <v>0</v>
      </c>
      <c r="AM111" s="180">
        <v>0</v>
      </c>
      <c r="AN111" s="180">
        <v>0</v>
      </c>
      <c r="AO111" s="180">
        <v>0</v>
      </c>
      <c r="AP111" s="180">
        <v>0</v>
      </c>
      <c r="AQ111" s="180">
        <v>0</v>
      </c>
      <c r="AR111" s="180">
        <v>0</v>
      </c>
      <c r="AS111" s="180">
        <v>0</v>
      </c>
      <c r="AT111" s="180">
        <v>0</v>
      </c>
      <c r="AU111" s="180">
        <v>0</v>
      </c>
      <c r="AV111" s="180">
        <v>311925</v>
      </c>
      <c r="AW111" s="180">
        <v>0</v>
      </c>
      <c r="AX111" s="180">
        <v>0</v>
      </c>
      <c r="AY111" s="180">
        <v>0</v>
      </c>
      <c r="AZ111" s="180">
        <v>309179</v>
      </c>
      <c r="BA111" s="180">
        <v>0</v>
      </c>
      <c r="BB111" s="180">
        <v>0</v>
      </c>
      <c r="BC111" s="180">
        <v>0</v>
      </c>
      <c r="BD111" s="180">
        <v>0</v>
      </c>
      <c r="BE111" s="180">
        <v>29976</v>
      </c>
      <c r="BF111" s="180">
        <v>1118686</v>
      </c>
      <c r="BG111" s="180"/>
      <c r="BH111" s="180">
        <v>0</v>
      </c>
      <c r="BI111" s="180">
        <v>0</v>
      </c>
      <c r="BJ111" s="180">
        <v>1481258</v>
      </c>
      <c r="BK111" s="180">
        <v>0</v>
      </c>
      <c r="BL111" s="180">
        <v>0</v>
      </c>
      <c r="BM111" s="180">
        <v>0</v>
      </c>
      <c r="BN111" s="180">
        <v>0</v>
      </c>
      <c r="BO111" s="180">
        <v>0</v>
      </c>
      <c r="BP111" s="180"/>
      <c r="BQ111" s="180">
        <v>0</v>
      </c>
      <c r="BR111" s="180"/>
      <c r="BS111" s="180">
        <v>0</v>
      </c>
      <c r="BT111" s="180">
        <v>0</v>
      </c>
      <c r="BU111" s="180"/>
      <c r="BV111" s="180">
        <v>0</v>
      </c>
      <c r="BW111" s="180"/>
      <c r="BX111" s="180"/>
      <c r="BY111" s="180"/>
      <c r="BZ111" s="180"/>
      <c r="CA111" s="180"/>
      <c r="CB111" s="180"/>
      <c r="CC111" s="180"/>
      <c r="CD111" s="180"/>
      <c r="CE111" s="180"/>
      <c r="CF111" s="180"/>
      <c r="CG111" s="180"/>
      <c r="CH111" s="180"/>
      <c r="CI111" s="180"/>
      <c r="CJ111" s="180"/>
      <c r="CK111" s="180"/>
      <c r="CL111" s="180"/>
      <c r="CM111" s="180"/>
      <c r="CN111" s="180"/>
      <c r="CO111" s="180"/>
      <c r="CP111" s="180"/>
      <c r="CQ111" s="180"/>
      <c r="CR111" s="180"/>
      <c r="CS111" s="180"/>
      <c r="CT111" s="180"/>
      <c r="CU111" s="180"/>
    </row>
    <row r="112" spans="1:99" x14ac:dyDescent="0.3">
      <c r="A112" s="155">
        <v>512</v>
      </c>
      <c r="B112" s="180" t="s">
        <v>243</v>
      </c>
      <c r="C112" s="180"/>
      <c r="D112" s="180">
        <v>0</v>
      </c>
      <c r="E112" s="180">
        <v>142600618</v>
      </c>
      <c r="F112" s="180"/>
      <c r="G112" s="180"/>
      <c r="H112" s="180">
        <v>0</v>
      </c>
      <c r="I112" s="180">
        <v>0</v>
      </c>
      <c r="J112" s="180"/>
      <c r="K112" s="180">
        <v>0</v>
      </c>
      <c r="L112" s="180">
        <v>0</v>
      </c>
      <c r="M112" s="180">
        <v>0</v>
      </c>
      <c r="N112" s="180">
        <v>0</v>
      </c>
      <c r="O112" s="180">
        <v>0</v>
      </c>
      <c r="P112" s="180"/>
      <c r="Q112" s="180">
        <v>0</v>
      </c>
      <c r="R112" s="180">
        <v>0</v>
      </c>
      <c r="S112" s="180">
        <v>0</v>
      </c>
      <c r="T112" s="180">
        <v>0</v>
      </c>
      <c r="U112" s="180"/>
      <c r="V112" s="180"/>
      <c r="W112" s="180"/>
      <c r="X112" s="180">
        <v>0</v>
      </c>
      <c r="Y112" s="180">
        <v>0</v>
      </c>
      <c r="Z112" s="180">
        <v>239012</v>
      </c>
      <c r="AA112" s="180">
        <v>0</v>
      </c>
      <c r="AB112" s="180">
        <v>0</v>
      </c>
      <c r="AC112" s="180">
        <v>0</v>
      </c>
      <c r="AD112" s="180">
        <v>0</v>
      </c>
      <c r="AE112" s="180">
        <v>0</v>
      </c>
      <c r="AF112" s="180">
        <v>0</v>
      </c>
      <c r="AG112" s="180">
        <v>0</v>
      </c>
      <c r="AH112" s="180">
        <v>0</v>
      </c>
      <c r="AI112" s="180">
        <v>0</v>
      </c>
      <c r="AJ112" s="180">
        <v>0</v>
      </c>
      <c r="AK112" s="180">
        <v>0</v>
      </c>
      <c r="AL112" s="180">
        <v>0</v>
      </c>
      <c r="AM112" s="180">
        <v>0</v>
      </c>
      <c r="AN112" s="180">
        <v>0</v>
      </c>
      <c r="AO112" s="180">
        <v>62130</v>
      </c>
      <c r="AP112" s="180">
        <v>0</v>
      </c>
      <c r="AQ112" s="180">
        <v>0</v>
      </c>
      <c r="AR112" s="180">
        <v>0</v>
      </c>
      <c r="AS112" s="180">
        <v>3943887</v>
      </c>
      <c r="AT112" s="180">
        <v>0</v>
      </c>
      <c r="AU112" s="180">
        <v>0</v>
      </c>
      <c r="AV112" s="180">
        <v>0</v>
      </c>
      <c r="AW112" s="180">
        <v>0</v>
      </c>
      <c r="AX112" s="180">
        <v>0</v>
      </c>
      <c r="AY112" s="180">
        <v>0</v>
      </c>
      <c r="AZ112" s="180">
        <v>0</v>
      </c>
      <c r="BA112" s="180">
        <v>0</v>
      </c>
      <c r="BB112" s="180">
        <v>0</v>
      </c>
      <c r="BC112" s="180">
        <v>0</v>
      </c>
      <c r="BD112" s="180">
        <v>0</v>
      </c>
      <c r="BE112" s="180">
        <v>0</v>
      </c>
      <c r="BF112" s="180">
        <v>0</v>
      </c>
      <c r="BG112" s="180"/>
      <c r="BH112" s="180">
        <v>0</v>
      </c>
      <c r="BI112" s="180">
        <v>0</v>
      </c>
      <c r="BJ112" s="180">
        <v>216934</v>
      </c>
      <c r="BK112" s="180">
        <v>0</v>
      </c>
      <c r="BL112" s="180">
        <v>26572</v>
      </c>
      <c r="BM112" s="180">
        <v>0</v>
      </c>
      <c r="BN112" s="180">
        <v>67986</v>
      </c>
      <c r="BO112" s="180">
        <v>0</v>
      </c>
      <c r="BP112" s="180"/>
      <c r="BQ112" s="180">
        <v>0</v>
      </c>
      <c r="BR112" s="180"/>
      <c r="BS112" s="180">
        <v>0</v>
      </c>
      <c r="BT112" s="180">
        <v>0</v>
      </c>
      <c r="BU112" s="180"/>
      <c r="BV112" s="180">
        <v>0</v>
      </c>
      <c r="BW112" s="180"/>
      <c r="BX112" s="180"/>
      <c r="BY112" s="180"/>
      <c r="BZ112" s="180"/>
      <c r="CA112" s="180"/>
      <c r="CB112" s="180"/>
      <c r="CC112" s="180"/>
      <c r="CD112" s="180"/>
      <c r="CE112" s="180"/>
      <c r="CF112" s="180"/>
      <c r="CG112" s="180"/>
      <c r="CH112" s="180"/>
      <c r="CI112" s="180"/>
      <c r="CJ112" s="180"/>
      <c r="CK112" s="180"/>
      <c r="CL112" s="180"/>
      <c r="CM112" s="180"/>
      <c r="CN112" s="180"/>
      <c r="CO112" s="180"/>
      <c r="CP112" s="180"/>
      <c r="CQ112" s="180"/>
      <c r="CR112" s="180"/>
      <c r="CS112" s="180"/>
      <c r="CT112" s="180"/>
      <c r="CU112" s="180"/>
    </row>
    <row r="113" spans="1:99" x14ac:dyDescent="0.3">
      <c r="A113" s="155">
        <v>513</v>
      </c>
      <c r="B113" s="180" t="s">
        <v>249</v>
      </c>
      <c r="C113" s="180"/>
      <c r="D113" s="180">
        <v>0</v>
      </c>
      <c r="E113" s="180">
        <v>0</v>
      </c>
      <c r="F113" s="180"/>
      <c r="G113" s="180"/>
      <c r="H113" s="180">
        <v>0</v>
      </c>
      <c r="I113" s="180">
        <v>0</v>
      </c>
      <c r="J113" s="180"/>
      <c r="K113" s="180">
        <v>0</v>
      </c>
      <c r="L113" s="180">
        <v>84006</v>
      </c>
      <c r="M113" s="180">
        <v>0</v>
      </c>
      <c r="N113" s="180">
        <v>0</v>
      </c>
      <c r="O113" s="180">
        <v>0</v>
      </c>
      <c r="P113" s="180"/>
      <c r="Q113" s="180">
        <v>0</v>
      </c>
      <c r="R113" s="180">
        <v>0</v>
      </c>
      <c r="S113" s="180">
        <v>0</v>
      </c>
      <c r="T113" s="180">
        <v>0</v>
      </c>
      <c r="U113" s="180"/>
      <c r="V113" s="180"/>
      <c r="W113" s="180"/>
      <c r="X113" s="180">
        <v>0</v>
      </c>
      <c r="Y113" s="180">
        <v>0</v>
      </c>
      <c r="Z113" s="180">
        <v>0</v>
      </c>
      <c r="AA113" s="180">
        <v>0</v>
      </c>
      <c r="AB113" s="180">
        <v>0</v>
      </c>
      <c r="AC113" s="180">
        <v>0</v>
      </c>
      <c r="AD113" s="180">
        <v>0</v>
      </c>
      <c r="AE113" s="180">
        <v>0</v>
      </c>
      <c r="AF113" s="180">
        <v>0</v>
      </c>
      <c r="AG113" s="180">
        <v>0</v>
      </c>
      <c r="AH113" s="180">
        <v>0</v>
      </c>
      <c r="AI113" s="180">
        <v>0</v>
      </c>
      <c r="AJ113" s="180">
        <v>0</v>
      </c>
      <c r="AK113" s="180">
        <v>0</v>
      </c>
      <c r="AL113" s="180">
        <v>0</v>
      </c>
      <c r="AM113" s="180">
        <v>0</v>
      </c>
      <c r="AN113" s="180">
        <v>0</v>
      </c>
      <c r="AO113" s="180">
        <v>0</v>
      </c>
      <c r="AP113" s="180">
        <v>0</v>
      </c>
      <c r="AQ113" s="180">
        <v>0</v>
      </c>
      <c r="AR113" s="180">
        <v>0</v>
      </c>
      <c r="AS113" s="180">
        <v>0</v>
      </c>
      <c r="AT113" s="180">
        <v>0</v>
      </c>
      <c r="AU113" s="180">
        <v>0</v>
      </c>
      <c r="AV113" s="180">
        <v>0</v>
      </c>
      <c r="AW113" s="180">
        <v>0</v>
      </c>
      <c r="AX113" s="180">
        <v>0</v>
      </c>
      <c r="AY113" s="180">
        <v>0</v>
      </c>
      <c r="AZ113" s="180">
        <v>0</v>
      </c>
      <c r="BA113" s="180">
        <v>0</v>
      </c>
      <c r="BB113" s="180">
        <v>0</v>
      </c>
      <c r="BC113" s="180">
        <v>0</v>
      </c>
      <c r="BD113" s="180">
        <v>0</v>
      </c>
      <c r="BE113" s="180">
        <v>0</v>
      </c>
      <c r="BF113" s="180">
        <v>0</v>
      </c>
      <c r="BG113" s="180"/>
      <c r="BH113" s="180">
        <v>0</v>
      </c>
      <c r="BI113" s="180">
        <v>0</v>
      </c>
      <c r="BJ113" s="180">
        <v>0</v>
      </c>
      <c r="BK113" s="180">
        <v>0</v>
      </c>
      <c r="BL113" s="180">
        <v>0</v>
      </c>
      <c r="BM113" s="180">
        <v>0</v>
      </c>
      <c r="BN113" s="180">
        <v>0</v>
      </c>
      <c r="BO113" s="180">
        <v>0</v>
      </c>
      <c r="BP113" s="180"/>
      <c r="BQ113" s="180">
        <v>0</v>
      </c>
      <c r="BR113" s="180"/>
      <c r="BS113" s="180">
        <v>0</v>
      </c>
      <c r="BT113" s="180">
        <v>0</v>
      </c>
      <c r="BU113" s="180"/>
      <c r="BV113" s="180">
        <v>0</v>
      </c>
      <c r="BW113" s="180"/>
      <c r="BX113" s="180"/>
      <c r="BY113" s="180"/>
      <c r="BZ113" s="180"/>
      <c r="CA113" s="180"/>
      <c r="CB113" s="180"/>
      <c r="CC113" s="180"/>
      <c r="CD113" s="180"/>
      <c r="CE113" s="180"/>
      <c r="CF113" s="180"/>
      <c r="CG113" s="180"/>
      <c r="CH113" s="180"/>
      <c r="CI113" s="180"/>
      <c r="CJ113" s="180"/>
      <c r="CK113" s="180"/>
      <c r="CL113" s="180"/>
      <c r="CM113" s="180"/>
      <c r="CN113" s="180"/>
      <c r="CO113" s="180"/>
      <c r="CP113" s="180"/>
      <c r="CQ113" s="180"/>
      <c r="CR113" s="180"/>
      <c r="CS113" s="180"/>
      <c r="CT113" s="180"/>
      <c r="CU113" s="180"/>
    </row>
    <row r="114" spans="1:99" x14ac:dyDescent="0.3">
      <c r="A114" s="155">
        <v>514</v>
      </c>
      <c r="B114" s="180" t="s">
        <v>250</v>
      </c>
      <c r="C114" s="180"/>
      <c r="D114" s="180">
        <v>0</v>
      </c>
      <c r="E114" s="180">
        <v>0</v>
      </c>
      <c r="F114" s="180"/>
      <c r="G114" s="180"/>
      <c r="H114" s="180">
        <v>0</v>
      </c>
      <c r="I114" s="180">
        <v>0</v>
      </c>
      <c r="J114" s="180"/>
      <c r="K114" s="180">
        <v>0</v>
      </c>
      <c r="L114" s="180">
        <v>115000</v>
      </c>
      <c r="M114" s="180">
        <v>0</v>
      </c>
      <c r="N114" s="180">
        <v>0</v>
      </c>
      <c r="O114" s="180">
        <v>0</v>
      </c>
      <c r="P114" s="180"/>
      <c r="Q114" s="180">
        <v>0</v>
      </c>
      <c r="R114" s="180">
        <v>0</v>
      </c>
      <c r="S114" s="180">
        <v>0</v>
      </c>
      <c r="T114" s="180">
        <v>0</v>
      </c>
      <c r="U114" s="180"/>
      <c r="V114" s="180"/>
      <c r="W114" s="180"/>
      <c r="X114" s="180">
        <v>0</v>
      </c>
      <c r="Y114" s="180">
        <v>0</v>
      </c>
      <c r="Z114" s="180">
        <v>3007582</v>
      </c>
      <c r="AA114" s="180">
        <v>0</v>
      </c>
      <c r="AB114" s="180">
        <v>0</v>
      </c>
      <c r="AC114" s="180">
        <v>0</v>
      </c>
      <c r="AD114" s="180">
        <v>0</v>
      </c>
      <c r="AE114" s="180">
        <v>0</v>
      </c>
      <c r="AF114" s="180">
        <v>0</v>
      </c>
      <c r="AG114" s="180">
        <v>0</v>
      </c>
      <c r="AH114" s="180">
        <v>0</v>
      </c>
      <c r="AI114" s="180">
        <v>0</v>
      </c>
      <c r="AJ114" s="180">
        <v>0</v>
      </c>
      <c r="AK114" s="180">
        <v>0</v>
      </c>
      <c r="AL114" s="180">
        <v>0</v>
      </c>
      <c r="AM114" s="180">
        <v>0</v>
      </c>
      <c r="AN114" s="180">
        <v>0</v>
      </c>
      <c r="AO114" s="180">
        <v>0</v>
      </c>
      <c r="AP114" s="180">
        <v>0</v>
      </c>
      <c r="AQ114" s="180">
        <v>0</v>
      </c>
      <c r="AR114" s="180">
        <v>0</v>
      </c>
      <c r="AS114" s="180">
        <v>0</v>
      </c>
      <c r="AT114" s="180">
        <v>0</v>
      </c>
      <c r="AU114" s="180">
        <v>0</v>
      </c>
      <c r="AV114" s="180">
        <v>33599</v>
      </c>
      <c r="AW114" s="180">
        <v>0</v>
      </c>
      <c r="AX114" s="180">
        <v>0</v>
      </c>
      <c r="AY114" s="180">
        <v>0</v>
      </c>
      <c r="AZ114" s="180">
        <v>175000</v>
      </c>
      <c r="BA114" s="180">
        <v>0</v>
      </c>
      <c r="BB114" s="180">
        <v>0</v>
      </c>
      <c r="BC114" s="180">
        <v>0</v>
      </c>
      <c r="BD114" s="180">
        <v>0</v>
      </c>
      <c r="BE114" s="180">
        <v>0</v>
      </c>
      <c r="BF114" s="180">
        <v>900000</v>
      </c>
      <c r="BG114" s="180"/>
      <c r="BH114" s="180">
        <v>0</v>
      </c>
      <c r="BI114" s="180">
        <v>0</v>
      </c>
      <c r="BJ114" s="180">
        <v>0</v>
      </c>
      <c r="BK114" s="180">
        <v>0</v>
      </c>
      <c r="BL114" s="180">
        <v>0</v>
      </c>
      <c r="BM114" s="180">
        <v>0</v>
      </c>
      <c r="BN114" s="180">
        <v>0</v>
      </c>
      <c r="BO114" s="180">
        <v>0</v>
      </c>
      <c r="BP114" s="180"/>
      <c r="BQ114" s="180">
        <v>0</v>
      </c>
      <c r="BR114" s="180"/>
      <c r="BS114" s="180">
        <v>0</v>
      </c>
      <c r="BT114" s="180">
        <v>0</v>
      </c>
      <c r="BU114" s="180"/>
      <c r="BV114" s="180">
        <v>0</v>
      </c>
      <c r="BW114" s="180"/>
      <c r="BX114" s="180"/>
      <c r="BY114" s="180"/>
      <c r="BZ114" s="180"/>
      <c r="CA114" s="180"/>
      <c r="CB114" s="180"/>
      <c r="CC114" s="180"/>
      <c r="CD114" s="180"/>
      <c r="CE114" s="180"/>
      <c r="CF114" s="180"/>
      <c r="CG114" s="180"/>
      <c r="CH114" s="180"/>
      <c r="CI114" s="180"/>
      <c r="CJ114" s="180"/>
      <c r="CK114" s="180"/>
      <c r="CL114" s="180"/>
      <c r="CM114" s="180"/>
      <c r="CN114" s="180"/>
      <c r="CO114" s="180"/>
      <c r="CP114" s="180"/>
      <c r="CQ114" s="180"/>
      <c r="CR114" s="180"/>
      <c r="CS114" s="180"/>
      <c r="CT114" s="180"/>
      <c r="CU114" s="180"/>
    </row>
    <row r="115" spans="1:99" x14ac:dyDescent="0.3">
      <c r="A115" s="155">
        <v>515</v>
      </c>
      <c r="B115" s="180" t="s">
        <v>262</v>
      </c>
      <c r="C115" s="180"/>
      <c r="D115" s="180">
        <v>8705</v>
      </c>
      <c r="E115" s="180">
        <v>90607912</v>
      </c>
      <c r="F115" s="180"/>
      <c r="G115" s="180"/>
      <c r="H115" s="180">
        <v>8770</v>
      </c>
      <c r="I115" s="180">
        <v>0</v>
      </c>
      <c r="J115" s="180"/>
      <c r="K115" s="180">
        <v>0</v>
      </c>
      <c r="L115" s="180">
        <v>0</v>
      </c>
      <c r="M115" s="180">
        <v>0</v>
      </c>
      <c r="N115" s="180">
        <v>0</v>
      </c>
      <c r="O115" s="180">
        <v>0</v>
      </c>
      <c r="P115" s="180"/>
      <c r="Q115" s="180">
        <v>0</v>
      </c>
      <c r="R115" s="180">
        <v>0</v>
      </c>
      <c r="S115" s="180">
        <v>8960</v>
      </c>
      <c r="T115" s="180">
        <v>0</v>
      </c>
      <c r="U115" s="180"/>
      <c r="V115" s="180"/>
      <c r="W115" s="180"/>
      <c r="X115" s="180">
        <v>1195278</v>
      </c>
      <c r="Y115" s="180">
        <v>0</v>
      </c>
      <c r="Z115" s="180">
        <v>52783602</v>
      </c>
      <c r="AA115" s="180">
        <v>0</v>
      </c>
      <c r="AB115" s="180">
        <v>0</v>
      </c>
      <c r="AC115" s="180">
        <v>0</v>
      </c>
      <c r="AD115" s="180">
        <v>0</v>
      </c>
      <c r="AE115" s="180">
        <v>0</v>
      </c>
      <c r="AF115" s="180">
        <v>0</v>
      </c>
      <c r="AG115" s="180">
        <v>0</v>
      </c>
      <c r="AH115" s="180">
        <v>12829325</v>
      </c>
      <c r="AI115" s="180">
        <v>0</v>
      </c>
      <c r="AJ115" s="180">
        <v>0</v>
      </c>
      <c r="AK115" s="180">
        <v>0</v>
      </c>
      <c r="AL115" s="180">
        <v>16731</v>
      </c>
      <c r="AM115" s="180">
        <v>0</v>
      </c>
      <c r="AN115" s="180">
        <v>0</v>
      </c>
      <c r="AO115" s="180">
        <v>20999557</v>
      </c>
      <c r="AP115" s="180">
        <v>0</v>
      </c>
      <c r="AQ115" s="180">
        <v>0</v>
      </c>
      <c r="AR115" s="180">
        <v>0</v>
      </c>
      <c r="AS115" s="180">
        <v>514524</v>
      </c>
      <c r="AT115" s="180">
        <v>6504</v>
      </c>
      <c r="AU115" s="180">
        <v>0</v>
      </c>
      <c r="AV115" s="180">
        <v>0</v>
      </c>
      <c r="AW115" s="180">
        <v>0</v>
      </c>
      <c r="AX115" s="180">
        <v>0</v>
      </c>
      <c r="AY115" s="180">
        <v>0</v>
      </c>
      <c r="AZ115" s="180">
        <v>1200140</v>
      </c>
      <c r="BA115" s="180">
        <v>0</v>
      </c>
      <c r="BB115" s="180">
        <v>0</v>
      </c>
      <c r="BC115" s="180">
        <v>949</v>
      </c>
      <c r="BD115" s="180">
        <v>0</v>
      </c>
      <c r="BE115" s="180">
        <v>0</v>
      </c>
      <c r="BF115" s="180">
        <v>50513691</v>
      </c>
      <c r="BG115" s="180"/>
      <c r="BH115" s="180">
        <v>0</v>
      </c>
      <c r="BI115" s="180">
        <v>2863</v>
      </c>
      <c r="BJ115" s="180">
        <v>0</v>
      </c>
      <c r="BK115" s="180">
        <v>250062</v>
      </c>
      <c r="BL115" s="180">
        <v>1875684</v>
      </c>
      <c r="BM115" s="180">
        <v>0</v>
      </c>
      <c r="BN115" s="180">
        <v>0</v>
      </c>
      <c r="BO115" s="180">
        <v>0</v>
      </c>
      <c r="BP115" s="180"/>
      <c r="BQ115" s="180">
        <v>0</v>
      </c>
      <c r="BR115" s="180"/>
      <c r="BS115" s="180">
        <v>2459636</v>
      </c>
      <c r="BT115" s="180">
        <v>0</v>
      </c>
      <c r="BU115" s="180"/>
      <c r="BV115" s="180">
        <v>0</v>
      </c>
      <c r="BW115" s="180"/>
      <c r="BX115" s="180"/>
      <c r="BY115" s="180"/>
      <c r="BZ115" s="180"/>
      <c r="CA115" s="180"/>
      <c r="CB115" s="180"/>
      <c r="CC115" s="180"/>
      <c r="CD115" s="180"/>
      <c r="CE115" s="180"/>
      <c r="CF115" s="180"/>
      <c r="CG115" s="180"/>
      <c r="CH115" s="180"/>
      <c r="CI115" s="180"/>
      <c r="CJ115" s="180"/>
      <c r="CK115" s="180"/>
      <c r="CL115" s="180"/>
      <c r="CM115" s="180"/>
      <c r="CN115" s="180"/>
      <c r="CO115" s="180"/>
      <c r="CP115" s="180"/>
      <c r="CQ115" s="180"/>
      <c r="CR115" s="180"/>
      <c r="CS115" s="180"/>
      <c r="CT115" s="180"/>
      <c r="CU115" s="180"/>
    </row>
    <row r="116" spans="1:99" x14ac:dyDescent="0.3">
      <c r="A116" s="155">
        <v>516</v>
      </c>
      <c r="B116" s="180" t="s">
        <v>263</v>
      </c>
      <c r="C116" s="180"/>
      <c r="D116" s="180">
        <v>21307101</v>
      </c>
      <c r="E116" s="180">
        <v>1382724930</v>
      </c>
      <c r="F116" s="180"/>
      <c r="G116" s="180"/>
      <c r="H116" s="180">
        <v>6839604</v>
      </c>
      <c r="I116" s="180">
        <v>0</v>
      </c>
      <c r="J116" s="180"/>
      <c r="K116" s="180">
        <v>0</v>
      </c>
      <c r="L116" s="180">
        <v>16316591</v>
      </c>
      <c r="M116" s="180">
        <v>87201922</v>
      </c>
      <c r="N116" s="180">
        <v>0</v>
      </c>
      <c r="O116" s="180">
        <v>6892205</v>
      </c>
      <c r="P116" s="180"/>
      <c r="Q116" s="180">
        <v>0</v>
      </c>
      <c r="R116" s="180">
        <v>0</v>
      </c>
      <c r="S116" s="180">
        <v>5818448</v>
      </c>
      <c r="T116" s="180">
        <v>0</v>
      </c>
      <c r="U116" s="180"/>
      <c r="V116" s="180"/>
      <c r="W116" s="180"/>
      <c r="X116" s="180">
        <v>34426295</v>
      </c>
      <c r="Y116" s="180">
        <v>0</v>
      </c>
      <c r="Z116" s="180">
        <v>0</v>
      </c>
      <c r="AA116" s="180">
        <v>0</v>
      </c>
      <c r="AB116" s="180">
        <v>2490612</v>
      </c>
      <c r="AC116" s="180">
        <v>4363431</v>
      </c>
      <c r="AD116" s="180">
        <v>11130976</v>
      </c>
      <c r="AE116" s="180">
        <v>6224171</v>
      </c>
      <c r="AF116" s="180">
        <v>7224198</v>
      </c>
      <c r="AG116" s="180">
        <v>7536225</v>
      </c>
      <c r="AH116" s="180">
        <v>23931096</v>
      </c>
      <c r="AI116" s="180">
        <v>0</v>
      </c>
      <c r="AJ116" s="180">
        <v>0</v>
      </c>
      <c r="AK116" s="180">
        <v>0</v>
      </c>
      <c r="AL116" s="180">
        <v>5789798</v>
      </c>
      <c r="AM116" s="180">
        <v>12533887</v>
      </c>
      <c r="AN116" s="180">
        <v>3078525</v>
      </c>
      <c r="AO116" s="180">
        <v>186930676</v>
      </c>
      <c r="AP116" s="180">
        <v>6038563</v>
      </c>
      <c r="AQ116" s="180">
        <v>0</v>
      </c>
      <c r="AR116" s="180">
        <v>1289393</v>
      </c>
      <c r="AS116" s="180">
        <v>261225225</v>
      </c>
      <c r="AT116" s="180">
        <v>7351931</v>
      </c>
      <c r="AU116" s="180">
        <v>7130180</v>
      </c>
      <c r="AV116" s="180">
        <v>16472210</v>
      </c>
      <c r="AW116" s="180">
        <v>8496043</v>
      </c>
      <c r="AX116" s="180">
        <v>0</v>
      </c>
      <c r="AY116" s="180">
        <v>0</v>
      </c>
      <c r="AZ116" s="180">
        <v>19382104</v>
      </c>
      <c r="BA116" s="180">
        <v>3046825</v>
      </c>
      <c r="BB116" s="180">
        <v>4110738</v>
      </c>
      <c r="BC116" s="180">
        <v>1678431</v>
      </c>
      <c r="BD116" s="180">
        <v>15948460</v>
      </c>
      <c r="BE116" s="180">
        <v>12732207</v>
      </c>
      <c r="BF116" s="180">
        <v>121209447</v>
      </c>
      <c r="BG116" s="180"/>
      <c r="BH116" s="180">
        <v>0</v>
      </c>
      <c r="BI116" s="180">
        <v>2523166</v>
      </c>
      <c r="BJ116" s="180">
        <v>20362179</v>
      </c>
      <c r="BK116" s="180">
        <v>11397760</v>
      </c>
      <c r="BL116" s="180">
        <v>62535537</v>
      </c>
      <c r="BM116" s="180">
        <v>0</v>
      </c>
      <c r="BN116" s="180">
        <v>20813369</v>
      </c>
      <c r="BO116" s="180">
        <v>12739301</v>
      </c>
      <c r="BP116" s="180"/>
      <c r="BQ116" s="180">
        <v>0</v>
      </c>
      <c r="BR116" s="180"/>
      <c r="BS116" s="180">
        <v>7282934</v>
      </c>
      <c r="BT116" s="180">
        <v>4535873</v>
      </c>
      <c r="BU116" s="180"/>
      <c r="BV116" s="180">
        <v>26105480</v>
      </c>
      <c r="BW116" s="180"/>
      <c r="BX116" s="180"/>
      <c r="BY116" s="180"/>
      <c r="BZ116" s="180"/>
      <c r="CA116" s="180"/>
      <c r="CB116" s="180"/>
      <c r="CC116" s="180"/>
      <c r="CD116" s="180"/>
      <c r="CE116" s="180"/>
      <c r="CF116" s="180"/>
      <c r="CG116" s="180"/>
      <c r="CH116" s="180"/>
      <c r="CI116" s="180"/>
      <c r="CJ116" s="180"/>
      <c r="CK116" s="180"/>
      <c r="CL116" s="180"/>
      <c r="CM116" s="180"/>
      <c r="CN116" s="180"/>
      <c r="CO116" s="180"/>
      <c r="CP116" s="180"/>
      <c r="CQ116" s="180"/>
      <c r="CR116" s="180"/>
      <c r="CS116" s="180"/>
      <c r="CT116" s="180"/>
      <c r="CU116" s="180"/>
    </row>
    <row r="117" spans="1:99" x14ac:dyDescent="0.3">
      <c r="A117" s="155">
        <v>517</v>
      </c>
      <c r="B117" s="180" t="s">
        <v>264</v>
      </c>
      <c r="C117" s="180"/>
      <c r="D117" s="180">
        <v>0</v>
      </c>
      <c r="E117" s="180">
        <v>224349165</v>
      </c>
      <c r="F117" s="180"/>
      <c r="G117" s="180"/>
      <c r="H117" s="180">
        <v>0</v>
      </c>
      <c r="I117" s="180">
        <v>0</v>
      </c>
      <c r="J117" s="180"/>
      <c r="K117" s="180">
        <v>0</v>
      </c>
      <c r="L117" s="180">
        <v>0</v>
      </c>
      <c r="M117" s="180">
        <v>0</v>
      </c>
      <c r="N117" s="180">
        <v>0</v>
      </c>
      <c r="O117" s="180">
        <v>0</v>
      </c>
      <c r="P117" s="180"/>
      <c r="Q117" s="180">
        <v>0</v>
      </c>
      <c r="R117" s="180">
        <v>0</v>
      </c>
      <c r="S117" s="180">
        <v>0</v>
      </c>
      <c r="T117" s="180">
        <v>0</v>
      </c>
      <c r="U117" s="180"/>
      <c r="V117" s="180"/>
      <c r="W117" s="180"/>
      <c r="X117" s="180">
        <v>0</v>
      </c>
      <c r="Y117" s="180">
        <v>0</v>
      </c>
      <c r="Z117" s="180">
        <v>69535126</v>
      </c>
      <c r="AA117" s="180">
        <v>0</v>
      </c>
      <c r="AB117" s="180">
        <v>0</v>
      </c>
      <c r="AC117" s="180">
        <v>0</v>
      </c>
      <c r="AD117" s="180">
        <v>0</v>
      </c>
      <c r="AE117" s="180">
        <v>0</v>
      </c>
      <c r="AF117" s="180">
        <v>0</v>
      </c>
      <c r="AG117" s="180">
        <v>0</v>
      </c>
      <c r="AH117" s="180">
        <v>0</v>
      </c>
      <c r="AI117" s="180">
        <v>0</v>
      </c>
      <c r="AJ117" s="180">
        <v>0</v>
      </c>
      <c r="AK117" s="180">
        <v>0</v>
      </c>
      <c r="AL117" s="180">
        <v>0</v>
      </c>
      <c r="AM117" s="180">
        <v>42284</v>
      </c>
      <c r="AN117" s="180">
        <v>0</v>
      </c>
      <c r="AO117" s="180">
        <v>0</v>
      </c>
      <c r="AP117" s="180">
        <v>0</v>
      </c>
      <c r="AQ117" s="180">
        <v>0</v>
      </c>
      <c r="AR117" s="180">
        <v>0</v>
      </c>
      <c r="AS117" s="180">
        <v>0</v>
      </c>
      <c r="AT117" s="180">
        <v>0</v>
      </c>
      <c r="AU117" s="180">
        <v>0</v>
      </c>
      <c r="AV117" s="180">
        <v>0</v>
      </c>
      <c r="AW117" s="180">
        <v>0</v>
      </c>
      <c r="AX117" s="180">
        <v>0</v>
      </c>
      <c r="AY117" s="180">
        <v>0</v>
      </c>
      <c r="AZ117" s="180">
        <v>0</v>
      </c>
      <c r="BA117" s="180">
        <v>0</v>
      </c>
      <c r="BB117" s="180">
        <v>0</v>
      </c>
      <c r="BC117" s="180">
        <v>0</v>
      </c>
      <c r="BD117" s="180">
        <v>0</v>
      </c>
      <c r="BE117" s="180">
        <v>0</v>
      </c>
      <c r="BF117" s="180">
        <v>0</v>
      </c>
      <c r="BG117" s="180"/>
      <c r="BH117" s="180">
        <v>0</v>
      </c>
      <c r="BI117" s="180">
        <v>0</v>
      </c>
      <c r="BJ117" s="180">
        <v>0</v>
      </c>
      <c r="BK117" s="180">
        <v>26691</v>
      </c>
      <c r="BL117" s="180">
        <v>0</v>
      </c>
      <c r="BM117" s="180">
        <v>0</v>
      </c>
      <c r="BN117" s="180">
        <v>0</v>
      </c>
      <c r="BO117" s="180">
        <v>0</v>
      </c>
      <c r="BP117" s="180"/>
      <c r="BQ117" s="180">
        <v>0</v>
      </c>
      <c r="BR117" s="180"/>
      <c r="BS117" s="180">
        <v>13190565</v>
      </c>
      <c r="BT117" s="180">
        <v>0</v>
      </c>
      <c r="BU117" s="180"/>
      <c r="BV117" s="180">
        <v>0</v>
      </c>
      <c r="BW117" s="180"/>
      <c r="BX117" s="180"/>
      <c r="BY117" s="180"/>
      <c r="BZ117" s="180"/>
      <c r="CA117" s="180"/>
      <c r="CB117" s="180"/>
      <c r="CC117" s="180"/>
      <c r="CD117" s="180"/>
      <c r="CE117" s="180"/>
      <c r="CF117" s="180"/>
      <c r="CG117" s="180"/>
      <c r="CH117" s="180"/>
      <c r="CI117" s="180"/>
      <c r="CJ117" s="180"/>
      <c r="CK117" s="180"/>
      <c r="CL117" s="180"/>
      <c r="CM117" s="180"/>
      <c r="CN117" s="180"/>
      <c r="CO117" s="180"/>
      <c r="CP117" s="180"/>
      <c r="CQ117" s="180"/>
      <c r="CR117" s="180"/>
      <c r="CS117" s="180"/>
      <c r="CT117" s="180"/>
      <c r="CU117" s="180"/>
    </row>
    <row r="118" spans="1:99" s="180" customFormat="1" x14ac:dyDescent="0.3">
      <c r="A118" s="155">
        <v>518</v>
      </c>
      <c r="B118" s="180" t="s">
        <v>265</v>
      </c>
      <c r="D118" s="180">
        <v>4717447</v>
      </c>
      <c r="E118" s="180">
        <v>32361595</v>
      </c>
      <c r="H118" s="180">
        <v>668388</v>
      </c>
      <c r="I118" s="180">
        <v>0</v>
      </c>
      <c r="K118" s="180">
        <v>0</v>
      </c>
      <c r="L118" s="180">
        <v>1179668</v>
      </c>
      <c r="M118" s="180">
        <v>3807035</v>
      </c>
      <c r="N118" s="180">
        <v>0</v>
      </c>
      <c r="O118" s="180">
        <v>147444</v>
      </c>
      <c r="Q118" s="180">
        <v>0</v>
      </c>
      <c r="R118" s="180">
        <v>0</v>
      </c>
      <c r="S118" s="180">
        <v>464600</v>
      </c>
      <c r="T118" s="180">
        <v>0</v>
      </c>
      <c r="X118" s="180">
        <v>4564236</v>
      </c>
      <c r="Y118" s="180">
        <v>0</v>
      </c>
      <c r="Z118" s="180">
        <v>47522743</v>
      </c>
      <c r="AA118" s="180">
        <v>0</v>
      </c>
      <c r="AB118" s="180">
        <v>48945</v>
      </c>
      <c r="AC118" s="180">
        <v>31496</v>
      </c>
      <c r="AD118" s="180">
        <v>738400</v>
      </c>
      <c r="AE118" s="180">
        <v>596356</v>
      </c>
      <c r="AF118" s="180">
        <v>400348</v>
      </c>
      <c r="AG118" s="180">
        <v>458407</v>
      </c>
      <c r="AH118" s="180">
        <v>5056963</v>
      </c>
      <c r="AI118" s="180">
        <v>0</v>
      </c>
      <c r="AJ118" s="180">
        <v>0</v>
      </c>
      <c r="AK118" s="180">
        <v>0</v>
      </c>
      <c r="AL118" s="180">
        <v>302440</v>
      </c>
      <c r="AM118" s="180">
        <v>683645</v>
      </c>
      <c r="AN118" s="180">
        <v>364780</v>
      </c>
      <c r="AO118" s="180">
        <v>13151912</v>
      </c>
      <c r="AP118" s="180">
        <v>504565</v>
      </c>
      <c r="AQ118" s="180">
        <v>0</v>
      </c>
      <c r="AR118" s="180">
        <v>3360</v>
      </c>
      <c r="AS118" s="180">
        <v>5020068</v>
      </c>
      <c r="AT118" s="180">
        <v>165304</v>
      </c>
      <c r="AU118" s="180">
        <v>1603690</v>
      </c>
      <c r="AV118" s="180">
        <v>587074</v>
      </c>
      <c r="AW118" s="180">
        <v>48503</v>
      </c>
      <c r="AX118" s="180">
        <v>0</v>
      </c>
      <c r="AY118" s="180">
        <v>0</v>
      </c>
      <c r="AZ118" s="180">
        <v>1555715</v>
      </c>
      <c r="BA118" s="180">
        <v>407814</v>
      </c>
      <c r="BB118" s="180">
        <v>100197</v>
      </c>
      <c r="BC118" s="180">
        <v>162057</v>
      </c>
      <c r="BD118" s="180">
        <v>1337983</v>
      </c>
      <c r="BE118" s="180">
        <v>571379</v>
      </c>
      <c r="BF118" s="180">
        <v>5092247</v>
      </c>
      <c r="BH118" s="180">
        <v>0</v>
      </c>
      <c r="BI118" s="180">
        <v>34710</v>
      </c>
      <c r="BJ118" s="180">
        <v>3141994</v>
      </c>
      <c r="BK118" s="180">
        <v>635283</v>
      </c>
      <c r="BL118" s="180">
        <v>4914304</v>
      </c>
      <c r="BM118" s="180">
        <v>0</v>
      </c>
      <c r="BN118" s="180">
        <v>1650067</v>
      </c>
      <c r="BO118" s="180">
        <v>213846</v>
      </c>
      <c r="BQ118" s="180">
        <v>0</v>
      </c>
      <c r="BS118" s="180">
        <v>1167346</v>
      </c>
      <c r="BT118" s="180">
        <v>150255</v>
      </c>
      <c r="BV118" s="180">
        <v>584897</v>
      </c>
    </row>
    <row r="119" spans="1:99" x14ac:dyDescent="0.3">
      <c r="A119" s="155">
        <v>519</v>
      </c>
      <c r="B119" s="180" t="s">
        <v>266</v>
      </c>
      <c r="C119" s="180"/>
      <c r="D119" s="180">
        <v>478</v>
      </c>
      <c r="E119" s="180">
        <v>2530790</v>
      </c>
      <c r="F119" s="180"/>
      <c r="G119" s="180"/>
      <c r="H119" s="180">
        <v>0</v>
      </c>
      <c r="I119" s="180">
        <v>0</v>
      </c>
      <c r="J119" s="180"/>
      <c r="K119" s="180">
        <v>0</v>
      </c>
      <c r="L119" s="180">
        <v>0</v>
      </c>
      <c r="M119" s="180">
        <v>0</v>
      </c>
      <c r="N119" s="180">
        <v>0</v>
      </c>
      <c r="O119" s="180">
        <v>0</v>
      </c>
      <c r="P119" s="180"/>
      <c r="Q119" s="180">
        <v>0</v>
      </c>
      <c r="R119" s="180">
        <v>0</v>
      </c>
      <c r="S119" s="180">
        <v>224</v>
      </c>
      <c r="T119" s="180">
        <v>0</v>
      </c>
      <c r="U119" s="180"/>
      <c r="V119" s="180"/>
      <c r="W119" s="180"/>
      <c r="X119" s="180">
        <v>28724</v>
      </c>
      <c r="Y119" s="180">
        <v>0</v>
      </c>
      <c r="Z119" s="180">
        <v>927271</v>
      </c>
      <c r="AA119" s="180">
        <v>0</v>
      </c>
      <c r="AB119" s="180">
        <v>0</v>
      </c>
      <c r="AC119" s="180">
        <v>0</v>
      </c>
      <c r="AD119" s="180">
        <v>0</v>
      </c>
      <c r="AE119" s="180">
        <v>0</v>
      </c>
      <c r="AF119" s="180">
        <v>0</v>
      </c>
      <c r="AG119" s="180">
        <v>0</v>
      </c>
      <c r="AH119" s="180">
        <v>199973</v>
      </c>
      <c r="AI119" s="180">
        <v>0</v>
      </c>
      <c r="AJ119" s="180">
        <v>0</v>
      </c>
      <c r="AK119" s="180">
        <v>0</v>
      </c>
      <c r="AL119" s="180">
        <v>0</v>
      </c>
      <c r="AM119" s="180">
        <v>0</v>
      </c>
      <c r="AN119" s="180">
        <v>0</v>
      </c>
      <c r="AO119" s="180">
        <v>370319</v>
      </c>
      <c r="AP119" s="180">
        <v>0</v>
      </c>
      <c r="AQ119" s="180">
        <v>0</v>
      </c>
      <c r="AR119" s="180">
        <v>0</v>
      </c>
      <c r="AS119" s="180">
        <v>12585</v>
      </c>
      <c r="AT119" s="180">
        <v>163</v>
      </c>
      <c r="AU119" s="180">
        <v>0</v>
      </c>
      <c r="AV119" s="180">
        <v>0</v>
      </c>
      <c r="AW119" s="180">
        <v>0</v>
      </c>
      <c r="AX119" s="180">
        <v>0</v>
      </c>
      <c r="AY119" s="180">
        <v>0</v>
      </c>
      <c r="AZ119" s="180">
        <v>26573</v>
      </c>
      <c r="BA119" s="180">
        <v>0</v>
      </c>
      <c r="BB119" s="180">
        <v>0</v>
      </c>
      <c r="BC119" s="180">
        <v>0</v>
      </c>
      <c r="BD119" s="180">
        <v>0</v>
      </c>
      <c r="BE119" s="180">
        <v>0</v>
      </c>
      <c r="BF119" s="180">
        <v>564377</v>
      </c>
      <c r="BG119" s="180"/>
      <c r="BH119" s="180">
        <v>0</v>
      </c>
      <c r="BI119" s="180">
        <v>143</v>
      </c>
      <c r="BJ119" s="180">
        <v>0</v>
      </c>
      <c r="BK119" s="180">
        <v>7725</v>
      </c>
      <c r="BL119" s="180">
        <v>29587</v>
      </c>
      <c r="BM119" s="180">
        <v>0</v>
      </c>
      <c r="BN119" s="180">
        <v>0</v>
      </c>
      <c r="BO119" s="180">
        <v>0</v>
      </c>
      <c r="BP119" s="180"/>
      <c r="BQ119" s="180">
        <v>0</v>
      </c>
      <c r="BR119" s="180"/>
      <c r="BS119" s="180">
        <v>49016</v>
      </c>
      <c r="BT119" s="180">
        <v>0</v>
      </c>
      <c r="BU119" s="180"/>
      <c r="BV119" s="180">
        <v>0</v>
      </c>
      <c r="BW119" s="180"/>
      <c r="BX119" s="180"/>
      <c r="BY119" s="180"/>
      <c r="BZ119" s="180"/>
      <c r="CA119" s="180"/>
      <c r="CB119" s="180"/>
      <c r="CC119" s="180"/>
      <c r="CD119" s="180"/>
      <c r="CE119" s="180"/>
      <c r="CF119" s="180"/>
      <c r="CG119" s="180"/>
      <c r="CH119" s="180"/>
      <c r="CI119" s="180"/>
      <c r="CJ119" s="180"/>
      <c r="CK119" s="180"/>
      <c r="CL119" s="180"/>
      <c r="CM119" s="180"/>
      <c r="CN119" s="180"/>
      <c r="CO119" s="180"/>
      <c r="CP119" s="180"/>
      <c r="CQ119" s="180"/>
      <c r="CR119" s="180"/>
      <c r="CS119" s="180"/>
      <c r="CT119" s="180"/>
      <c r="CU119" s="180"/>
    </row>
    <row r="120" spans="1:99" x14ac:dyDescent="0.3">
      <c r="A120" s="155">
        <v>520</v>
      </c>
      <c r="B120" s="180" t="s">
        <v>267</v>
      </c>
      <c r="C120" s="180"/>
      <c r="D120" s="180">
        <v>536560</v>
      </c>
      <c r="E120" s="180">
        <v>31233135</v>
      </c>
      <c r="F120" s="180"/>
      <c r="G120" s="180"/>
      <c r="H120" s="180">
        <v>146707</v>
      </c>
      <c r="I120" s="180">
        <v>0</v>
      </c>
      <c r="J120" s="180"/>
      <c r="K120" s="180">
        <v>0</v>
      </c>
      <c r="L120" s="180">
        <v>411266</v>
      </c>
      <c r="M120" s="180">
        <v>1821812</v>
      </c>
      <c r="N120" s="180">
        <v>0</v>
      </c>
      <c r="O120" s="180">
        <v>175665</v>
      </c>
      <c r="P120" s="180"/>
      <c r="Q120" s="180">
        <v>0</v>
      </c>
      <c r="R120" s="180">
        <v>0</v>
      </c>
      <c r="S120" s="180">
        <v>118334</v>
      </c>
      <c r="T120" s="180">
        <v>0</v>
      </c>
      <c r="U120" s="180"/>
      <c r="V120" s="180"/>
      <c r="W120" s="180"/>
      <c r="X120" s="180">
        <v>785225</v>
      </c>
      <c r="Y120" s="180">
        <v>0</v>
      </c>
      <c r="Z120" s="180">
        <v>0</v>
      </c>
      <c r="AA120" s="180">
        <v>0</v>
      </c>
      <c r="AB120" s="180">
        <v>62265</v>
      </c>
      <c r="AC120" s="180">
        <v>106964</v>
      </c>
      <c r="AD120" s="180">
        <v>277214</v>
      </c>
      <c r="AE120" s="180">
        <v>153349</v>
      </c>
      <c r="AF120" s="180">
        <v>177106</v>
      </c>
      <c r="AG120" s="180">
        <v>140019</v>
      </c>
      <c r="AH120" s="180">
        <v>445035</v>
      </c>
      <c r="AI120" s="180">
        <v>0</v>
      </c>
      <c r="AJ120" s="180">
        <v>0</v>
      </c>
      <c r="AK120" s="180">
        <v>0</v>
      </c>
      <c r="AL120" s="180">
        <v>132416</v>
      </c>
      <c r="AM120" s="180">
        <v>306482</v>
      </c>
      <c r="AN120" s="180">
        <v>72346</v>
      </c>
      <c r="AO120" s="180">
        <v>4180891</v>
      </c>
      <c r="AP120" s="180">
        <v>116820</v>
      </c>
      <c r="AQ120" s="180">
        <v>0</v>
      </c>
      <c r="AR120" s="180">
        <v>25788</v>
      </c>
      <c r="AS120" s="180">
        <v>5997379</v>
      </c>
      <c r="AT120" s="180">
        <v>165221</v>
      </c>
      <c r="AU120" s="180">
        <v>140769</v>
      </c>
      <c r="AV120" s="180">
        <v>524114</v>
      </c>
      <c r="AW120" s="180">
        <v>161816</v>
      </c>
      <c r="AX120" s="180">
        <v>0</v>
      </c>
      <c r="AY120" s="180">
        <v>0</v>
      </c>
      <c r="AZ120" s="180">
        <v>542265</v>
      </c>
      <c r="BA120" s="180">
        <v>62217</v>
      </c>
      <c r="BB120" s="180">
        <v>102055</v>
      </c>
      <c r="BC120" s="180">
        <v>46022</v>
      </c>
      <c r="BD120" s="180">
        <v>437194</v>
      </c>
      <c r="BE120" s="180">
        <v>287541</v>
      </c>
      <c r="BF120" s="180">
        <v>2077565</v>
      </c>
      <c r="BG120" s="180"/>
      <c r="BH120" s="180">
        <v>0</v>
      </c>
      <c r="BI120" s="180">
        <v>49448</v>
      </c>
      <c r="BJ120" s="180">
        <v>492584</v>
      </c>
      <c r="BK120" s="180">
        <v>276701</v>
      </c>
      <c r="BL120" s="180">
        <v>1581388</v>
      </c>
      <c r="BM120" s="180">
        <v>0</v>
      </c>
      <c r="BN120" s="180">
        <v>478501</v>
      </c>
      <c r="BO120" s="180">
        <v>231239</v>
      </c>
      <c r="BP120" s="180"/>
      <c r="BQ120" s="180">
        <v>0</v>
      </c>
      <c r="BR120" s="180"/>
      <c r="BS120" s="180">
        <v>204167</v>
      </c>
      <c r="BT120" s="180">
        <v>108940</v>
      </c>
      <c r="BU120" s="180"/>
      <c r="BV120" s="180">
        <v>607358</v>
      </c>
      <c r="BW120" s="180"/>
      <c r="BX120" s="180"/>
      <c r="BY120" s="180"/>
      <c r="BZ120" s="180"/>
      <c r="CA120" s="180"/>
      <c r="CB120" s="180"/>
      <c r="CC120" s="180"/>
      <c r="CD120" s="180"/>
      <c r="CE120" s="180"/>
      <c r="CF120" s="180"/>
      <c r="CG120" s="180"/>
      <c r="CH120" s="180"/>
      <c r="CI120" s="180"/>
      <c r="CJ120" s="180"/>
      <c r="CK120" s="180"/>
      <c r="CL120" s="180"/>
      <c r="CM120" s="180"/>
      <c r="CN120" s="180"/>
      <c r="CO120" s="180"/>
      <c r="CP120" s="180"/>
      <c r="CQ120" s="180"/>
      <c r="CR120" s="180"/>
      <c r="CS120" s="180"/>
      <c r="CT120" s="180"/>
      <c r="CU120" s="180"/>
    </row>
    <row r="121" spans="1:99" x14ac:dyDescent="0.3">
      <c r="A121" s="155">
        <v>521</v>
      </c>
      <c r="B121" s="180" t="s">
        <v>268</v>
      </c>
      <c r="C121" s="180"/>
      <c r="D121" s="180">
        <v>0</v>
      </c>
      <c r="E121" s="180">
        <v>11478039</v>
      </c>
      <c r="F121" s="180"/>
      <c r="G121" s="180"/>
      <c r="H121" s="180">
        <v>0</v>
      </c>
      <c r="I121" s="180">
        <v>0</v>
      </c>
      <c r="J121" s="180"/>
      <c r="K121" s="180">
        <v>0</v>
      </c>
      <c r="L121" s="180">
        <v>0</v>
      </c>
      <c r="M121" s="180">
        <v>0</v>
      </c>
      <c r="N121" s="180">
        <v>0</v>
      </c>
      <c r="O121" s="180">
        <v>0</v>
      </c>
      <c r="P121" s="180"/>
      <c r="Q121" s="180">
        <v>0</v>
      </c>
      <c r="R121" s="180">
        <v>0</v>
      </c>
      <c r="S121" s="180">
        <v>0</v>
      </c>
      <c r="T121" s="180">
        <v>0</v>
      </c>
      <c r="U121" s="180"/>
      <c r="V121" s="180"/>
      <c r="W121" s="180"/>
      <c r="X121" s="180">
        <v>0</v>
      </c>
      <c r="Y121" s="180">
        <v>0</v>
      </c>
      <c r="Z121" s="180">
        <v>932977</v>
      </c>
      <c r="AA121" s="180">
        <v>0</v>
      </c>
      <c r="AB121" s="180">
        <v>0</v>
      </c>
      <c r="AC121" s="180">
        <v>0</v>
      </c>
      <c r="AD121" s="180">
        <v>0</v>
      </c>
      <c r="AE121" s="180">
        <v>0</v>
      </c>
      <c r="AF121" s="180">
        <v>0</v>
      </c>
      <c r="AG121" s="180">
        <v>0</v>
      </c>
      <c r="AH121" s="180">
        <v>0</v>
      </c>
      <c r="AI121" s="180">
        <v>0</v>
      </c>
      <c r="AJ121" s="180">
        <v>0</v>
      </c>
      <c r="AK121" s="180">
        <v>0</v>
      </c>
      <c r="AL121" s="180">
        <v>0</v>
      </c>
      <c r="AM121" s="180">
        <v>1791</v>
      </c>
      <c r="AN121" s="180">
        <v>0</v>
      </c>
      <c r="AO121" s="180">
        <v>0</v>
      </c>
      <c r="AP121" s="180">
        <v>0</v>
      </c>
      <c r="AQ121" s="180">
        <v>0</v>
      </c>
      <c r="AR121" s="180">
        <v>0</v>
      </c>
      <c r="AS121" s="180">
        <v>0</v>
      </c>
      <c r="AT121" s="180">
        <v>0</v>
      </c>
      <c r="AU121" s="180">
        <v>0</v>
      </c>
      <c r="AV121" s="180">
        <v>0</v>
      </c>
      <c r="AW121" s="180">
        <v>0</v>
      </c>
      <c r="AX121" s="180">
        <v>0</v>
      </c>
      <c r="AY121" s="180">
        <v>0</v>
      </c>
      <c r="AZ121" s="180">
        <v>0</v>
      </c>
      <c r="BA121" s="180">
        <v>0</v>
      </c>
      <c r="BB121" s="180">
        <v>0</v>
      </c>
      <c r="BC121" s="180">
        <v>0</v>
      </c>
      <c r="BD121" s="180">
        <v>0</v>
      </c>
      <c r="BE121" s="180">
        <v>0</v>
      </c>
      <c r="BF121" s="180">
        <v>0</v>
      </c>
      <c r="BG121" s="180"/>
      <c r="BH121" s="180">
        <v>0</v>
      </c>
      <c r="BI121" s="180">
        <v>0</v>
      </c>
      <c r="BJ121" s="180">
        <v>0</v>
      </c>
      <c r="BK121" s="180">
        <v>1446</v>
      </c>
      <c r="BL121" s="180">
        <v>0</v>
      </c>
      <c r="BM121" s="180">
        <v>0</v>
      </c>
      <c r="BN121" s="180">
        <v>0</v>
      </c>
      <c r="BO121" s="180">
        <v>0</v>
      </c>
      <c r="BP121" s="180"/>
      <c r="BQ121" s="180">
        <v>0</v>
      </c>
      <c r="BR121" s="180"/>
      <c r="BS121" s="180">
        <v>425875</v>
      </c>
      <c r="BT121" s="180">
        <v>0</v>
      </c>
      <c r="BU121" s="180"/>
      <c r="BV121" s="180">
        <v>0</v>
      </c>
      <c r="BW121" s="180"/>
      <c r="BX121" s="180"/>
      <c r="BY121" s="180"/>
      <c r="BZ121" s="180"/>
      <c r="CA121" s="180"/>
      <c r="CB121" s="180"/>
      <c r="CC121" s="180"/>
      <c r="CD121" s="180"/>
      <c r="CE121" s="180"/>
      <c r="CF121" s="180"/>
      <c r="CG121" s="180"/>
      <c r="CH121" s="180"/>
      <c r="CI121" s="180"/>
      <c r="CJ121" s="180"/>
      <c r="CK121" s="180"/>
      <c r="CL121" s="180"/>
      <c r="CM121" s="180"/>
      <c r="CN121" s="180"/>
      <c r="CO121" s="180"/>
      <c r="CP121" s="180"/>
      <c r="CQ121" s="180"/>
      <c r="CR121" s="180"/>
      <c r="CS121" s="180"/>
      <c r="CT121" s="180"/>
      <c r="CU121" s="180"/>
    </row>
    <row r="122" spans="1:99" x14ac:dyDescent="0.3">
      <c r="A122" s="155">
        <v>522</v>
      </c>
      <c r="B122" s="180" t="s">
        <v>269</v>
      </c>
      <c r="C122" s="180"/>
      <c r="D122" s="180">
        <v>359323</v>
      </c>
      <c r="E122" s="180">
        <v>2533577</v>
      </c>
      <c r="F122" s="180"/>
      <c r="G122" s="180"/>
      <c r="H122" s="180">
        <v>42949</v>
      </c>
      <c r="I122" s="180">
        <v>0</v>
      </c>
      <c r="J122" s="180"/>
      <c r="K122" s="180">
        <v>0</v>
      </c>
      <c r="L122" s="180">
        <v>99182</v>
      </c>
      <c r="M122" s="180">
        <v>173903</v>
      </c>
      <c r="N122" s="180">
        <v>0</v>
      </c>
      <c r="O122" s="180">
        <v>15054</v>
      </c>
      <c r="P122" s="180"/>
      <c r="Q122" s="180">
        <v>0</v>
      </c>
      <c r="R122" s="180">
        <v>0</v>
      </c>
      <c r="S122" s="180">
        <v>21849</v>
      </c>
      <c r="T122" s="180">
        <v>0</v>
      </c>
      <c r="U122" s="180"/>
      <c r="V122" s="180"/>
      <c r="W122" s="180"/>
      <c r="X122" s="180">
        <v>322836</v>
      </c>
      <c r="Y122" s="180">
        <v>0</v>
      </c>
      <c r="Z122" s="180">
        <v>1669769</v>
      </c>
      <c r="AA122" s="180">
        <v>0</v>
      </c>
      <c r="AB122" s="180">
        <v>0</v>
      </c>
      <c r="AC122" s="180">
        <v>433</v>
      </c>
      <c r="AD122" s="180">
        <v>83323</v>
      </c>
      <c r="AE122" s="180">
        <v>27988</v>
      </c>
      <c r="AF122" s="180">
        <v>47159</v>
      </c>
      <c r="AG122" s="180">
        <v>0</v>
      </c>
      <c r="AH122" s="180">
        <v>229180</v>
      </c>
      <c r="AI122" s="180">
        <v>0</v>
      </c>
      <c r="AJ122" s="180">
        <v>0</v>
      </c>
      <c r="AK122" s="180">
        <v>0</v>
      </c>
      <c r="AL122" s="180">
        <v>10344</v>
      </c>
      <c r="AM122" s="180">
        <v>62831</v>
      </c>
      <c r="AN122" s="180">
        <v>34854</v>
      </c>
      <c r="AO122" s="180">
        <v>464268</v>
      </c>
      <c r="AP122" s="180">
        <v>39416</v>
      </c>
      <c r="AQ122" s="180">
        <v>0</v>
      </c>
      <c r="AR122" s="180">
        <v>0</v>
      </c>
      <c r="AS122" s="180">
        <v>441013</v>
      </c>
      <c r="AT122" s="180">
        <v>9953</v>
      </c>
      <c r="AU122" s="180">
        <v>80484</v>
      </c>
      <c r="AV122" s="180">
        <v>12517</v>
      </c>
      <c r="AW122" s="180">
        <v>3345</v>
      </c>
      <c r="AX122" s="180">
        <v>0</v>
      </c>
      <c r="AY122" s="180">
        <v>0</v>
      </c>
      <c r="AZ122" s="180">
        <v>72326</v>
      </c>
      <c r="BA122" s="180">
        <v>17658</v>
      </c>
      <c r="BB122" s="180">
        <v>6727</v>
      </c>
      <c r="BC122" s="180">
        <v>4216</v>
      </c>
      <c r="BD122" s="180">
        <v>99738</v>
      </c>
      <c r="BE122" s="180">
        <v>38767</v>
      </c>
      <c r="BF122" s="180">
        <v>147836</v>
      </c>
      <c r="BG122" s="180"/>
      <c r="BH122" s="180">
        <v>0</v>
      </c>
      <c r="BI122" s="180">
        <v>1921</v>
      </c>
      <c r="BJ122" s="180">
        <v>161639</v>
      </c>
      <c r="BK122" s="180">
        <v>39223</v>
      </c>
      <c r="BL122" s="180">
        <v>429835</v>
      </c>
      <c r="BM122" s="180">
        <v>0</v>
      </c>
      <c r="BN122" s="180">
        <v>118638</v>
      </c>
      <c r="BO122" s="180">
        <v>4665</v>
      </c>
      <c r="BP122" s="180"/>
      <c r="BQ122" s="180">
        <v>0</v>
      </c>
      <c r="BR122" s="180"/>
      <c r="BS122" s="180">
        <v>44205</v>
      </c>
      <c r="BT122" s="180">
        <v>716</v>
      </c>
      <c r="BU122" s="180"/>
      <c r="BV122" s="180">
        <v>36235</v>
      </c>
      <c r="BW122" s="180"/>
      <c r="BX122" s="180"/>
      <c r="BY122" s="180"/>
      <c r="BZ122" s="180"/>
      <c r="CA122" s="180"/>
      <c r="CB122" s="180"/>
      <c r="CC122" s="180"/>
      <c r="CD122" s="180"/>
      <c r="CE122" s="180"/>
      <c r="CF122" s="180"/>
      <c r="CG122" s="180"/>
      <c r="CH122" s="180"/>
      <c r="CI122" s="180"/>
      <c r="CJ122" s="180"/>
      <c r="CK122" s="180"/>
      <c r="CL122" s="180"/>
      <c r="CM122" s="180"/>
      <c r="CN122" s="180"/>
      <c r="CO122" s="180"/>
      <c r="CP122" s="180"/>
      <c r="CQ122" s="180"/>
      <c r="CR122" s="180"/>
      <c r="CS122" s="180"/>
      <c r="CT122" s="180"/>
      <c r="CU122" s="180"/>
    </row>
    <row r="123" spans="1:99" x14ac:dyDescent="0.3">
      <c r="A123" s="155">
        <v>523</v>
      </c>
      <c r="B123" s="180" t="s">
        <v>270</v>
      </c>
      <c r="C123" s="180"/>
      <c r="D123" s="180">
        <v>2370</v>
      </c>
      <c r="E123" s="180">
        <v>55221949</v>
      </c>
      <c r="F123" s="180"/>
      <c r="G123" s="180"/>
      <c r="H123" s="180">
        <v>8770</v>
      </c>
      <c r="I123" s="180">
        <v>0</v>
      </c>
      <c r="J123" s="180"/>
      <c r="K123" s="180">
        <v>0</v>
      </c>
      <c r="L123" s="180">
        <v>0</v>
      </c>
      <c r="M123" s="180">
        <v>0</v>
      </c>
      <c r="N123" s="180">
        <v>0</v>
      </c>
      <c r="O123" s="180">
        <v>0</v>
      </c>
      <c r="P123" s="180"/>
      <c r="Q123" s="180">
        <v>0</v>
      </c>
      <c r="R123" s="180">
        <v>0</v>
      </c>
      <c r="S123" s="180">
        <v>2688</v>
      </c>
      <c r="T123" s="180">
        <v>0</v>
      </c>
      <c r="U123" s="180"/>
      <c r="V123" s="180"/>
      <c r="W123" s="180"/>
      <c r="X123" s="180">
        <v>954158</v>
      </c>
      <c r="Y123" s="180">
        <v>0</v>
      </c>
      <c r="Z123" s="180">
        <v>29322823</v>
      </c>
      <c r="AA123" s="180">
        <v>0</v>
      </c>
      <c r="AB123" s="180">
        <v>0</v>
      </c>
      <c r="AC123" s="180">
        <v>0</v>
      </c>
      <c r="AD123" s="180">
        <v>0</v>
      </c>
      <c r="AE123" s="180">
        <v>0</v>
      </c>
      <c r="AF123" s="180">
        <v>0</v>
      </c>
      <c r="AG123" s="180">
        <v>0</v>
      </c>
      <c r="AH123" s="180">
        <v>7546832</v>
      </c>
      <c r="AI123" s="180">
        <v>0</v>
      </c>
      <c r="AJ123" s="180">
        <v>0</v>
      </c>
      <c r="AK123" s="180">
        <v>0</v>
      </c>
      <c r="AL123" s="180">
        <v>16731</v>
      </c>
      <c r="AM123" s="180">
        <v>0</v>
      </c>
      <c r="AN123" s="180">
        <v>0</v>
      </c>
      <c r="AO123" s="180">
        <v>13220753</v>
      </c>
      <c r="AP123" s="180">
        <v>0</v>
      </c>
      <c r="AQ123" s="180">
        <v>0</v>
      </c>
      <c r="AR123" s="180">
        <v>0</v>
      </c>
      <c r="AS123" s="180">
        <v>364960</v>
      </c>
      <c r="AT123" s="180">
        <v>2277</v>
      </c>
      <c r="AU123" s="180">
        <v>0</v>
      </c>
      <c r="AV123" s="180">
        <v>0</v>
      </c>
      <c r="AW123" s="180">
        <v>0</v>
      </c>
      <c r="AX123" s="180">
        <v>0</v>
      </c>
      <c r="AY123" s="180">
        <v>0</v>
      </c>
      <c r="AZ123" s="180">
        <v>1042999</v>
      </c>
      <c r="BA123" s="180">
        <v>0</v>
      </c>
      <c r="BB123" s="180">
        <v>0</v>
      </c>
      <c r="BC123" s="180">
        <v>949</v>
      </c>
      <c r="BD123" s="180">
        <v>0</v>
      </c>
      <c r="BE123" s="180">
        <v>0</v>
      </c>
      <c r="BF123" s="180">
        <v>17851153</v>
      </c>
      <c r="BG123" s="180"/>
      <c r="BH123" s="180">
        <v>0</v>
      </c>
      <c r="BI123" s="180">
        <v>2720</v>
      </c>
      <c r="BJ123" s="180">
        <v>0</v>
      </c>
      <c r="BK123" s="180">
        <v>152219</v>
      </c>
      <c r="BL123" s="180">
        <v>487836</v>
      </c>
      <c r="BM123" s="180">
        <v>0</v>
      </c>
      <c r="BN123" s="180">
        <v>0</v>
      </c>
      <c r="BO123" s="180">
        <v>0</v>
      </c>
      <c r="BP123" s="180"/>
      <c r="BQ123" s="180">
        <v>0</v>
      </c>
      <c r="BR123" s="180"/>
      <c r="BS123" s="180">
        <v>1871445</v>
      </c>
      <c r="BT123" s="180">
        <v>0</v>
      </c>
      <c r="BU123" s="180"/>
      <c r="BV123" s="180">
        <v>0</v>
      </c>
      <c r="BW123" s="180"/>
      <c r="BX123" s="180"/>
      <c r="BY123" s="180"/>
      <c r="BZ123" s="180"/>
      <c r="CA123" s="180"/>
      <c r="CB123" s="180"/>
      <c r="CC123" s="180"/>
      <c r="CD123" s="180"/>
      <c r="CE123" s="180"/>
      <c r="CF123" s="180"/>
      <c r="CG123" s="180"/>
      <c r="CH123" s="180"/>
      <c r="CI123" s="180"/>
      <c r="CJ123" s="180"/>
      <c r="CK123" s="180"/>
      <c r="CL123" s="180"/>
      <c r="CM123" s="180"/>
      <c r="CN123" s="180"/>
      <c r="CO123" s="180"/>
      <c r="CP123" s="180"/>
      <c r="CQ123" s="180"/>
      <c r="CR123" s="180"/>
      <c r="CS123" s="180"/>
      <c r="CT123" s="180"/>
      <c r="CU123" s="180"/>
    </row>
    <row r="124" spans="1:99" x14ac:dyDescent="0.3">
      <c r="A124" s="155">
        <v>524</v>
      </c>
      <c r="B124" s="180" t="s">
        <v>271</v>
      </c>
      <c r="C124" s="180"/>
      <c r="D124" s="180">
        <v>14082560</v>
      </c>
      <c r="E124" s="180">
        <v>540335400</v>
      </c>
      <c r="F124" s="180"/>
      <c r="G124" s="180"/>
      <c r="H124" s="180">
        <v>3679980</v>
      </c>
      <c r="I124" s="180">
        <v>0</v>
      </c>
      <c r="J124" s="180"/>
      <c r="K124" s="180">
        <v>0</v>
      </c>
      <c r="L124" s="180">
        <v>10314857</v>
      </c>
      <c r="M124" s="180">
        <v>38678682</v>
      </c>
      <c r="N124" s="180">
        <v>0</v>
      </c>
      <c r="O124" s="180">
        <v>2097962</v>
      </c>
      <c r="P124" s="180"/>
      <c r="Q124" s="180">
        <v>0</v>
      </c>
      <c r="R124" s="180">
        <v>0</v>
      </c>
      <c r="S124" s="180">
        <v>4963701</v>
      </c>
      <c r="T124" s="180">
        <v>0</v>
      </c>
      <c r="U124" s="180"/>
      <c r="V124" s="180"/>
      <c r="W124" s="180"/>
      <c r="X124" s="180">
        <v>24143799</v>
      </c>
      <c r="Y124" s="180">
        <v>0</v>
      </c>
      <c r="Z124" s="180">
        <v>0</v>
      </c>
      <c r="AA124" s="180">
        <v>0</v>
      </c>
      <c r="AB124" s="180">
        <v>1021376</v>
      </c>
      <c r="AC124" s="180">
        <v>2291237</v>
      </c>
      <c r="AD124" s="180">
        <v>3982216</v>
      </c>
      <c r="AE124" s="180">
        <v>3951358</v>
      </c>
      <c r="AF124" s="180">
        <v>2763052</v>
      </c>
      <c r="AG124" s="180">
        <v>3950699</v>
      </c>
      <c r="AH124" s="180">
        <v>11280404</v>
      </c>
      <c r="AI124" s="180">
        <v>0</v>
      </c>
      <c r="AJ124" s="180">
        <v>0</v>
      </c>
      <c r="AK124" s="180">
        <v>0</v>
      </c>
      <c r="AL124" s="180">
        <v>2731021</v>
      </c>
      <c r="AM124" s="180">
        <v>5536396</v>
      </c>
      <c r="AN124" s="180">
        <v>2015843</v>
      </c>
      <c r="AO124" s="180">
        <v>99835698</v>
      </c>
      <c r="AP124" s="180">
        <v>1344662</v>
      </c>
      <c r="AQ124" s="180">
        <v>0</v>
      </c>
      <c r="AR124" s="180">
        <v>283667</v>
      </c>
      <c r="AS124" s="180">
        <v>94704711</v>
      </c>
      <c r="AT124" s="180">
        <v>1884733</v>
      </c>
      <c r="AU124" s="180">
        <v>2799465</v>
      </c>
      <c r="AV124" s="180">
        <v>10389114</v>
      </c>
      <c r="AW124" s="180">
        <v>2605964</v>
      </c>
      <c r="AX124" s="180">
        <v>0</v>
      </c>
      <c r="AY124" s="180">
        <v>0</v>
      </c>
      <c r="AZ124" s="180">
        <v>11387576</v>
      </c>
      <c r="BA124" s="180">
        <v>966896</v>
      </c>
      <c r="BB124" s="180">
        <v>1724958</v>
      </c>
      <c r="BC124" s="180">
        <v>1010240</v>
      </c>
      <c r="BD124" s="180">
        <v>6022137</v>
      </c>
      <c r="BE124" s="180">
        <v>4125260</v>
      </c>
      <c r="BF124" s="180">
        <v>26126034</v>
      </c>
      <c r="BG124" s="180"/>
      <c r="BH124" s="180">
        <v>0</v>
      </c>
      <c r="BI124" s="180">
        <v>1100490</v>
      </c>
      <c r="BJ124" s="180">
        <v>11188285</v>
      </c>
      <c r="BK124" s="180">
        <v>7056112</v>
      </c>
      <c r="BL124" s="180">
        <v>30870555</v>
      </c>
      <c r="BM124" s="180">
        <v>0</v>
      </c>
      <c r="BN124" s="180">
        <v>7993548</v>
      </c>
      <c r="BO124" s="180">
        <v>3831171</v>
      </c>
      <c r="BP124" s="180"/>
      <c r="BQ124" s="180">
        <v>0</v>
      </c>
      <c r="BR124" s="180"/>
      <c r="BS124" s="180">
        <v>3235750</v>
      </c>
      <c r="BT124" s="180">
        <v>1369960</v>
      </c>
      <c r="BU124" s="180"/>
      <c r="BV124" s="180">
        <v>11621565</v>
      </c>
      <c r="BW124" s="180"/>
      <c r="BX124" s="180"/>
      <c r="BY124" s="180"/>
      <c r="BZ124" s="180"/>
      <c r="CA124" s="180"/>
      <c r="CB124" s="180"/>
      <c r="CC124" s="180"/>
      <c r="CD124" s="180"/>
      <c r="CE124" s="180"/>
      <c r="CF124" s="180"/>
      <c r="CG124" s="180"/>
      <c r="CH124" s="180"/>
      <c r="CI124" s="180"/>
      <c r="CJ124" s="180"/>
      <c r="CK124" s="180"/>
      <c r="CL124" s="180"/>
      <c r="CM124" s="180"/>
      <c r="CN124" s="180"/>
      <c r="CO124" s="180"/>
      <c r="CP124" s="180"/>
      <c r="CQ124" s="180"/>
      <c r="CR124" s="180"/>
      <c r="CS124" s="180"/>
      <c r="CT124" s="180"/>
      <c r="CU124" s="180"/>
    </row>
    <row r="125" spans="1:99" x14ac:dyDescent="0.3">
      <c r="A125" s="155">
        <v>525</v>
      </c>
      <c r="B125" s="180" t="s">
        <v>272</v>
      </c>
      <c r="C125" s="180"/>
      <c r="D125" s="180">
        <v>0</v>
      </c>
      <c r="E125" s="180">
        <v>109761996</v>
      </c>
      <c r="F125" s="180"/>
      <c r="G125" s="180"/>
      <c r="H125" s="180">
        <v>0</v>
      </c>
      <c r="I125" s="180">
        <v>0</v>
      </c>
      <c r="J125" s="180"/>
      <c r="K125" s="180">
        <v>0</v>
      </c>
      <c r="L125" s="180">
        <v>0</v>
      </c>
      <c r="M125" s="180">
        <v>0</v>
      </c>
      <c r="N125" s="180">
        <v>0</v>
      </c>
      <c r="O125" s="180">
        <v>0</v>
      </c>
      <c r="P125" s="180"/>
      <c r="Q125" s="180">
        <v>0</v>
      </c>
      <c r="R125" s="180">
        <v>0</v>
      </c>
      <c r="S125" s="180">
        <v>0</v>
      </c>
      <c r="T125" s="180">
        <v>0</v>
      </c>
      <c r="U125" s="180"/>
      <c r="V125" s="180"/>
      <c r="W125" s="180"/>
      <c r="X125" s="180">
        <v>0</v>
      </c>
      <c r="Y125" s="180">
        <v>0</v>
      </c>
      <c r="Z125" s="180">
        <v>25913953</v>
      </c>
      <c r="AA125" s="180">
        <v>0</v>
      </c>
      <c r="AB125" s="180">
        <v>0</v>
      </c>
      <c r="AC125" s="180">
        <v>0</v>
      </c>
      <c r="AD125" s="180">
        <v>0</v>
      </c>
      <c r="AE125" s="180">
        <v>0</v>
      </c>
      <c r="AF125" s="180">
        <v>0</v>
      </c>
      <c r="AG125" s="180">
        <v>0</v>
      </c>
      <c r="AH125" s="180">
        <v>0</v>
      </c>
      <c r="AI125" s="180">
        <v>0</v>
      </c>
      <c r="AJ125" s="180">
        <v>0</v>
      </c>
      <c r="AK125" s="180">
        <v>0</v>
      </c>
      <c r="AL125" s="180">
        <v>0</v>
      </c>
      <c r="AM125" s="180">
        <v>11833</v>
      </c>
      <c r="AN125" s="180">
        <v>0</v>
      </c>
      <c r="AO125" s="180">
        <v>0</v>
      </c>
      <c r="AP125" s="180">
        <v>0</v>
      </c>
      <c r="AQ125" s="180">
        <v>0</v>
      </c>
      <c r="AR125" s="180">
        <v>0</v>
      </c>
      <c r="AS125" s="180">
        <v>0</v>
      </c>
      <c r="AT125" s="180">
        <v>0</v>
      </c>
      <c r="AU125" s="180">
        <v>0</v>
      </c>
      <c r="AV125" s="180">
        <v>0</v>
      </c>
      <c r="AW125" s="180">
        <v>0</v>
      </c>
      <c r="AX125" s="180">
        <v>0</v>
      </c>
      <c r="AY125" s="180">
        <v>0</v>
      </c>
      <c r="AZ125" s="180">
        <v>0</v>
      </c>
      <c r="BA125" s="180">
        <v>0</v>
      </c>
      <c r="BB125" s="180">
        <v>0</v>
      </c>
      <c r="BC125" s="180">
        <v>0</v>
      </c>
      <c r="BD125" s="180">
        <v>0</v>
      </c>
      <c r="BE125" s="180">
        <v>0</v>
      </c>
      <c r="BF125" s="180">
        <v>0</v>
      </c>
      <c r="BG125" s="180"/>
      <c r="BH125" s="180">
        <v>0</v>
      </c>
      <c r="BI125" s="180">
        <v>0</v>
      </c>
      <c r="BJ125" s="180">
        <v>0</v>
      </c>
      <c r="BK125" s="180">
        <v>11772</v>
      </c>
      <c r="BL125" s="180">
        <v>0</v>
      </c>
      <c r="BM125" s="180">
        <v>0</v>
      </c>
      <c r="BN125" s="180">
        <v>0</v>
      </c>
      <c r="BO125" s="180">
        <v>0</v>
      </c>
      <c r="BP125" s="180"/>
      <c r="BQ125" s="180">
        <v>0</v>
      </c>
      <c r="BR125" s="180"/>
      <c r="BS125" s="180">
        <v>2956468</v>
      </c>
      <c r="BT125" s="180">
        <v>0</v>
      </c>
      <c r="BU125" s="180"/>
      <c r="BV125" s="180">
        <v>0</v>
      </c>
      <c r="BW125" s="180"/>
      <c r="BX125" s="180"/>
      <c r="BY125" s="180"/>
      <c r="BZ125" s="180"/>
      <c r="CA125" s="180"/>
      <c r="CB125" s="180"/>
      <c r="CC125" s="180"/>
      <c r="CD125" s="180"/>
      <c r="CE125" s="180"/>
      <c r="CF125" s="180"/>
      <c r="CG125" s="180"/>
      <c r="CH125" s="180"/>
      <c r="CI125" s="180"/>
      <c r="CJ125" s="180"/>
      <c r="CK125" s="180"/>
      <c r="CL125" s="180"/>
      <c r="CM125" s="180"/>
      <c r="CN125" s="180"/>
      <c r="CO125" s="180"/>
      <c r="CP125" s="180"/>
      <c r="CQ125" s="180"/>
      <c r="CR125" s="180"/>
      <c r="CS125" s="180"/>
      <c r="CT125" s="180"/>
      <c r="CU125" s="180"/>
    </row>
    <row r="126" spans="1:99" x14ac:dyDescent="0.3">
      <c r="A126" s="155">
        <v>526</v>
      </c>
      <c r="B126" s="180" t="s">
        <v>273</v>
      </c>
      <c r="C126" s="180"/>
      <c r="D126" s="180">
        <v>2579405</v>
      </c>
      <c r="E126" s="180">
        <v>26755857</v>
      </c>
      <c r="F126" s="180"/>
      <c r="G126" s="180"/>
      <c r="H126" s="180">
        <v>394995</v>
      </c>
      <c r="I126" s="180">
        <v>0</v>
      </c>
      <c r="J126" s="180"/>
      <c r="K126" s="180">
        <v>0</v>
      </c>
      <c r="L126" s="180">
        <v>633062</v>
      </c>
      <c r="M126" s="180">
        <v>2497885</v>
      </c>
      <c r="N126" s="180">
        <v>0</v>
      </c>
      <c r="O126" s="180">
        <v>80438</v>
      </c>
      <c r="P126" s="180"/>
      <c r="Q126" s="180">
        <v>0</v>
      </c>
      <c r="R126" s="180">
        <v>0</v>
      </c>
      <c r="S126" s="180">
        <v>295535</v>
      </c>
      <c r="T126" s="180">
        <v>0</v>
      </c>
      <c r="U126" s="180"/>
      <c r="V126" s="180"/>
      <c r="W126" s="180"/>
      <c r="X126" s="180">
        <v>3125896</v>
      </c>
      <c r="Y126" s="180">
        <v>0</v>
      </c>
      <c r="Z126" s="180">
        <v>36707603</v>
      </c>
      <c r="AA126" s="180">
        <v>0</v>
      </c>
      <c r="AB126" s="180">
        <v>48945</v>
      </c>
      <c r="AC126" s="180">
        <v>31279</v>
      </c>
      <c r="AD126" s="180">
        <v>518369</v>
      </c>
      <c r="AE126" s="180">
        <v>444012</v>
      </c>
      <c r="AF126" s="180">
        <v>200111</v>
      </c>
      <c r="AG126" s="180">
        <v>458024</v>
      </c>
      <c r="AH126" s="180">
        <v>4004095</v>
      </c>
      <c r="AI126" s="180">
        <v>0</v>
      </c>
      <c r="AJ126" s="180">
        <v>0</v>
      </c>
      <c r="AK126" s="180">
        <v>0</v>
      </c>
      <c r="AL126" s="180">
        <v>157230</v>
      </c>
      <c r="AM126" s="180">
        <v>468929</v>
      </c>
      <c r="AN126" s="180">
        <v>273504</v>
      </c>
      <c r="AO126" s="180">
        <v>11992513</v>
      </c>
      <c r="AP126" s="180">
        <v>395388</v>
      </c>
      <c r="AQ126" s="180">
        <v>0</v>
      </c>
      <c r="AR126" s="180">
        <v>3360</v>
      </c>
      <c r="AS126" s="180">
        <v>3557395</v>
      </c>
      <c r="AT126" s="180">
        <v>77943</v>
      </c>
      <c r="AU126" s="180">
        <v>395058</v>
      </c>
      <c r="AV126" s="180">
        <v>467837</v>
      </c>
      <c r="AW126" s="180">
        <v>24808</v>
      </c>
      <c r="AX126" s="180">
        <v>0</v>
      </c>
      <c r="AY126" s="180">
        <v>0</v>
      </c>
      <c r="AZ126" s="180">
        <v>1171139</v>
      </c>
      <c r="BA126" s="180">
        <v>369169</v>
      </c>
      <c r="BB126" s="180">
        <v>52090</v>
      </c>
      <c r="BC126" s="180">
        <v>146910</v>
      </c>
      <c r="BD126" s="180">
        <v>820638</v>
      </c>
      <c r="BE126" s="180">
        <v>492290</v>
      </c>
      <c r="BF126" s="180">
        <v>4593856</v>
      </c>
      <c r="BG126" s="180"/>
      <c r="BH126" s="180">
        <v>0</v>
      </c>
      <c r="BI126" s="180">
        <v>24150</v>
      </c>
      <c r="BJ126" s="180">
        <v>2378659</v>
      </c>
      <c r="BK126" s="180">
        <v>502492</v>
      </c>
      <c r="BL126" s="180">
        <v>3049977</v>
      </c>
      <c r="BM126" s="180">
        <v>0</v>
      </c>
      <c r="BN126" s="180">
        <v>1142324</v>
      </c>
      <c r="BO126" s="180">
        <v>171286</v>
      </c>
      <c r="BP126" s="180"/>
      <c r="BQ126" s="180">
        <v>0</v>
      </c>
      <c r="BR126" s="180"/>
      <c r="BS126" s="180">
        <v>771290</v>
      </c>
      <c r="BT126" s="180">
        <v>102175</v>
      </c>
      <c r="BU126" s="180"/>
      <c r="BV126" s="180">
        <v>492519</v>
      </c>
      <c r="BW126" s="180"/>
      <c r="BX126" s="180"/>
      <c r="BY126" s="180"/>
      <c r="BZ126" s="180"/>
      <c r="CA126" s="180"/>
      <c r="CB126" s="180"/>
      <c r="CC126" s="180"/>
      <c r="CD126" s="180"/>
      <c r="CE126" s="180"/>
      <c r="CF126" s="180"/>
      <c r="CG126" s="180"/>
      <c r="CH126" s="180"/>
      <c r="CI126" s="180"/>
      <c r="CJ126" s="180"/>
      <c r="CK126" s="180"/>
      <c r="CL126" s="180"/>
      <c r="CM126" s="180"/>
      <c r="CN126" s="180"/>
      <c r="CO126" s="180"/>
      <c r="CP126" s="180"/>
      <c r="CQ126" s="180"/>
      <c r="CR126" s="180"/>
      <c r="CS126" s="180"/>
      <c r="CT126" s="180"/>
      <c r="CU126" s="180"/>
    </row>
    <row r="127" spans="1:99" x14ac:dyDescent="0.3">
      <c r="A127" s="155">
        <v>527</v>
      </c>
      <c r="B127" s="180" t="s">
        <v>274</v>
      </c>
      <c r="C127" s="180"/>
      <c r="D127" s="180">
        <v>0</v>
      </c>
      <c r="E127" s="180">
        <v>0</v>
      </c>
      <c r="F127" s="180"/>
      <c r="G127" s="180"/>
      <c r="H127" s="180">
        <v>0</v>
      </c>
      <c r="I127" s="180">
        <v>0</v>
      </c>
      <c r="J127" s="180"/>
      <c r="K127" s="180">
        <v>0</v>
      </c>
      <c r="L127" s="180">
        <v>0</v>
      </c>
      <c r="M127" s="180">
        <v>0</v>
      </c>
      <c r="N127" s="180">
        <v>0</v>
      </c>
      <c r="O127" s="180">
        <v>0</v>
      </c>
      <c r="P127" s="180"/>
      <c r="Q127" s="180">
        <v>0</v>
      </c>
      <c r="R127" s="180">
        <v>0</v>
      </c>
      <c r="S127" s="180">
        <v>0</v>
      </c>
      <c r="T127" s="180">
        <v>0</v>
      </c>
      <c r="U127" s="180"/>
      <c r="V127" s="180"/>
      <c r="W127" s="180"/>
      <c r="X127" s="180">
        <v>0</v>
      </c>
      <c r="Y127" s="180">
        <v>0</v>
      </c>
      <c r="Z127" s="180">
        <v>635117</v>
      </c>
      <c r="AA127" s="180">
        <v>0</v>
      </c>
      <c r="AB127" s="180">
        <v>0</v>
      </c>
      <c r="AC127" s="180">
        <v>0</v>
      </c>
      <c r="AD127" s="180">
        <v>0</v>
      </c>
      <c r="AE127" s="180">
        <v>0</v>
      </c>
      <c r="AF127" s="180">
        <v>0</v>
      </c>
      <c r="AG127" s="180">
        <v>0</v>
      </c>
      <c r="AH127" s="180">
        <v>0</v>
      </c>
      <c r="AI127" s="180">
        <v>0</v>
      </c>
      <c r="AJ127" s="180">
        <v>0</v>
      </c>
      <c r="AK127" s="180">
        <v>0</v>
      </c>
      <c r="AL127" s="180">
        <v>0</v>
      </c>
      <c r="AM127" s="180">
        <v>0</v>
      </c>
      <c r="AN127" s="180">
        <v>0</v>
      </c>
      <c r="AO127" s="180">
        <v>0</v>
      </c>
      <c r="AP127" s="180">
        <v>0</v>
      </c>
      <c r="AQ127" s="180">
        <v>0</v>
      </c>
      <c r="AR127" s="180">
        <v>0</v>
      </c>
      <c r="AS127" s="180">
        <v>0</v>
      </c>
      <c r="AT127" s="180">
        <v>0</v>
      </c>
      <c r="AU127" s="180">
        <v>0</v>
      </c>
      <c r="AV127" s="180">
        <v>11543</v>
      </c>
      <c r="AW127" s="180">
        <v>0</v>
      </c>
      <c r="AX127" s="180">
        <v>0</v>
      </c>
      <c r="AY127" s="180">
        <v>0</v>
      </c>
      <c r="AZ127" s="180">
        <v>703656</v>
      </c>
      <c r="BA127" s="180">
        <v>0</v>
      </c>
      <c r="BB127" s="180">
        <v>0</v>
      </c>
      <c r="BC127" s="180">
        <v>0</v>
      </c>
      <c r="BD127" s="180">
        <v>0</v>
      </c>
      <c r="BE127" s="180">
        <v>0</v>
      </c>
      <c r="BF127" s="180">
        <v>5950046</v>
      </c>
      <c r="BG127" s="180"/>
      <c r="BH127" s="180">
        <v>0</v>
      </c>
      <c r="BI127" s="180">
        <v>0</v>
      </c>
      <c r="BJ127" s="180">
        <v>1303212</v>
      </c>
      <c r="BK127" s="180">
        <v>0</v>
      </c>
      <c r="BL127" s="180">
        <v>0</v>
      </c>
      <c r="BM127" s="180">
        <v>0</v>
      </c>
      <c r="BN127" s="180">
        <v>0</v>
      </c>
      <c r="BO127" s="180">
        <v>0</v>
      </c>
      <c r="BP127" s="180"/>
      <c r="BQ127" s="180">
        <v>0</v>
      </c>
      <c r="BR127" s="180"/>
      <c r="BS127" s="180">
        <v>0</v>
      </c>
      <c r="BT127" s="180">
        <v>0</v>
      </c>
      <c r="BU127" s="180"/>
      <c r="BV127" s="180">
        <v>0</v>
      </c>
      <c r="BW127" s="180"/>
      <c r="BX127" s="180"/>
      <c r="BY127" s="180"/>
      <c r="BZ127" s="180"/>
      <c r="CA127" s="180"/>
      <c r="CB127" s="180"/>
      <c r="CC127" s="180"/>
      <c r="CD127" s="180"/>
      <c r="CE127" s="180"/>
      <c r="CF127" s="180"/>
      <c r="CG127" s="180"/>
      <c r="CH127" s="180"/>
      <c r="CI127" s="180"/>
      <c r="CJ127" s="180"/>
      <c r="CK127" s="180"/>
      <c r="CL127" s="180"/>
      <c r="CM127" s="180"/>
      <c r="CN127" s="180"/>
      <c r="CO127" s="180"/>
      <c r="CP127" s="180"/>
      <c r="CQ127" s="180"/>
      <c r="CR127" s="180"/>
      <c r="CS127" s="180"/>
      <c r="CT127" s="180"/>
      <c r="CU127" s="180"/>
    </row>
    <row r="128" spans="1:99" x14ac:dyDescent="0.3">
      <c r="A128" s="155">
        <v>528</v>
      </c>
      <c r="B128" s="180" t="s">
        <v>257</v>
      </c>
      <c r="C128" s="180"/>
      <c r="D128" s="180">
        <v>2325084</v>
      </c>
      <c r="E128" s="180">
        <v>273569624</v>
      </c>
      <c r="F128" s="180"/>
      <c r="G128" s="180"/>
      <c r="H128" s="180">
        <v>1257330</v>
      </c>
      <c r="I128" s="180">
        <v>1212</v>
      </c>
      <c r="J128" s="180"/>
      <c r="K128" s="180">
        <v>0</v>
      </c>
      <c r="L128" s="180">
        <v>1065693</v>
      </c>
      <c r="M128" s="180">
        <v>8309377</v>
      </c>
      <c r="N128" s="180">
        <v>9894</v>
      </c>
      <c r="O128" s="180">
        <v>223134</v>
      </c>
      <c r="P128" s="180"/>
      <c r="Q128" s="180">
        <v>158995</v>
      </c>
      <c r="R128" s="180">
        <v>617077</v>
      </c>
      <c r="S128" s="180">
        <v>726352</v>
      </c>
      <c r="T128" s="180">
        <v>7351970</v>
      </c>
      <c r="U128" s="180"/>
      <c r="V128" s="180"/>
      <c r="W128" s="180"/>
      <c r="X128" s="180">
        <v>3610288</v>
      </c>
      <c r="Y128" s="180">
        <v>864875</v>
      </c>
      <c r="Z128" s="180">
        <v>25455340</v>
      </c>
      <c r="AA128" s="180">
        <v>5784360</v>
      </c>
      <c r="AB128" s="180">
        <v>67887</v>
      </c>
      <c r="AC128" s="180">
        <v>122959</v>
      </c>
      <c r="AD128" s="180">
        <v>495402</v>
      </c>
      <c r="AE128" s="180">
        <v>512837</v>
      </c>
      <c r="AF128" s="180">
        <v>117106</v>
      </c>
      <c r="AG128" s="180">
        <v>355220</v>
      </c>
      <c r="AH128" s="180">
        <v>4597731</v>
      </c>
      <c r="AI128" s="180">
        <v>23541</v>
      </c>
      <c r="AJ128" s="180">
        <v>1438096</v>
      </c>
      <c r="AK128" s="180">
        <v>87470</v>
      </c>
      <c r="AL128" s="180">
        <v>154890</v>
      </c>
      <c r="AM128" s="180">
        <v>1993242</v>
      </c>
      <c r="AN128" s="180">
        <v>92397</v>
      </c>
      <c r="AO128" s="180">
        <v>21154271</v>
      </c>
      <c r="AP128" s="180">
        <v>915043</v>
      </c>
      <c r="AQ128" s="180">
        <v>37384</v>
      </c>
      <c r="AR128" s="180">
        <v>59583</v>
      </c>
      <c r="AS128" s="180">
        <v>17040558</v>
      </c>
      <c r="AT128" s="180">
        <v>127267</v>
      </c>
      <c r="AU128" s="180">
        <v>500385</v>
      </c>
      <c r="AV128" s="180">
        <v>660319</v>
      </c>
      <c r="AW128" s="180">
        <v>102654</v>
      </c>
      <c r="AX128" s="180">
        <v>196785</v>
      </c>
      <c r="AY128" s="180">
        <v>131889</v>
      </c>
      <c r="AZ128" s="180">
        <v>2965112</v>
      </c>
      <c r="BA128" s="180">
        <v>813453</v>
      </c>
      <c r="BB128" s="180">
        <v>13180</v>
      </c>
      <c r="BC128" s="180">
        <v>204482</v>
      </c>
      <c r="BD128" s="180">
        <v>2388833</v>
      </c>
      <c r="BE128" s="180">
        <v>384843</v>
      </c>
      <c r="BF128" s="180">
        <v>13068669</v>
      </c>
      <c r="BG128" s="180"/>
      <c r="BH128" s="180">
        <v>96727</v>
      </c>
      <c r="BI128" s="180">
        <v>100644</v>
      </c>
      <c r="BJ128" s="180">
        <v>6886707</v>
      </c>
      <c r="BK128" s="180">
        <v>376920</v>
      </c>
      <c r="BL128" s="180">
        <v>10753216</v>
      </c>
      <c r="BM128" s="180">
        <v>3769789</v>
      </c>
      <c r="BN128" s="180">
        <v>3130845</v>
      </c>
      <c r="BO128" s="180">
        <v>644973</v>
      </c>
      <c r="BP128" s="180"/>
      <c r="BQ128" s="180">
        <v>1506255</v>
      </c>
      <c r="BR128" s="180"/>
      <c r="BS128" s="180">
        <v>1349555</v>
      </c>
      <c r="BT128" s="180">
        <v>532100</v>
      </c>
      <c r="BU128" s="180"/>
      <c r="BV128" s="180">
        <v>1265320</v>
      </c>
      <c r="BW128" s="180"/>
      <c r="BX128" s="180"/>
      <c r="BY128" s="180"/>
      <c r="BZ128" s="180"/>
      <c r="CA128" s="180"/>
      <c r="CB128" s="180"/>
      <c r="CC128" s="180"/>
      <c r="CD128" s="180"/>
      <c r="CE128" s="180"/>
      <c r="CF128" s="180"/>
      <c r="CG128" s="180"/>
      <c r="CH128" s="180"/>
      <c r="CI128" s="180"/>
      <c r="CJ128" s="180"/>
      <c r="CK128" s="180"/>
      <c r="CL128" s="180"/>
      <c r="CM128" s="180"/>
      <c r="CN128" s="180"/>
      <c r="CO128" s="180"/>
      <c r="CP128" s="180"/>
      <c r="CQ128" s="180"/>
      <c r="CR128" s="180"/>
      <c r="CS128" s="180"/>
      <c r="CT128" s="180"/>
      <c r="CU128" s="180"/>
    </row>
    <row r="129" spans="1:99" x14ac:dyDescent="0.3">
      <c r="A129" s="155">
        <v>529</v>
      </c>
      <c r="B129" s="180" t="s">
        <v>258</v>
      </c>
      <c r="C129" s="180"/>
      <c r="D129" s="180">
        <v>224135</v>
      </c>
      <c r="E129" s="180">
        <v>18402092</v>
      </c>
      <c r="F129" s="180"/>
      <c r="G129" s="180"/>
      <c r="H129" s="180">
        <v>153994</v>
      </c>
      <c r="I129" s="180">
        <v>124</v>
      </c>
      <c r="J129" s="180"/>
      <c r="K129" s="180">
        <v>0</v>
      </c>
      <c r="L129" s="180">
        <v>138273</v>
      </c>
      <c r="M129" s="180">
        <v>828726</v>
      </c>
      <c r="N129" s="180">
        <v>2400</v>
      </c>
      <c r="O129" s="180">
        <v>28099</v>
      </c>
      <c r="P129" s="180"/>
      <c r="Q129" s="180">
        <v>20573</v>
      </c>
      <c r="R129" s="180">
        <v>78428</v>
      </c>
      <c r="S129" s="180">
        <v>94674</v>
      </c>
      <c r="T129" s="180">
        <v>955823</v>
      </c>
      <c r="U129" s="180"/>
      <c r="V129" s="180"/>
      <c r="W129" s="180"/>
      <c r="X129" s="180">
        <v>389972</v>
      </c>
      <c r="Y129" s="180">
        <v>104810</v>
      </c>
      <c r="Z129" s="180">
        <v>3265822</v>
      </c>
      <c r="AA129" s="180">
        <v>628784</v>
      </c>
      <c r="AB129" s="180">
        <v>17371</v>
      </c>
      <c r="AC129" s="180">
        <v>19508</v>
      </c>
      <c r="AD129" s="180">
        <v>102267</v>
      </c>
      <c r="AE129" s="180">
        <v>55289</v>
      </c>
      <c r="AF129" s="180">
        <v>14488</v>
      </c>
      <c r="AG129" s="180">
        <v>55662</v>
      </c>
      <c r="AH129" s="180">
        <v>411263</v>
      </c>
      <c r="AI129" s="180">
        <v>3957</v>
      </c>
      <c r="AJ129" s="180">
        <v>93425</v>
      </c>
      <c r="AK129" s="180">
        <v>9185</v>
      </c>
      <c r="AL129" s="180">
        <v>14551</v>
      </c>
      <c r="AM129" s="180">
        <v>188729</v>
      </c>
      <c r="AN129" s="180">
        <v>15708</v>
      </c>
      <c r="AO129" s="180">
        <v>2250099</v>
      </c>
      <c r="AP129" s="180">
        <v>46706</v>
      </c>
      <c r="AQ129" s="180">
        <v>7071</v>
      </c>
      <c r="AR129" s="180">
        <v>11359</v>
      </c>
      <c r="AS129" s="180">
        <v>1739039</v>
      </c>
      <c r="AT129" s="180">
        <v>17445</v>
      </c>
      <c r="AU129" s="180">
        <v>88871</v>
      </c>
      <c r="AV129" s="180">
        <v>95228</v>
      </c>
      <c r="AW129" s="180">
        <v>24045</v>
      </c>
      <c r="AX129" s="180">
        <v>12929</v>
      </c>
      <c r="AY129" s="180">
        <v>16507</v>
      </c>
      <c r="AZ129" s="180">
        <v>240740</v>
      </c>
      <c r="BA129" s="180">
        <v>25572</v>
      </c>
      <c r="BB129" s="180">
        <v>1549</v>
      </c>
      <c r="BC129" s="180">
        <v>12097</v>
      </c>
      <c r="BD129" s="180">
        <v>237384</v>
      </c>
      <c r="BE129" s="180">
        <v>85252</v>
      </c>
      <c r="BF129" s="180">
        <v>914526</v>
      </c>
      <c r="BG129" s="180"/>
      <c r="BH129" s="180">
        <v>15091</v>
      </c>
      <c r="BI129" s="180">
        <v>15512</v>
      </c>
      <c r="BJ129" s="180">
        <v>762004</v>
      </c>
      <c r="BK129" s="180">
        <v>65009</v>
      </c>
      <c r="BL129" s="180">
        <v>797936</v>
      </c>
      <c r="BM129" s="180">
        <v>124131</v>
      </c>
      <c r="BN129" s="180">
        <v>183977</v>
      </c>
      <c r="BO129" s="180">
        <v>69628</v>
      </c>
      <c r="BP129" s="180"/>
      <c r="BQ129" s="180">
        <v>157748</v>
      </c>
      <c r="BR129" s="180"/>
      <c r="BS129" s="180">
        <v>156267</v>
      </c>
      <c r="BT129" s="180">
        <v>73227</v>
      </c>
      <c r="BU129" s="180"/>
      <c r="BV129" s="180">
        <v>102284</v>
      </c>
      <c r="BW129" s="180"/>
      <c r="BX129" s="180"/>
      <c r="BY129" s="180"/>
      <c r="BZ129" s="180"/>
      <c r="CA129" s="180"/>
      <c r="CB129" s="180"/>
      <c r="CC129" s="180"/>
      <c r="CD129" s="180"/>
      <c r="CE129" s="180"/>
      <c r="CF129" s="180"/>
      <c r="CG129" s="180"/>
      <c r="CH129" s="180"/>
      <c r="CI129" s="180"/>
      <c r="CJ129" s="180"/>
      <c r="CK129" s="180"/>
      <c r="CL129" s="180"/>
      <c r="CM129" s="180"/>
      <c r="CN129" s="180"/>
      <c r="CO129" s="180"/>
      <c r="CP129" s="180"/>
      <c r="CQ129" s="180"/>
      <c r="CR129" s="180"/>
      <c r="CS129" s="180"/>
      <c r="CT129" s="180"/>
      <c r="CU129" s="180"/>
    </row>
    <row r="130" spans="1:99" x14ac:dyDescent="0.3">
      <c r="A130" s="155">
        <v>530</v>
      </c>
      <c r="B130" s="180" t="s">
        <v>259</v>
      </c>
      <c r="C130" s="180"/>
      <c r="D130" s="180">
        <v>37524</v>
      </c>
      <c r="E130" s="180">
        <v>491178</v>
      </c>
      <c r="F130" s="180"/>
      <c r="G130" s="180"/>
      <c r="H130" s="180">
        <v>13046</v>
      </c>
      <c r="I130" s="180">
        <v>59</v>
      </c>
      <c r="J130" s="180"/>
      <c r="K130" s="180">
        <v>0</v>
      </c>
      <c r="L130" s="180">
        <v>71250</v>
      </c>
      <c r="M130" s="180">
        <v>107884</v>
      </c>
      <c r="N130" s="180">
        <v>623</v>
      </c>
      <c r="O130" s="180">
        <v>7709</v>
      </c>
      <c r="P130" s="180"/>
      <c r="Q130" s="180">
        <v>1559</v>
      </c>
      <c r="R130" s="180">
        <v>8642</v>
      </c>
      <c r="S130" s="180">
        <v>6367</v>
      </c>
      <c r="T130" s="180">
        <v>90656</v>
      </c>
      <c r="U130" s="180"/>
      <c r="V130" s="180"/>
      <c r="W130" s="180"/>
      <c r="X130" s="180">
        <v>43110</v>
      </c>
      <c r="Y130" s="180">
        <v>12538</v>
      </c>
      <c r="Z130" s="180">
        <v>1240608</v>
      </c>
      <c r="AA130" s="180">
        <v>8562</v>
      </c>
      <c r="AB130" s="180">
        <v>33242</v>
      </c>
      <c r="AC130" s="180">
        <v>11742</v>
      </c>
      <c r="AD130" s="180">
        <v>17516</v>
      </c>
      <c r="AE130" s="180">
        <v>27477</v>
      </c>
      <c r="AF130" s="180">
        <v>548</v>
      </c>
      <c r="AG130" s="180">
        <v>23420</v>
      </c>
      <c r="AH130" s="180">
        <v>41114</v>
      </c>
      <c r="AI130" s="180">
        <v>1374</v>
      </c>
      <c r="AJ130" s="180">
        <v>9497</v>
      </c>
      <c r="AK130" s="180">
        <v>1110</v>
      </c>
      <c r="AL130" s="180">
        <v>3148</v>
      </c>
      <c r="AM130" s="180">
        <v>21120</v>
      </c>
      <c r="AN130" s="180">
        <v>495</v>
      </c>
      <c r="AO130" s="180">
        <v>352351</v>
      </c>
      <c r="AP130" s="180">
        <v>8805</v>
      </c>
      <c r="AQ130" s="180">
        <v>1285</v>
      </c>
      <c r="AR130" s="180">
        <v>3474</v>
      </c>
      <c r="AS130" s="180">
        <v>133314</v>
      </c>
      <c r="AT130" s="180">
        <v>2949</v>
      </c>
      <c r="AU130" s="180">
        <v>13555</v>
      </c>
      <c r="AV130" s="180">
        <v>30442</v>
      </c>
      <c r="AW130" s="180">
        <v>12409</v>
      </c>
      <c r="AX130" s="180">
        <v>686</v>
      </c>
      <c r="AY130" s="180">
        <v>5655</v>
      </c>
      <c r="AZ130" s="180">
        <v>4928</v>
      </c>
      <c r="BA130" s="180">
        <v>3357</v>
      </c>
      <c r="BB130" s="180">
        <v>758</v>
      </c>
      <c r="BC130" s="180">
        <v>2610</v>
      </c>
      <c r="BD130" s="180">
        <v>21974</v>
      </c>
      <c r="BE130" s="180">
        <v>16059</v>
      </c>
      <c r="BF130" s="180">
        <v>163566</v>
      </c>
      <c r="BG130" s="180"/>
      <c r="BH130" s="180">
        <v>1007</v>
      </c>
      <c r="BI130" s="180">
        <v>387</v>
      </c>
      <c r="BJ130" s="180">
        <v>8852</v>
      </c>
      <c r="BK130" s="180">
        <v>2183</v>
      </c>
      <c r="BL130" s="180">
        <v>18272</v>
      </c>
      <c r="BM130" s="180">
        <v>5788</v>
      </c>
      <c r="BN130" s="180">
        <v>25203</v>
      </c>
      <c r="BO130" s="180">
        <v>7287</v>
      </c>
      <c r="BP130" s="180"/>
      <c r="BQ130" s="180">
        <v>39242</v>
      </c>
      <c r="BR130" s="180"/>
      <c r="BS130" s="180">
        <v>36446</v>
      </c>
      <c r="BT130" s="180">
        <v>33390</v>
      </c>
      <c r="BU130" s="180"/>
      <c r="BV130" s="180">
        <v>30307</v>
      </c>
      <c r="BW130" s="180"/>
      <c r="BX130" s="180"/>
      <c r="BY130" s="180"/>
      <c r="BZ130" s="180"/>
      <c r="CA130" s="180"/>
      <c r="CB130" s="180"/>
      <c r="CC130" s="180"/>
      <c r="CD130" s="180"/>
      <c r="CE130" s="180"/>
      <c r="CF130" s="180"/>
      <c r="CG130" s="180"/>
      <c r="CH130" s="180"/>
      <c r="CI130" s="180"/>
      <c r="CJ130" s="180"/>
      <c r="CK130" s="180"/>
      <c r="CL130" s="180"/>
      <c r="CM130" s="180"/>
      <c r="CN130" s="180"/>
      <c r="CO130" s="180"/>
      <c r="CP130" s="180"/>
      <c r="CQ130" s="180"/>
      <c r="CR130" s="180"/>
      <c r="CS130" s="180"/>
      <c r="CT130" s="180"/>
      <c r="CU130" s="180"/>
    </row>
    <row r="131" spans="1:99" x14ac:dyDescent="0.3">
      <c r="A131" s="155">
        <v>531</v>
      </c>
      <c r="B131" s="180" t="s">
        <v>260</v>
      </c>
      <c r="C131" s="180"/>
      <c r="D131" s="180">
        <v>0</v>
      </c>
      <c r="E131" s="180">
        <v>0</v>
      </c>
      <c r="F131" s="180"/>
      <c r="G131" s="180"/>
      <c r="H131" s="180">
        <v>0</v>
      </c>
      <c r="I131" s="180">
        <v>0</v>
      </c>
      <c r="J131" s="180"/>
      <c r="K131" s="180">
        <v>0</v>
      </c>
      <c r="L131" s="180">
        <v>0</v>
      </c>
      <c r="M131" s="180">
        <v>0</v>
      </c>
      <c r="N131" s="180">
        <v>0</v>
      </c>
      <c r="O131" s="180">
        <v>0</v>
      </c>
      <c r="P131" s="180"/>
      <c r="Q131" s="180">
        <v>0</v>
      </c>
      <c r="R131" s="180">
        <v>0</v>
      </c>
      <c r="S131" s="180">
        <v>0</v>
      </c>
      <c r="T131" s="180">
        <v>0</v>
      </c>
      <c r="U131" s="180"/>
      <c r="V131" s="180"/>
      <c r="W131" s="180"/>
      <c r="X131" s="180">
        <v>0</v>
      </c>
      <c r="Y131" s="180">
        <v>0</v>
      </c>
      <c r="Z131" s="180">
        <v>4188</v>
      </c>
      <c r="AA131" s="180">
        <v>0</v>
      </c>
      <c r="AB131" s="180">
        <v>0</v>
      </c>
      <c r="AC131" s="180">
        <v>0</v>
      </c>
      <c r="AD131" s="180">
        <v>0</v>
      </c>
      <c r="AE131" s="180">
        <v>0</v>
      </c>
      <c r="AF131" s="180">
        <v>0</v>
      </c>
      <c r="AG131" s="180">
        <v>0</v>
      </c>
      <c r="AH131" s="180">
        <v>784</v>
      </c>
      <c r="AI131" s="180">
        <v>0</v>
      </c>
      <c r="AJ131" s="180">
        <v>0</v>
      </c>
      <c r="AK131" s="180">
        <v>0</v>
      </c>
      <c r="AL131" s="180">
        <v>0</v>
      </c>
      <c r="AM131" s="180">
        <v>0</v>
      </c>
      <c r="AN131" s="180">
        <v>0</v>
      </c>
      <c r="AO131" s="180">
        <v>0</v>
      </c>
      <c r="AP131" s="180">
        <v>0</v>
      </c>
      <c r="AQ131" s="180">
        <v>0</v>
      </c>
      <c r="AR131" s="180">
        <v>0</v>
      </c>
      <c r="AS131" s="180">
        <v>30908</v>
      </c>
      <c r="AT131" s="180">
        <v>0</v>
      </c>
      <c r="AU131" s="180">
        <v>0</v>
      </c>
      <c r="AV131" s="180">
        <v>0</v>
      </c>
      <c r="AW131" s="180">
        <v>0</v>
      </c>
      <c r="AX131" s="180">
        <v>0</v>
      </c>
      <c r="AY131" s="180">
        <v>0</v>
      </c>
      <c r="AZ131" s="180">
        <v>0</v>
      </c>
      <c r="BA131" s="180">
        <v>0</v>
      </c>
      <c r="BB131" s="180">
        <v>0</v>
      </c>
      <c r="BC131" s="180">
        <v>0</v>
      </c>
      <c r="BD131" s="180">
        <v>0</v>
      </c>
      <c r="BE131" s="180">
        <v>0</v>
      </c>
      <c r="BF131" s="180">
        <v>0</v>
      </c>
      <c r="BG131" s="180"/>
      <c r="BH131" s="180">
        <v>0</v>
      </c>
      <c r="BI131" s="180">
        <v>0</v>
      </c>
      <c r="BJ131" s="180">
        <v>0</v>
      </c>
      <c r="BK131" s="180">
        <v>0</v>
      </c>
      <c r="BL131" s="180">
        <v>0</v>
      </c>
      <c r="BM131" s="180">
        <v>0</v>
      </c>
      <c r="BN131" s="180">
        <v>0</v>
      </c>
      <c r="BO131" s="180">
        <v>0</v>
      </c>
      <c r="BP131" s="180"/>
      <c r="BQ131" s="180">
        <v>0</v>
      </c>
      <c r="BR131" s="180"/>
      <c r="BS131" s="180">
        <v>0</v>
      </c>
      <c r="BT131" s="180">
        <v>0</v>
      </c>
      <c r="BU131" s="180"/>
      <c r="BV131" s="180">
        <v>0</v>
      </c>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row>
    <row r="132" spans="1:99" x14ac:dyDescent="0.3">
      <c r="A132" s="155">
        <v>532</v>
      </c>
      <c r="B132" s="180" t="s">
        <v>926</v>
      </c>
      <c r="C132" s="180"/>
      <c r="D132" s="180">
        <v>6320155</v>
      </c>
      <c r="E132" s="180">
        <v>422900851</v>
      </c>
      <c r="F132" s="180"/>
      <c r="G132" s="180"/>
      <c r="H132" s="180">
        <v>2395659</v>
      </c>
      <c r="I132" s="180">
        <v>36366</v>
      </c>
      <c r="J132" s="180"/>
      <c r="K132" s="180">
        <v>1141778</v>
      </c>
      <c r="L132" s="180">
        <v>4011096</v>
      </c>
      <c r="M132" s="180">
        <v>17947720</v>
      </c>
      <c r="N132" s="180">
        <v>89311</v>
      </c>
      <c r="O132" s="180">
        <v>540311</v>
      </c>
      <c r="P132" s="180"/>
      <c r="Q132" s="180">
        <v>393269</v>
      </c>
      <c r="R132" s="180">
        <v>1542731</v>
      </c>
      <c r="S132" s="180">
        <v>1622718</v>
      </c>
      <c r="T132" s="180">
        <v>16851697</v>
      </c>
      <c r="U132" s="180"/>
      <c r="V132" s="180"/>
      <c r="W132" s="180"/>
      <c r="X132" s="180">
        <v>9885363</v>
      </c>
      <c r="Y132" s="180">
        <v>1605790</v>
      </c>
      <c r="Z132" s="180">
        <v>79534487</v>
      </c>
      <c r="AA132" s="180">
        <v>10274351</v>
      </c>
      <c r="AB132" s="180">
        <v>312174</v>
      </c>
      <c r="AC132" s="180">
        <v>301825</v>
      </c>
      <c r="AD132" s="180">
        <v>1274736</v>
      </c>
      <c r="AE132" s="180">
        <v>1622755</v>
      </c>
      <c r="AF132" s="180">
        <v>395370</v>
      </c>
      <c r="AG132" s="180">
        <v>1179470</v>
      </c>
      <c r="AH132" s="180">
        <v>11626770</v>
      </c>
      <c r="AI132" s="180">
        <v>108331</v>
      </c>
      <c r="AJ132" s="180">
        <v>3168532</v>
      </c>
      <c r="AK132" s="180">
        <v>169561</v>
      </c>
      <c r="AL132" s="180">
        <v>1287650</v>
      </c>
      <c r="AM132" s="180">
        <v>5638253</v>
      </c>
      <c r="AN132" s="180">
        <v>356009</v>
      </c>
      <c r="AO132" s="180">
        <v>38873145</v>
      </c>
      <c r="AP132" s="180">
        <v>1243858</v>
      </c>
      <c r="AQ132" s="180">
        <v>101723</v>
      </c>
      <c r="AR132" s="180">
        <v>142669</v>
      </c>
      <c r="AS132" s="180">
        <v>33301129</v>
      </c>
      <c r="AT132" s="180">
        <v>279062</v>
      </c>
      <c r="AU132" s="180">
        <v>2930189</v>
      </c>
      <c r="AV132" s="180">
        <v>1875929</v>
      </c>
      <c r="AW132" s="180">
        <v>334535</v>
      </c>
      <c r="AX132" s="180">
        <v>359311</v>
      </c>
      <c r="AY132" s="180">
        <v>367745</v>
      </c>
      <c r="AZ132" s="180">
        <v>6251761</v>
      </c>
      <c r="BA132" s="180">
        <v>2175167</v>
      </c>
      <c r="BB132" s="180">
        <v>57262</v>
      </c>
      <c r="BC132" s="180">
        <v>332243</v>
      </c>
      <c r="BD132" s="180">
        <v>5746736</v>
      </c>
      <c r="BE132" s="180">
        <v>1600982</v>
      </c>
      <c r="BF132" s="180">
        <v>31332094</v>
      </c>
      <c r="BG132" s="180"/>
      <c r="BH132" s="180">
        <v>358912</v>
      </c>
      <c r="BI132" s="180">
        <v>238829</v>
      </c>
      <c r="BJ132" s="180">
        <v>15991324</v>
      </c>
      <c r="BK132" s="180">
        <v>1248829</v>
      </c>
      <c r="BL132" s="180">
        <v>20635159</v>
      </c>
      <c r="BM132" s="180">
        <v>5937174</v>
      </c>
      <c r="BN132" s="180">
        <v>8969957</v>
      </c>
      <c r="BO132" s="180">
        <v>1492314</v>
      </c>
      <c r="BP132" s="180"/>
      <c r="BQ132" s="180">
        <v>3182686</v>
      </c>
      <c r="BR132" s="180"/>
      <c r="BS132" s="180">
        <v>3550119</v>
      </c>
      <c r="BT132" s="180">
        <v>1289248</v>
      </c>
      <c r="BU132" s="180"/>
      <c r="BV132" s="180">
        <v>2626903</v>
      </c>
      <c r="BW132" s="180"/>
      <c r="BX132" s="180"/>
      <c r="BY132" s="180"/>
      <c r="BZ132" s="180"/>
      <c r="CA132" s="180"/>
      <c r="CB132" s="180"/>
      <c r="CC132" s="180"/>
      <c r="CD132" s="180"/>
      <c r="CE132" s="180"/>
      <c r="CF132" s="180"/>
      <c r="CG132" s="180"/>
      <c r="CH132" s="180"/>
      <c r="CI132" s="180"/>
      <c r="CJ132" s="180"/>
      <c r="CK132" s="180"/>
      <c r="CL132" s="180"/>
      <c r="CM132" s="180"/>
      <c r="CN132" s="180"/>
      <c r="CO132" s="180"/>
      <c r="CP132" s="180"/>
      <c r="CQ132" s="180"/>
      <c r="CR132" s="180"/>
      <c r="CS132" s="180"/>
      <c r="CT132" s="180"/>
      <c r="CU132" s="180"/>
    </row>
    <row r="133" spans="1:99" x14ac:dyDescent="0.3">
      <c r="A133" s="155">
        <v>533</v>
      </c>
      <c r="B133" s="180" t="s">
        <v>927</v>
      </c>
      <c r="C133" s="180"/>
      <c r="D133" s="180">
        <v>350403</v>
      </c>
      <c r="E133" s="180">
        <v>0</v>
      </c>
      <c r="F133" s="180"/>
      <c r="G133" s="180"/>
      <c r="H133" s="180">
        <v>0</v>
      </c>
      <c r="I133" s="180">
        <v>0</v>
      </c>
      <c r="J133" s="180"/>
      <c r="K133" s="180">
        <v>0</v>
      </c>
      <c r="L133" s="180">
        <v>99734</v>
      </c>
      <c r="M133" s="180">
        <v>1175188</v>
      </c>
      <c r="N133" s="180">
        <v>0</v>
      </c>
      <c r="O133" s="180">
        <v>0</v>
      </c>
      <c r="P133" s="180"/>
      <c r="Q133" s="180">
        <v>0</v>
      </c>
      <c r="R133" s="180">
        <v>0</v>
      </c>
      <c r="S133" s="180">
        <v>0</v>
      </c>
      <c r="T133" s="180">
        <v>0</v>
      </c>
      <c r="U133" s="180"/>
      <c r="V133" s="180"/>
      <c r="W133" s="180"/>
      <c r="X133" s="180">
        <v>0</v>
      </c>
      <c r="Y133" s="180">
        <v>0</v>
      </c>
      <c r="Z133" s="180">
        <v>9238832</v>
      </c>
      <c r="AA133" s="180">
        <v>0</v>
      </c>
      <c r="AB133" s="180">
        <v>0</v>
      </c>
      <c r="AC133" s="180">
        <v>0</v>
      </c>
      <c r="AD133" s="180">
        <v>14456</v>
      </c>
      <c r="AE133" s="180">
        <v>0</v>
      </c>
      <c r="AF133" s="180">
        <v>0</v>
      </c>
      <c r="AG133" s="180">
        <v>0</v>
      </c>
      <c r="AH133" s="180">
        <v>499252</v>
      </c>
      <c r="AI133" s="180">
        <v>0</v>
      </c>
      <c r="AJ133" s="180">
        <v>0</v>
      </c>
      <c r="AK133" s="180">
        <v>0</v>
      </c>
      <c r="AL133" s="180">
        <v>0</v>
      </c>
      <c r="AM133" s="180">
        <v>345037</v>
      </c>
      <c r="AN133" s="180">
        <v>0</v>
      </c>
      <c r="AO133" s="180">
        <v>0</v>
      </c>
      <c r="AP133" s="180">
        <v>0</v>
      </c>
      <c r="AQ133" s="180">
        <v>0</v>
      </c>
      <c r="AR133" s="180">
        <v>0</v>
      </c>
      <c r="AS133" s="180">
        <v>0</v>
      </c>
      <c r="AT133" s="180">
        <v>0</v>
      </c>
      <c r="AU133" s="180">
        <v>0</v>
      </c>
      <c r="AV133" s="180">
        <v>0</v>
      </c>
      <c r="AW133" s="180">
        <v>0</v>
      </c>
      <c r="AX133" s="180">
        <v>0</v>
      </c>
      <c r="AY133" s="180">
        <v>0</v>
      </c>
      <c r="AZ133" s="180">
        <v>81407</v>
      </c>
      <c r="BA133" s="180">
        <v>0</v>
      </c>
      <c r="BB133" s="180">
        <v>0</v>
      </c>
      <c r="BC133" s="180">
        <v>0</v>
      </c>
      <c r="BD133" s="180">
        <v>0</v>
      </c>
      <c r="BE133" s="180">
        <v>185000</v>
      </c>
      <c r="BF133" s="180">
        <v>1766823</v>
      </c>
      <c r="BG133" s="180"/>
      <c r="BH133" s="180">
        <v>0</v>
      </c>
      <c r="BI133" s="180">
        <v>0</v>
      </c>
      <c r="BJ133" s="180">
        <v>0</v>
      </c>
      <c r="BK133" s="180">
        <v>0</v>
      </c>
      <c r="BL133" s="180">
        <v>0</v>
      </c>
      <c r="BM133" s="180">
        <v>0</v>
      </c>
      <c r="BN133" s="180">
        <v>1619249</v>
      </c>
      <c r="BO133" s="180">
        <v>0</v>
      </c>
      <c r="BP133" s="180"/>
      <c r="BQ133" s="180">
        <v>0</v>
      </c>
      <c r="BR133" s="180"/>
      <c r="BS133" s="180">
        <v>381000</v>
      </c>
      <c r="BT133" s="180">
        <v>0</v>
      </c>
      <c r="BU133" s="180"/>
      <c r="BV133" s="180">
        <v>0</v>
      </c>
      <c r="BW133" s="180"/>
      <c r="BX133" s="180"/>
      <c r="BY133" s="180"/>
      <c r="BZ133" s="180"/>
      <c r="CA133" s="180"/>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row>
    <row r="134" spans="1:99" x14ac:dyDescent="0.3">
      <c r="A134" s="155">
        <v>535</v>
      </c>
      <c r="B134" s="180" t="s">
        <v>244</v>
      </c>
      <c r="C134" s="180"/>
      <c r="D134" s="180">
        <v>0</v>
      </c>
      <c r="E134" s="180">
        <v>23220017</v>
      </c>
      <c r="F134" s="180"/>
      <c r="G134" s="180"/>
      <c r="H134" s="180">
        <v>0</v>
      </c>
      <c r="I134" s="180">
        <v>0</v>
      </c>
      <c r="J134" s="180"/>
      <c r="K134" s="180">
        <v>0</v>
      </c>
      <c r="L134" s="180">
        <v>0</v>
      </c>
      <c r="M134" s="180">
        <v>1745809</v>
      </c>
      <c r="N134" s="180">
        <v>1</v>
      </c>
      <c r="O134" s="180">
        <v>0</v>
      </c>
      <c r="P134" s="180"/>
      <c r="Q134" s="180">
        <v>0</v>
      </c>
      <c r="R134" s="180">
        <v>0</v>
      </c>
      <c r="S134" s="180">
        <v>0</v>
      </c>
      <c r="T134" s="180">
        <v>0</v>
      </c>
      <c r="U134" s="180"/>
      <c r="V134" s="180"/>
      <c r="W134" s="180"/>
      <c r="X134" s="180">
        <v>0</v>
      </c>
      <c r="Y134" s="180">
        <v>0</v>
      </c>
      <c r="Z134" s="180">
        <v>4672299</v>
      </c>
      <c r="AA134" s="180">
        <v>0</v>
      </c>
      <c r="AB134" s="180">
        <v>0</v>
      </c>
      <c r="AC134" s="180">
        <v>0</v>
      </c>
      <c r="AD134" s="180">
        <v>0</v>
      </c>
      <c r="AE134" s="180">
        <v>0</v>
      </c>
      <c r="AF134" s="180">
        <v>0</v>
      </c>
      <c r="AG134" s="180">
        <v>1</v>
      </c>
      <c r="AH134" s="180">
        <v>0</v>
      </c>
      <c r="AI134" s="180">
        <v>0</v>
      </c>
      <c r="AJ134" s="180">
        <v>0</v>
      </c>
      <c r="AK134" s="180">
        <v>0</v>
      </c>
      <c r="AL134" s="180">
        <v>0</v>
      </c>
      <c r="AM134" s="180">
        <v>0</v>
      </c>
      <c r="AN134" s="180">
        <v>0</v>
      </c>
      <c r="AO134" s="180">
        <v>7308747</v>
      </c>
      <c r="AP134" s="180">
        <v>0</v>
      </c>
      <c r="AQ134" s="180">
        <v>0</v>
      </c>
      <c r="AR134" s="180">
        <v>0</v>
      </c>
      <c r="AS134" s="180">
        <v>981547</v>
      </c>
      <c r="AT134" s="180">
        <v>0</v>
      </c>
      <c r="AU134" s="180">
        <v>0</v>
      </c>
      <c r="AV134" s="180">
        <v>0</v>
      </c>
      <c r="AW134" s="180">
        <v>0</v>
      </c>
      <c r="AX134" s="180">
        <v>0</v>
      </c>
      <c r="AY134" s="180">
        <v>0</v>
      </c>
      <c r="AZ134" s="180">
        <v>0</v>
      </c>
      <c r="BA134" s="180">
        <v>0</v>
      </c>
      <c r="BB134" s="180">
        <v>0</v>
      </c>
      <c r="BC134" s="180">
        <v>0</v>
      </c>
      <c r="BD134" s="180">
        <v>0</v>
      </c>
      <c r="BE134" s="180">
        <v>0</v>
      </c>
      <c r="BF134" s="180">
        <v>7331153</v>
      </c>
      <c r="BG134" s="180"/>
      <c r="BH134" s="180">
        <v>0</v>
      </c>
      <c r="BI134" s="180">
        <v>0</v>
      </c>
      <c r="BJ134" s="180">
        <v>431187</v>
      </c>
      <c r="BK134" s="180">
        <v>0</v>
      </c>
      <c r="BL134" s="180">
        <v>0</v>
      </c>
      <c r="BM134" s="180">
        <v>5150178</v>
      </c>
      <c r="BN134" s="180">
        <v>0</v>
      </c>
      <c r="BO134" s="180">
        <v>6917950</v>
      </c>
      <c r="BP134" s="180"/>
      <c r="BQ134" s="180">
        <v>0</v>
      </c>
      <c r="BR134" s="180"/>
      <c r="BS134" s="180">
        <v>441000</v>
      </c>
      <c r="BT134" s="180">
        <v>0</v>
      </c>
      <c r="BU134" s="180"/>
      <c r="BV134" s="180">
        <v>0</v>
      </c>
      <c r="BW134" s="180"/>
      <c r="BX134" s="180"/>
      <c r="BY134" s="180"/>
      <c r="BZ134" s="180"/>
      <c r="CA134" s="180"/>
      <c r="CB134" s="180"/>
      <c r="CC134" s="180"/>
      <c r="CD134" s="180"/>
      <c r="CE134" s="180"/>
      <c r="CF134" s="180"/>
      <c r="CG134" s="180"/>
      <c r="CH134" s="180"/>
      <c r="CI134" s="180"/>
      <c r="CJ134" s="180"/>
      <c r="CK134" s="180"/>
      <c r="CL134" s="180"/>
      <c r="CM134" s="180"/>
      <c r="CN134" s="180"/>
      <c r="CO134" s="180"/>
      <c r="CP134" s="180"/>
      <c r="CQ134" s="180"/>
      <c r="CR134" s="180"/>
      <c r="CS134" s="180"/>
      <c r="CT134" s="180"/>
      <c r="CU134" s="180"/>
    </row>
    <row r="135" spans="1:99" x14ac:dyDescent="0.3">
      <c r="A135" s="155">
        <v>536</v>
      </c>
      <c r="B135" s="180" t="s">
        <v>190</v>
      </c>
      <c r="C135" s="180"/>
      <c r="D135" s="180">
        <v>826680</v>
      </c>
      <c r="E135" s="180">
        <v>453505</v>
      </c>
      <c r="F135" s="180"/>
      <c r="G135" s="180"/>
      <c r="H135" s="180">
        <v>538612</v>
      </c>
      <c r="I135" s="180">
        <v>1671</v>
      </c>
      <c r="J135" s="180"/>
      <c r="K135" s="180">
        <v>0</v>
      </c>
      <c r="L135" s="180">
        <v>1910</v>
      </c>
      <c r="M135" s="180">
        <v>245998</v>
      </c>
      <c r="N135" s="180">
        <v>67857</v>
      </c>
      <c r="O135" s="180">
        <v>68462</v>
      </c>
      <c r="P135" s="180"/>
      <c r="Q135" s="180">
        <v>130016</v>
      </c>
      <c r="R135" s="180">
        <v>316036</v>
      </c>
      <c r="S135" s="180">
        <v>21990</v>
      </c>
      <c r="T135" s="180">
        <v>113551</v>
      </c>
      <c r="U135" s="180"/>
      <c r="V135" s="180"/>
      <c r="W135" s="180"/>
      <c r="X135" s="180">
        <v>443440</v>
      </c>
      <c r="Y135" s="180">
        <v>159678</v>
      </c>
      <c r="Z135" s="180">
        <v>4114092</v>
      </c>
      <c r="AA135" s="180">
        <v>491313</v>
      </c>
      <c r="AB135" s="180">
        <v>80507</v>
      </c>
      <c r="AC135" s="180">
        <v>50793</v>
      </c>
      <c r="AD135" s="180">
        <v>0</v>
      </c>
      <c r="AE135" s="180">
        <v>0</v>
      </c>
      <c r="AF135" s="180">
        <v>64572</v>
      </c>
      <c r="AG135" s="180">
        <v>0</v>
      </c>
      <c r="AH135" s="180">
        <v>170522</v>
      </c>
      <c r="AI135" s="180">
        <v>37846</v>
      </c>
      <c r="AJ135" s="180">
        <v>747820</v>
      </c>
      <c r="AK135" s="180">
        <v>21455</v>
      </c>
      <c r="AL135" s="180">
        <v>7063</v>
      </c>
      <c r="AM135" s="180">
        <v>862029</v>
      </c>
      <c r="AN135" s="180">
        <v>74848</v>
      </c>
      <c r="AO135" s="180">
        <v>1070107</v>
      </c>
      <c r="AP135" s="180">
        <v>178836</v>
      </c>
      <c r="AQ135" s="180">
        <v>77986</v>
      </c>
      <c r="AR135" s="180">
        <v>316214</v>
      </c>
      <c r="AS135" s="180">
        <v>3107192</v>
      </c>
      <c r="AT135" s="180">
        <v>73637</v>
      </c>
      <c r="AU135" s="180">
        <v>490855</v>
      </c>
      <c r="AV135" s="180">
        <v>164512</v>
      </c>
      <c r="AW135" s="180">
        <v>60527</v>
      </c>
      <c r="AX135" s="180">
        <v>25374</v>
      </c>
      <c r="AY135" s="180">
        <v>126420</v>
      </c>
      <c r="AZ135" s="180">
        <v>631720</v>
      </c>
      <c r="BA135" s="180">
        <v>0</v>
      </c>
      <c r="BB135" s="180">
        <v>36438</v>
      </c>
      <c r="BC135" s="180">
        <v>47727</v>
      </c>
      <c r="BD135" s="180">
        <v>438387</v>
      </c>
      <c r="BE135" s="180">
        <v>87262</v>
      </c>
      <c r="BF135" s="180">
        <v>1826866</v>
      </c>
      <c r="BG135" s="180"/>
      <c r="BH135" s="180">
        <v>13283</v>
      </c>
      <c r="BI135" s="180">
        <v>42955</v>
      </c>
      <c r="BJ135" s="180">
        <v>612276</v>
      </c>
      <c r="BK135" s="180">
        <v>126973</v>
      </c>
      <c r="BL135" s="180">
        <v>879051</v>
      </c>
      <c r="BM135" s="180">
        <v>2326744</v>
      </c>
      <c r="BN135" s="180">
        <v>175246</v>
      </c>
      <c r="BO135" s="180">
        <v>70101</v>
      </c>
      <c r="BP135" s="180"/>
      <c r="BQ135" s="180">
        <v>350048</v>
      </c>
      <c r="BR135" s="180"/>
      <c r="BS135" s="180">
        <v>417706</v>
      </c>
      <c r="BT135" s="180">
        <v>450733</v>
      </c>
      <c r="BU135" s="180"/>
      <c r="BV135" s="180">
        <v>683118</v>
      </c>
      <c r="BW135" s="180"/>
      <c r="BX135" s="180"/>
      <c r="BY135" s="180"/>
      <c r="BZ135" s="180"/>
      <c r="CA135" s="180"/>
      <c r="CB135" s="180"/>
      <c r="CC135" s="180"/>
      <c r="CD135" s="180"/>
      <c r="CE135" s="180"/>
      <c r="CF135" s="180"/>
      <c r="CG135" s="180"/>
      <c r="CH135" s="180"/>
      <c r="CI135" s="180"/>
      <c r="CJ135" s="180"/>
      <c r="CK135" s="180"/>
      <c r="CL135" s="180"/>
      <c r="CM135" s="180"/>
      <c r="CN135" s="180"/>
      <c r="CO135" s="180"/>
      <c r="CP135" s="180"/>
      <c r="CQ135" s="180"/>
      <c r="CR135" s="180"/>
      <c r="CS135" s="180"/>
      <c r="CT135" s="180"/>
      <c r="CU135" s="180"/>
    </row>
    <row r="136" spans="1:99" x14ac:dyDescent="0.3">
      <c r="A136" s="155">
        <v>537</v>
      </c>
      <c r="B136" s="180" t="s">
        <v>280</v>
      </c>
      <c r="C136" s="180"/>
      <c r="D136" s="180">
        <v>2</v>
      </c>
      <c r="E136" s="180">
        <v>1</v>
      </c>
      <c r="F136" s="180"/>
      <c r="G136" s="180"/>
      <c r="H136" s="180">
        <v>2</v>
      </c>
      <c r="I136" s="180">
        <v>0</v>
      </c>
      <c r="J136" s="180"/>
      <c r="K136" s="180">
        <v>0</v>
      </c>
      <c r="L136" s="180">
        <v>2</v>
      </c>
      <c r="M136" s="180">
        <v>2</v>
      </c>
      <c r="N136" s="180">
        <v>2</v>
      </c>
      <c r="O136" s="180">
        <v>1</v>
      </c>
      <c r="P136" s="180"/>
      <c r="Q136" s="180">
        <v>0</v>
      </c>
      <c r="R136" s="180">
        <v>2</v>
      </c>
      <c r="S136" s="180">
        <v>1</v>
      </c>
      <c r="T136" s="180">
        <v>0</v>
      </c>
      <c r="U136" s="180"/>
      <c r="V136" s="180"/>
      <c r="W136" s="180"/>
      <c r="X136" s="180">
        <v>2</v>
      </c>
      <c r="Y136" s="180">
        <v>0</v>
      </c>
      <c r="Z136" s="180">
        <v>2</v>
      </c>
      <c r="AA136" s="180">
        <v>0</v>
      </c>
      <c r="AB136" s="180">
        <v>0</v>
      </c>
      <c r="AC136" s="180">
        <v>2</v>
      </c>
      <c r="AD136" s="180">
        <v>1</v>
      </c>
      <c r="AE136" s="180">
        <v>1</v>
      </c>
      <c r="AF136" s="180">
        <v>1</v>
      </c>
      <c r="AG136" s="180">
        <v>1</v>
      </c>
      <c r="AH136" s="180">
        <v>2</v>
      </c>
      <c r="AI136" s="180">
        <v>0</v>
      </c>
      <c r="AJ136" s="180">
        <v>0</v>
      </c>
      <c r="AK136" s="180">
        <v>0</v>
      </c>
      <c r="AL136" s="180">
        <v>2</v>
      </c>
      <c r="AM136" s="180">
        <v>1</v>
      </c>
      <c r="AN136" s="180">
        <v>2</v>
      </c>
      <c r="AO136" s="180">
        <v>1</v>
      </c>
      <c r="AP136" s="180">
        <v>2</v>
      </c>
      <c r="AQ136" s="180">
        <v>2</v>
      </c>
      <c r="AR136" s="180">
        <v>2</v>
      </c>
      <c r="AS136" s="180">
        <v>1</v>
      </c>
      <c r="AT136" s="180">
        <v>2</v>
      </c>
      <c r="AU136" s="180">
        <v>1</v>
      </c>
      <c r="AV136" s="180">
        <v>2</v>
      </c>
      <c r="AW136" s="180">
        <v>0</v>
      </c>
      <c r="AX136" s="180">
        <v>0</v>
      </c>
      <c r="AY136" s="180">
        <v>2</v>
      </c>
      <c r="AZ136" s="180">
        <v>1</v>
      </c>
      <c r="BA136" s="180">
        <v>2</v>
      </c>
      <c r="BB136" s="180">
        <v>1</v>
      </c>
      <c r="BC136" s="180">
        <v>2</v>
      </c>
      <c r="BD136" s="180">
        <v>2</v>
      </c>
      <c r="BE136" s="180">
        <v>2</v>
      </c>
      <c r="BF136" s="180">
        <v>1</v>
      </c>
      <c r="BG136" s="180"/>
      <c r="BH136" s="180">
        <v>0</v>
      </c>
      <c r="BI136" s="180">
        <v>1</v>
      </c>
      <c r="BJ136" s="180">
        <v>1</v>
      </c>
      <c r="BK136" s="180">
        <v>2</v>
      </c>
      <c r="BL136" s="180">
        <v>1</v>
      </c>
      <c r="BM136" s="180">
        <v>0</v>
      </c>
      <c r="BN136" s="180">
        <v>1</v>
      </c>
      <c r="BO136" s="180">
        <v>1</v>
      </c>
      <c r="BP136" s="180"/>
      <c r="BQ136" s="180">
        <v>0</v>
      </c>
      <c r="BR136" s="180"/>
      <c r="BS136" s="180">
        <v>1</v>
      </c>
      <c r="BT136" s="180">
        <v>2</v>
      </c>
      <c r="BU136" s="180"/>
      <c r="BV136" s="180">
        <v>1</v>
      </c>
      <c r="BW136" s="180"/>
      <c r="BX136" s="180"/>
      <c r="BY136" s="180"/>
      <c r="BZ136" s="180"/>
      <c r="CA136" s="180"/>
      <c r="CB136" s="180"/>
      <c r="CC136" s="180"/>
      <c r="CD136" s="180"/>
      <c r="CE136" s="180"/>
      <c r="CF136" s="180"/>
      <c r="CG136" s="180"/>
      <c r="CH136" s="180"/>
      <c r="CI136" s="180"/>
      <c r="CJ136" s="180"/>
      <c r="CK136" s="180"/>
      <c r="CL136" s="180"/>
      <c r="CM136" s="180"/>
      <c r="CN136" s="180"/>
      <c r="CO136" s="180"/>
      <c r="CP136" s="180"/>
      <c r="CQ136" s="180"/>
      <c r="CR136" s="180"/>
      <c r="CS136" s="180"/>
      <c r="CT136" s="180"/>
      <c r="CU136" s="180"/>
    </row>
    <row r="137" spans="1:99" x14ac:dyDescent="0.3">
      <c r="A137" s="155">
        <v>538</v>
      </c>
      <c r="B137" s="180" t="s">
        <v>279</v>
      </c>
      <c r="C137" s="180"/>
      <c r="D137" s="180">
        <v>2</v>
      </c>
      <c r="E137" s="180">
        <v>1</v>
      </c>
      <c r="F137" s="180"/>
      <c r="G137" s="180"/>
      <c r="H137" s="180">
        <v>2</v>
      </c>
      <c r="I137" s="180">
        <v>0</v>
      </c>
      <c r="J137" s="180"/>
      <c r="K137" s="180">
        <v>0</v>
      </c>
      <c r="L137" s="180">
        <v>2</v>
      </c>
      <c r="M137" s="180">
        <v>2</v>
      </c>
      <c r="N137" s="180">
        <v>2</v>
      </c>
      <c r="O137" s="180">
        <v>2</v>
      </c>
      <c r="P137" s="180"/>
      <c r="Q137" s="180">
        <v>0</v>
      </c>
      <c r="R137" s="180">
        <v>2</v>
      </c>
      <c r="S137" s="180">
        <v>1</v>
      </c>
      <c r="T137" s="180">
        <v>0</v>
      </c>
      <c r="U137" s="180"/>
      <c r="V137" s="180"/>
      <c r="W137" s="180"/>
      <c r="X137" s="180">
        <v>2</v>
      </c>
      <c r="Y137" s="180">
        <v>0</v>
      </c>
      <c r="Z137" s="180">
        <v>1</v>
      </c>
      <c r="AA137" s="180">
        <v>0</v>
      </c>
      <c r="AB137" s="180">
        <v>0</v>
      </c>
      <c r="AC137" s="180">
        <v>2</v>
      </c>
      <c r="AD137" s="180">
        <v>1</v>
      </c>
      <c r="AE137" s="180">
        <v>2</v>
      </c>
      <c r="AF137" s="180">
        <v>2</v>
      </c>
      <c r="AG137" s="180">
        <v>1</v>
      </c>
      <c r="AH137" s="180">
        <v>2</v>
      </c>
      <c r="AI137" s="180">
        <v>0</v>
      </c>
      <c r="AJ137" s="180">
        <v>0</v>
      </c>
      <c r="AK137" s="180">
        <v>0</v>
      </c>
      <c r="AL137" s="180">
        <v>1</v>
      </c>
      <c r="AM137" s="180">
        <v>1</v>
      </c>
      <c r="AN137" s="180">
        <v>2</v>
      </c>
      <c r="AO137" s="180">
        <v>1</v>
      </c>
      <c r="AP137" s="180">
        <v>2</v>
      </c>
      <c r="AQ137" s="180">
        <v>2</v>
      </c>
      <c r="AR137" s="180">
        <v>2</v>
      </c>
      <c r="AS137" s="180">
        <v>1</v>
      </c>
      <c r="AT137" s="180">
        <v>2</v>
      </c>
      <c r="AU137" s="180">
        <v>1</v>
      </c>
      <c r="AV137" s="180">
        <v>2</v>
      </c>
      <c r="AW137" s="180">
        <v>0</v>
      </c>
      <c r="AX137" s="180">
        <v>0</v>
      </c>
      <c r="AY137" s="180">
        <v>2</v>
      </c>
      <c r="AZ137" s="180">
        <v>1</v>
      </c>
      <c r="BA137" s="180">
        <v>2</v>
      </c>
      <c r="BB137" s="180">
        <v>2</v>
      </c>
      <c r="BC137" s="180">
        <v>2</v>
      </c>
      <c r="BD137" s="180">
        <v>2</v>
      </c>
      <c r="BE137" s="180">
        <v>2</v>
      </c>
      <c r="BF137" s="180">
        <v>2</v>
      </c>
      <c r="BG137" s="180"/>
      <c r="BH137" s="180">
        <v>0</v>
      </c>
      <c r="BI137" s="180">
        <v>1</v>
      </c>
      <c r="BJ137" s="180">
        <v>1</v>
      </c>
      <c r="BK137" s="180">
        <v>2</v>
      </c>
      <c r="BL137" s="180">
        <v>1</v>
      </c>
      <c r="BM137" s="180">
        <v>0</v>
      </c>
      <c r="BN137" s="180">
        <v>2</v>
      </c>
      <c r="BO137" s="180">
        <v>2</v>
      </c>
      <c r="BP137" s="180"/>
      <c r="BQ137" s="180">
        <v>0</v>
      </c>
      <c r="BR137" s="180"/>
      <c r="BS137" s="180">
        <v>1</v>
      </c>
      <c r="BT137" s="180">
        <v>2</v>
      </c>
      <c r="BU137" s="180"/>
      <c r="BV137" s="180">
        <v>1</v>
      </c>
      <c r="BW137" s="180"/>
      <c r="BX137" s="180"/>
      <c r="BY137" s="180"/>
      <c r="BZ137" s="180"/>
      <c r="CA137" s="180"/>
      <c r="CB137" s="180"/>
      <c r="CC137" s="180"/>
      <c r="CD137" s="180"/>
      <c r="CE137" s="180"/>
      <c r="CF137" s="180"/>
      <c r="CG137" s="180"/>
      <c r="CH137" s="180"/>
      <c r="CI137" s="180"/>
      <c r="CJ137" s="180"/>
      <c r="CK137" s="180"/>
      <c r="CL137" s="180"/>
      <c r="CM137" s="180"/>
      <c r="CN137" s="180"/>
      <c r="CO137" s="180"/>
      <c r="CP137" s="180"/>
      <c r="CQ137" s="180"/>
      <c r="CR137" s="180"/>
      <c r="CS137" s="180"/>
      <c r="CT137" s="180"/>
      <c r="CU137" s="180"/>
    </row>
    <row r="138" spans="1:99" x14ac:dyDescent="0.3">
      <c r="A138" s="155">
        <v>540</v>
      </c>
      <c r="B138" s="180" t="s">
        <v>253</v>
      </c>
      <c r="C138" s="180"/>
      <c r="D138" s="180">
        <v>0</v>
      </c>
      <c r="E138" s="180">
        <v>24275144</v>
      </c>
      <c r="F138" s="180"/>
      <c r="G138" s="180"/>
      <c r="H138" s="180">
        <v>0</v>
      </c>
      <c r="I138" s="180">
        <v>0</v>
      </c>
      <c r="J138" s="180"/>
      <c r="K138" s="180">
        <v>0</v>
      </c>
      <c r="L138" s="180">
        <v>0</v>
      </c>
      <c r="M138" s="180">
        <v>0</v>
      </c>
      <c r="N138" s="180">
        <v>0</v>
      </c>
      <c r="O138" s="180">
        <v>0</v>
      </c>
      <c r="P138" s="180"/>
      <c r="Q138" s="180">
        <v>0</v>
      </c>
      <c r="R138" s="180">
        <v>0</v>
      </c>
      <c r="S138" s="180">
        <v>200813</v>
      </c>
      <c r="T138" s="180">
        <v>0</v>
      </c>
      <c r="U138" s="180"/>
      <c r="V138" s="180"/>
      <c r="W138" s="180"/>
      <c r="X138" s="180">
        <v>602900</v>
      </c>
      <c r="Y138" s="180">
        <v>20000</v>
      </c>
      <c r="Z138" s="180">
        <v>3700000</v>
      </c>
      <c r="AA138" s="180">
        <v>0</v>
      </c>
      <c r="AB138" s="180">
        <v>44230</v>
      </c>
      <c r="AC138" s="180">
        <v>0</v>
      </c>
      <c r="AD138" s="180">
        <v>0</v>
      </c>
      <c r="AE138" s="180">
        <v>0</v>
      </c>
      <c r="AF138" s="180">
        <v>0</v>
      </c>
      <c r="AG138" s="180">
        <v>0</v>
      </c>
      <c r="AH138" s="180">
        <v>0</v>
      </c>
      <c r="AI138" s="180">
        <v>0</v>
      </c>
      <c r="AJ138" s="180">
        <v>147849</v>
      </c>
      <c r="AK138" s="180">
        <v>15023</v>
      </c>
      <c r="AL138" s="180">
        <v>99850</v>
      </c>
      <c r="AM138" s="180">
        <v>37600</v>
      </c>
      <c r="AN138" s="180">
        <v>0</v>
      </c>
      <c r="AO138" s="180">
        <v>3134443</v>
      </c>
      <c r="AP138" s="180">
        <v>39972</v>
      </c>
      <c r="AQ138" s="180">
        <v>23</v>
      </c>
      <c r="AR138" s="180">
        <v>0</v>
      </c>
      <c r="AS138" s="180">
        <v>1831642</v>
      </c>
      <c r="AT138" s="180">
        <v>75000</v>
      </c>
      <c r="AU138" s="180">
        <v>0</v>
      </c>
      <c r="AV138" s="180">
        <v>0</v>
      </c>
      <c r="AW138" s="180">
        <v>0</v>
      </c>
      <c r="AX138" s="180">
        <v>0</v>
      </c>
      <c r="AY138" s="180">
        <v>0</v>
      </c>
      <c r="AZ138" s="180">
        <v>300000</v>
      </c>
      <c r="BA138" s="180">
        <v>0</v>
      </c>
      <c r="BB138" s="180">
        <v>6405</v>
      </c>
      <c r="BC138" s="180">
        <v>19550</v>
      </c>
      <c r="BD138" s="180">
        <v>0</v>
      </c>
      <c r="BE138" s="180">
        <v>0</v>
      </c>
      <c r="BF138" s="180">
        <v>92834</v>
      </c>
      <c r="BG138" s="180"/>
      <c r="BH138" s="180">
        <v>0</v>
      </c>
      <c r="BI138" s="180">
        <v>58800</v>
      </c>
      <c r="BJ138" s="180">
        <v>39875</v>
      </c>
      <c r="BK138" s="180">
        <v>0</v>
      </c>
      <c r="BL138" s="180">
        <v>3856359</v>
      </c>
      <c r="BM138" s="180">
        <v>365309</v>
      </c>
      <c r="BN138" s="180">
        <v>0</v>
      </c>
      <c r="BO138" s="180">
        <v>100000</v>
      </c>
      <c r="BP138" s="180"/>
      <c r="BQ138" s="180">
        <v>190259</v>
      </c>
      <c r="BR138" s="180"/>
      <c r="BS138" s="180">
        <v>1037680</v>
      </c>
      <c r="BT138" s="180">
        <v>0</v>
      </c>
      <c r="BU138" s="180"/>
      <c r="BV138" s="180">
        <v>0</v>
      </c>
      <c r="BW138" s="180"/>
      <c r="BX138" s="180"/>
      <c r="BY138" s="180"/>
      <c r="BZ138" s="180"/>
      <c r="CA138" s="180"/>
      <c r="CB138" s="180"/>
      <c r="CC138" s="180"/>
      <c r="CD138" s="180"/>
      <c r="CE138" s="180"/>
      <c r="CF138" s="180"/>
      <c r="CG138" s="180"/>
      <c r="CH138" s="180"/>
      <c r="CI138" s="180"/>
      <c r="CJ138" s="180"/>
      <c r="CK138" s="180"/>
      <c r="CL138" s="180"/>
      <c r="CM138" s="180"/>
      <c r="CN138" s="180"/>
      <c r="CO138" s="180"/>
      <c r="CP138" s="180"/>
      <c r="CQ138" s="180"/>
      <c r="CR138" s="180"/>
      <c r="CS138" s="180"/>
      <c r="CT138" s="180"/>
      <c r="CU138" s="180"/>
    </row>
    <row r="139" spans="1:99" x14ac:dyDescent="0.3">
      <c r="A139" s="155">
        <v>541</v>
      </c>
      <c r="B139" s="180" t="s">
        <v>310</v>
      </c>
      <c r="C139" s="180"/>
      <c r="D139" s="180">
        <v>598297</v>
      </c>
      <c r="E139" s="180">
        <v>88808508</v>
      </c>
      <c r="F139" s="180"/>
      <c r="G139" s="180"/>
      <c r="H139" s="180">
        <v>471996</v>
      </c>
      <c r="I139" s="180">
        <v>0</v>
      </c>
      <c r="J139" s="180"/>
      <c r="K139" s="180">
        <v>0</v>
      </c>
      <c r="L139" s="180">
        <v>0</v>
      </c>
      <c r="M139" s="180">
        <v>-1359729</v>
      </c>
      <c r="N139" s="180">
        <v>0</v>
      </c>
      <c r="O139" s="180">
        <v>70482</v>
      </c>
      <c r="P139" s="180"/>
      <c r="Q139" s="180">
        <v>0</v>
      </c>
      <c r="R139" s="180">
        <v>0</v>
      </c>
      <c r="S139" s="180">
        <v>-53433</v>
      </c>
      <c r="T139" s="180">
        <v>0</v>
      </c>
      <c r="U139" s="180"/>
      <c r="V139" s="180"/>
      <c r="W139" s="180"/>
      <c r="X139" s="180">
        <v>708194</v>
      </c>
      <c r="Y139" s="180">
        <v>0</v>
      </c>
      <c r="Z139" s="180">
        <v>-1221479</v>
      </c>
      <c r="AA139" s="180">
        <v>0</v>
      </c>
      <c r="AB139" s="180">
        <v>-58474</v>
      </c>
      <c r="AC139" s="180">
        <v>180110</v>
      </c>
      <c r="AD139" s="180">
        <v>88735</v>
      </c>
      <c r="AE139" s="180">
        <v>0</v>
      </c>
      <c r="AF139" s="180">
        <v>49538</v>
      </c>
      <c r="AG139" s="180">
        <v>18198</v>
      </c>
      <c r="AH139" s="180">
        <v>5328389</v>
      </c>
      <c r="AI139" s="180">
        <v>0</v>
      </c>
      <c r="AJ139" s="180">
        <v>0</v>
      </c>
      <c r="AK139" s="180">
        <v>0</v>
      </c>
      <c r="AL139" s="180">
        <v>30317</v>
      </c>
      <c r="AM139" s="180">
        <v>10893</v>
      </c>
      <c r="AN139" s="180">
        <v>0</v>
      </c>
      <c r="AO139" s="180">
        <v>7053865</v>
      </c>
      <c r="AP139" s="180">
        <v>136290</v>
      </c>
      <c r="AQ139" s="180">
        <v>0</v>
      </c>
      <c r="AR139" s="180">
        <v>14306</v>
      </c>
      <c r="AS139" s="180">
        <v>1470208</v>
      </c>
      <c r="AT139" s="180">
        <v>50535</v>
      </c>
      <c r="AU139" s="180">
        <v>72022</v>
      </c>
      <c r="AV139" s="180">
        <v>541228</v>
      </c>
      <c r="AW139" s="180">
        <v>372866</v>
      </c>
      <c r="AX139" s="180">
        <v>0</v>
      </c>
      <c r="AY139" s="180">
        <v>2</v>
      </c>
      <c r="AZ139" s="180">
        <v>1873090</v>
      </c>
      <c r="BA139" s="180">
        <v>55569</v>
      </c>
      <c r="BB139" s="180">
        <v>167318</v>
      </c>
      <c r="BC139" s="180">
        <v>6191</v>
      </c>
      <c r="BD139" s="180">
        <v>1755432</v>
      </c>
      <c r="BE139" s="180">
        <v>49376</v>
      </c>
      <c r="BF139" s="180">
        <v>312106</v>
      </c>
      <c r="BG139" s="180"/>
      <c r="BH139" s="180">
        <v>0</v>
      </c>
      <c r="BI139" s="180">
        <v>111111</v>
      </c>
      <c r="BJ139" s="180">
        <v>2953581</v>
      </c>
      <c r="BK139" s="180">
        <v>21773</v>
      </c>
      <c r="BL139" s="180">
        <v>888423</v>
      </c>
      <c r="BM139" s="180">
        <v>0</v>
      </c>
      <c r="BN139" s="180">
        <v>3127456</v>
      </c>
      <c r="BO139" s="180">
        <v>149408</v>
      </c>
      <c r="BP139" s="180"/>
      <c r="BQ139" s="180">
        <v>0</v>
      </c>
      <c r="BR139" s="180"/>
      <c r="BS139" s="180">
        <v>-66437</v>
      </c>
      <c r="BT139" s="180">
        <v>-247298</v>
      </c>
      <c r="BU139" s="180"/>
      <c r="BV139" s="180">
        <v>276727</v>
      </c>
      <c r="BW139" s="180"/>
      <c r="BX139" s="180"/>
      <c r="BY139" s="180"/>
      <c r="BZ139" s="180"/>
      <c r="CA139" s="180"/>
      <c r="CB139" s="180"/>
      <c r="CC139" s="180"/>
      <c r="CD139" s="180"/>
      <c r="CE139" s="180"/>
      <c r="CF139" s="180"/>
      <c r="CG139" s="180"/>
      <c r="CH139" s="180"/>
      <c r="CI139" s="180"/>
      <c r="CJ139" s="180"/>
      <c r="CK139" s="180"/>
      <c r="CL139" s="180"/>
      <c r="CM139" s="180"/>
      <c r="CN139" s="180"/>
      <c r="CO139" s="180"/>
      <c r="CP139" s="180"/>
      <c r="CQ139" s="180"/>
      <c r="CR139" s="180"/>
      <c r="CS139" s="180"/>
      <c r="CT139" s="180"/>
      <c r="CU139" s="180"/>
    </row>
    <row r="140" spans="1:99" x14ac:dyDescent="0.3">
      <c r="A140" s="155">
        <v>542</v>
      </c>
      <c r="B140" s="180" t="s">
        <v>929</v>
      </c>
      <c r="C140" s="180"/>
      <c r="D140" s="180">
        <v>0</v>
      </c>
      <c r="E140" s="180">
        <v>101072927</v>
      </c>
      <c r="F140" s="180"/>
      <c r="G140" s="180"/>
      <c r="H140" s="180">
        <v>0</v>
      </c>
      <c r="I140" s="180">
        <v>0</v>
      </c>
      <c r="J140" s="180"/>
      <c r="K140" s="180">
        <v>0</v>
      </c>
      <c r="L140" s="180">
        <v>0</v>
      </c>
      <c r="M140" s="180">
        <v>0</v>
      </c>
      <c r="N140" s="180">
        <v>0</v>
      </c>
      <c r="O140" s="180">
        <v>0</v>
      </c>
      <c r="P140" s="180"/>
      <c r="Q140" s="180">
        <v>0</v>
      </c>
      <c r="R140" s="180">
        <v>0</v>
      </c>
      <c r="S140" s="180">
        <v>88853</v>
      </c>
      <c r="T140" s="180">
        <v>0</v>
      </c>
      <c r="U140" s="180"/>
      <c r="V140" s="180"/>
      <c r="W140" s="180"/>
      <c r="X140" s="180">
        <v>0</v>
      </c>
      <c r="Y140" s="180">
        <v>0</v>
      </c>
      <c r="Z140" s="180">
        <v>922996</v>
      </c>
      <c r="AA140" s="180">
        <v>0</v>
      </c>
      <c r="AB140" s="180">
        <v>0</v>
      </c>
      <c r="AC140" s="180">
        <v>0</v>
      </c>
      <c r="AD140" s="180">
        <v>0</v>
      </c>
      <c r="AE140" s="180">
        <v>0</v>
      </c>
      <c r="AF140" s="180">
        <v>0</v>
      </c>
      <c r="AG140" s="180">
        <v>0</v>
      </c>
      <c r="AH140" s="180">
        <v>0</v>
      </c>
      <c r="AI140" s="180">
        <v>0</v>
      </c>
      <c r="AJ140" s="180">
        <v>0</v>
      </c>
      <c r="AK140" s="180">
        <v>0</v>
      </c>
      <c r="AL140" s="180">
        <v>38450</v>
      </c>
      <c r="AM140" s="180">
        <v>0</v>
      </c>
      <c r="AN140" s="180">
        <v>0</v>
      </c>
      <c r="AO140" s="180">
        <v>1000000</v>
      </c>
      <c r="AP140" s="180">
        <v>0</v>
      </c>
      <c r="AQ140" s="180">
        <v>0</v>
      </c>
      <c r="AR140" s="180">
        <v>4600</v>
      </c>
      <c r="AS140" s="180">
        <v>0</v>
      </c>
      <c r="AT140" s="180">
        <v>0</v>
      </c>
      <c r="AU140" s="180">
        <v>492881</v>
      </c>
      <c r="AV140" s="180">
        <v>0</v>
      </c>
      <c r="AW140" s="180">
        <v>0</v>
      </c>
      <c r="AX140" s="180">
        <v>0</v>
      </c>
      <c r="AY140" s="180">
        <v>0</v>
      </c>
      <c r="AZ140" s="180">
        <v>0</v>
      </c>
      <c r="BA140" s="180">
        <v>0</v>
      </c>
      <c r="BB140" s="180">
        <v>0</v>
      </c>
      <c r="BC140" s="180">
        <v>0</v>
      </c>
      <c r="BD140" s="180">
        <v>348685</v>
      </c>
      <c r="BE140" s="180">
        <v>0</v>
      </c>
      <c r="BF140" s="180">
        <v>225417</v>
      </c>
      <c r="BG140" s="180"/>
      <c r="BH140" s="180">
        <v>0</v>
      </c>
      <c r="BI140" s="180">
        <v>10000</v>
      </c>
      <c r="BJ140" s="180">
        <v>1265880</v>
      </c>
      <c r="BK140" s="180">
        <v>0</v>
      </c>
      <c r="BL140" s="180">
        <v>617114</v>
      </c>
      <c r="BM140" s="180">
        <v>0</v>
      </c>
      <c r="BN140" s="180">
        <v>0</v>
      </c>
      <c r="BO140" s="180">
        <v>0</v>
      </c>
      <c r="BP140" s="180"/>
      <c r="BQ140" s="180">
        <v>0</v>
      </c>
      <c r="BR140" s="180"/>
      <c r="BS140" s="180">
        <v>0</v>
      </c>
      <c r="BT140" s="180">
        <v>0</v>
      </c>
      <c r="BU140" s="180"/>
      <c r="BV140" s="180">
        <v>0</v>
      </c>
      <c r="BW140" s="180"/>
      <c r="BX140" s="180"/>
      <c r="BY140" s="180"/>
      <c r="BZ140" s="180"/>
      <c r="CA140" s="180"/>
      <c r="CB140" s="180"/>
      <c r="CC140" s="180"/>
      <c r="CD140" s="180"/>
      <c r="CE140" s="180"/>
      <c r="CF140" s="180"/>
      <c r="CG140" s="180"/>
      <c r="CH140" s="180"/>
      <c r="CI140" s="180"/>
      <c r="CJ140" s="180"/>
      <c r="CK140" s="180"/>
      <c r="CL140" s="180"/>
      <c r="CM140" s="180"/>
      <c r="CN140" s="180"/>
      <c r="CO140" s="180"/>
      <c r="CP140" s="180"/>
      <c r="CQ140" s="180"/>
      <c r="CR140" s="180"/>
      <c r="CS140" s="180"/>
      <c r="CT140" s="180"/>
      <c r="CU140" s="180"/>
    </row>
    <row r="141" spans="1:99" x14ac:dyDescent="0.3">
      <c r="A141" s="155">
        <v>544</v>
      </c>
      <c r="B141" s="180" t="s">
        <v>52</v>
      </c>
      <c r="C141" s="180"/>
      <c r="D141" s="180">
        <v>0</v>
      </c>
      <c r="E141" s="180">
        <v>1.78</v>
      </c>
      <c r="F141" s="180"/>
      <c r="G141" s="180"/>
      <c r="H141" s="180">
        <v>0</v>
      </c>
      <c r="I141" s="180">
        <v>0</v>
      </c>
      <c r="J141" s="180"/>
      <c r="K141" s="180">
        <v>0</v>
      </c>
      <c r="L141" s="180">
        <v>0</v>
      </c>
      <c r="M141" s="180">
        <v>0</v>
      </c>
      <c r="N141" s="180">
        <v>0</v>
      </c>
      <c r="O141" s="180">
        <v>0</v>
      </c>
      <c r="P141" s="180"/>
      <c r="Q141" s="180">
        <v>0</v>
      </c>
      <c r="R141" s="180">
        <v>0</v>
      </c>
      <c r="S141" s="180">
        <v>0</v>
      </c>
      <c r="T141" s="180">
        <v>0</v>
      </c>
      <c r="U141" s="180"/>
      <c r="V141" s="180"/>
      <c r="W141" s="180"/>
      <c r="X141" s="180">
        <v>0</v>
      </c>
      <c r="Y141" s="180">
        <v>0</v>
      </c>
      <c r="Z141" s="180">
        <v>0</v>
      </c>
      <c r="AA141" s="180">
        <v>0</v>
      </c>
      <c r="AB141" s="180">
        <v>0</v>
      </c>
      <c r="AC141" s="180">
        <v>0</v>
      </c>
      <c r="AD141" s="180">
        <v>0</v>
      </c>
      <c r="AE141" s="180">
        <v>0</v>
      </c>
      <c r="AF141" s="180">
        <v>0</v>
      </c>
      <c r="AG141" s="180">
        <v>0</v>
      </c>
      <c r="AH141" s="180">
        <v>0</v>
      </c>
      <c r="AI141" s="180">
        <v>0</v>
      </c>
      <c r="AJ141" s="180">
        <v>0</v>
      </c>
      <c r="AK141" s="180">
        <v>0</v>
      </c>
      <c r="AL141" s="180">
        <v>0</v>
      </c>
      <c r="AM141" s="180">
        <v>0</v>
      </c>
      <c r="AN141" s="180">
        <v>0</v>
      </c>
      <c r="AO141" s="180">
        <v>0</v>
      </c>
      <c r="AP141" s="180">
        <v>1</v>
      </c>
      <c r="AQ141" s="180">
        <v>0</v>
      </c>
      <c r="AR141" s="180">
        <v>0</v>
      </c>
      <c r="AS141" s="180">
        <v>0.02</v>
      </c>
      <c r="AT141" s="180">
        <v>0</v>
      </c>
      <c r="AU141" s="180">
        <v>0</v>
      </c>
      <c r="AV141" s="180">
        <v>0</v>
      </c>
      <c r="AW141" s="180">
        <v>0</v>
      </c>
      <c r="AX141" s="180">
        <v>0</v>
      </c>
      <c r="AY141" s="180">
        <v>0</v>
      </c>
      <c r="AZ141" s="180">
        <v>0.01</v>
      </c>
      <c r="BA141" s="180">
        <v>0</v>
      </c>
      <c r="BB141" s="180">
        <v>0</v>
      </c>
      <c r="BC141" s="180">
        <v>0</v>
      </c>
      <c r="BD141" s="180">
        <v>0</v>
      </c>
      <c r="BE141" s="180">
        <v>0</v>
      </c>
      <c r="BF141" s="180">
        <v>0</v>
      </c>
      <c r="BG141" s="180"/>
      <c r="BH141" s="180">
        <v>0</v>
      </c>
      <c r="BI141" s="180">
        <v>0</v>
      </c>
      <c r="BJ141" s="180">
        <v>0</v>
      </c>
      <c r="BK141" s="180">
        <v>0</v>
      </c>
      <c r="BL141" s="180">
        <v>0</v>
      </c>
      <c r="BM141" s="180">
        <v>0.04</v>
      </c>
      <c r="BN141" s="180">
        <v>0</v>
      </c>
      <c r="BO141" s="180">
        <v>0</v>
      </c>
      <c r="BP141" s="180"/>
      <c r="BQ141" s="180">
        <v>0</v>
      </c>
      <c r="BR141" s="180"/>
      <c r="BS141" s="180">
        <v>0</v>
      </c>
      <c r="BT141" s="180">
        <v>0</v>
      </c>
      <c r="BU141" s="180"/>
      <c r="BV141" s="180">
        <v>0</v>
      </c>
      <c r="BW141" s="180"/>
      <c r="BX141" s="180"/>
      <c r="BY141" s="180"/>
      <c r="BZ141" s="180"/>
      <c r="CA141" s="180"/>
      <c r="CB141" s="180"/>
      <c r="CC141" s="180"/>
      <c r="CD141" s="180"/>
      <c r="CE141" s="180"/>
      <c r="CF141" s="180"/>
      <c r="CG141" s="180"/>
      <c r="CH141" s="180"/>
      <c r="CI141" s="180"/>
      <c r="CJ141" s="180"/>
      <c r="CK141" s="180"/>
      <c r="CL141" s="180"/>
      <c r="CM141" s="180"/>
      <c r="CN141" s="180"/>
      <c r="CO141" s="180"/>
      <c r="CP141" s="180"/>
      <c r="CQ141" s="180"/>
      <c r="CR141" s="180"/>
      <c r="CS141" s="180"/>
      <c r="CT141" s="180"/>
      <c r="CU141" s="180"/>
    </row>
    <row r="142" spans="1:99" s="568" customFormat="1" x14ac:dyDescent="0.3">
      <c r="A142" s="567">
        <v>545</v>
      </c>
      <c r="B142" s="568" t="s">
        <v>53</v>
      </c>
      <c r="D142" s="568">
        <v>0</v>
      </c>
      <c r="E142" s="568">
        <v>2</v>
      </c>
      <c r="H142" s="568">
        <v>0</v>
      </c>
      <c r="I142" s="568">
        <v>0</v>
      </c>
      <c r="K142" s="568">
        <v>0</v>
      </c>
      <c r="L142" s="568">
        <v>0</v>
      </c>
      <c r="M142" s="568">
        <v>0</v>
      </c>
      <c r="N142" s="568">
        <v>0</v>
      </c>
      <c r="O142" s="568">
        <v>0</v>
      </c>
      <c r="Q142" s="568">
        <v>0</v>
      </c>
      <c r="R142" s="568">
        <v>0</v>
      </c>
      <c r="S142" s="568">
        <v>0</v>
      </c>
      <c r="T142" s="568">
        <v>0</v>
      </c>
      <c r="X142" s="568">
        <v>0</v>
      </c>
      <c r="Y142" s="568">
        <v>0</v>
      </c>
      <c r="Z142" s="568">
        <v>0</v>
      </c>
      <c r="AA142" s="568">
        <v>0</v>
      </c>
      <c r="AB142" s="568">
        <v>0</v>
      </c>
      <c r="AC142" s="568">
        <v>0</v>
      </c>
      <c r="AD142" s="568">
        <v>0</v>
      </c>
      <c r="AE142" s="568">
        <v>0</v>
      </c>
      <c r="AF142" s="568">
        <v>0.02</v>
      </c>
      <c r="AG142" s="568">
        <v>0</v>
      </c>
      <c r="AH142" s="568">
        <v>0</v>
      </c>
      <c r="AI142" s="568">
        <v>0</v>
      </c>
      <c r="AJ142" s="568">
        <v>0</v>
      </c>
      <c r="AK142" s="568">
        <v>0</v>
      </c>
      <c r="AL142" s="568">
        <v>0</v>
      </c>
      <c r="AM142" s="568">
        <v>0</v>
      </c>
      <c r="AN142" s="568">
        <v>0</v>
      </c>
      <c r="AO142" s="568">
        <v>0</v>
      </c>
      <c r="AP142" s="568">
        <v>0.5</v>
      </c>
      <c r="AQ142" s="568">
        <v>0</v>
      </c>
      <c r="AR142" s="568">
        <v>0</v>
      </c>
      <c r="AS142" s="568">
        <v>0</v>
      </c>
      <c r="AT142" s="568">
        <v>0</v>
      </c>
      <c r="AU142" s="568">
        <v>0</v>
      </c>
      <c r="AV142" s="568">
        <v>0</v>
      </c>
      <c r="AW142" s="568">
        <v>0</v>
      </c>
      <c r="AX142" s="568">
        <v>0</v>
      </c>
      <c r="AY142" s="568">
        <v>0</v>
      </c>
      <c r="AZ142" s="568">
        <v>0.01</v>
      </c>
      <c r="BA142" s="568">
        <v>0</v>
      </c>
      <c r="BB142" s="568">
        <v>0</v>
      </c>
      <c r="BC142" s="568">
        <v>0</v>
      </c>
      <c r="BD142" s="568">
        <v>0</v>
      </c>
      <c r="BE142" s="568">
        <v>0</v>
      </c>
      <c r="BF142" s="568">
        <v>0</v>
      </c>
      <c r="BH142" s="568">
        <v>0</v>
      </c>
      <c r="BI142" s="568">
        <v>0</v>
      </c>
      <c r="BJ142" s="568">
        <v>0</v>
      </c>
      <c r="BK142" s="568">
        <v>0</v>
      </c>
      <c r="BL142" s="568">
        <v>0</v>
      </c>
      <c r="BM142" s="568">
        <v>0</v>
      </c>
      <c r="BN142" s="568">
        <v>0.1</v>
      </c>
      <c r="BO142" s="568">
        <v>0</v>
      </c>
      <c r="BQ142" s="568">
        <v>0</v>
      </c>
      <c r="BS142" s="568">
        <v>0</v>
      </c>
      <c r="BT142" s="568">
        <v>0</v>
      </c>
      <c r="BV142" s="568">
        <v>-0.05</v>
      </c>
    </row>
    <row r="143" spans="1:99" x14ac:dyDescent="0.3">
      <c r="A143" s="155">
        <v>547</v>
      </c>
      <c r="B143" s="180" t="s">
        <v>931</v>
      </c>
      <c r="C143" s="180"/>
      <c r="D143" s="180">
        <v>3</v>
      </c>
      <c r="E143" s="180">
        <v>3</v>
      </c>
      <c r="F143" s="180"/>
      <c r="G143" s="180"/>
      <c r="H143" s="180">
        <v>2</v>
      </c>
      <c r="I143" s="180">
        <v>2</v>
      </c>
      <c r="J143" s="180"/>
      <c r="K143" s="180">
        <v>2</v>
      </c>
      <c r="L143" s="180">
        <v>3</v>
      </c>
      <c r="M143" s="180">
        <v>3</v>
      </c>
      <c r="N143" s="180">
        <v>0</v>
      </c>
      <c r="O143" s="180">
        <v>2</v>
      </c>
      <c r="P143" s="180"/>
      <c r="Q143" s="180">
        <v>2</v>
      </c>
      <c r="R143" s="180">
        <v>2</v>
      </c>
      <c r="S143" s="180">
        <v>2</v>
      </c>
      <c r="T143" s="180">
        <v>1</v>
      </c>
      <c r="U143" s="180"/>
      <c r="V143" s="180"/>
      <c r="W143" s="180"/>
      <c r="X143" s="180">
        <v>3</v>
      </c>
      <c r="Y143" s="180">
        <v>2</v>
      </c>
      <c r="Z143" s="180">
        <v>3</v>
      </c>
      <c r="AA143" s="180">
        <v>3</v>
      </c>
      <c r="AB143" s="180">
        <v>0</v>
      </c>
      <c r="AC143" s="180">
        <v>2</v>
      </c>
      <c r="AD143" s="180">
        <v>3</v>
      </c>
      <c r="AE143" s="180">
        <v>2</v>
      </c>
      <c r="AF143" s="180">
        <v>2</v>
      </c>
      <c r="AG143" s="180">
        <v>3</v>
      </c>
      <c r="AH143" s="180">
        <v>4</v>
      </c>
      <c r="AI143" s="180">
        <v>0</v>
      </c>
      <c r="AJ143" s="180">
        <v>3</v>
      </c>
      <c r="AK143" s="180">
        <v>2</v>
      </c>
      <c r="AL143" s="180">
        <v>2</v>
      </c>
      <c r="AM143" s="180">
        <v>2</v>
      </c>
      <c r="AN143" s="180">
        <v>2</v>
      </c>
      <c r="AO143" s="180">
        <v>1</v>
      </c>
      <c r="AP143" s="180">
        <v>2</v>
      </c>
      <c r="AQ143" s="180">
        <v>2</v>
      </c>
      <c r="AR143" s="180">
        <v>2</v>
      </c>
      <c r="AS143" s="180">
        <v>3</v>
      </c>
      <c r="AT143" s="180">
        <v>2</v>
      </c>
      <c r="AU143" s="180">
        <v>2</v>
      </c>
      <c r="AV143" s="180">
        <v>2</v>
      </c>
      <c r="AW143" s="180">
        <v>2</v>
      </c>
      <c r="AX143" s="180">
        <v>2</v>
      </c>
      <c r="AY143" s="180">
        <v>2</v>
      </c>
      <c r="AZ143" s="180">
        <v>3</v>
      </c>
      <c r="BA143" s="180">
        <v>2</v>
      </c>
      <c r="BB143" s="180">
        <v>2</v>
      </c>
      <c r="BC143" s="180">
        <v>2</v>
      </c>
      <c r="BD143" s="180">
        <v>1</v>
      </c>
      <c r="BE143" s="180">
        <v>2</v>
      </c>
      <c r="BF143" s="180">
        <v>3</v>
      </c>
      <c r="BG143" s="180"/>
      <c r="BH143" s="180">
        <v>2</v>
      </c>
      <c r="BI143" s="180">
        <v>2</v>
      </c>
      <c r="BJ143" s="180">
        <v>3</v>
      </c>
      <c r="BK143" s="180">
        <v>2</v>
      </c>
      <c r="BL143" s="180">
        <v>2</v>
      </c>
      <c r="BM143" s="180">
        <v>3</v>
      </c>
      <c r="BN143" s="180">
        <v>1</v>
      </c>
      <c r="BO143" s="180">
        <v>2</v>
      </c>
      <c r="BP143" s="180"/>
      <c r="BQ143" s="180">
        <v>2</v>
      </c>
      <c r="BR143" s="180"/>
      <c r="BS143" s="180">
        <v>3</v>
      </c>
      <c r="BT143" s="180">
        <v>2</v>
      </c>
      <c r="BU143" s="180"/>
      <c r="BV143" s="180">
        <v>2</v>
      </c>
      <c r="BW143" s="180"/>
      <c r="BX143" s="180"/>
      <c r="BY143" s="180"/>
      <c r="BZ143" s="180"/>
      <c r="CA143" s="180"/>
      <c r="CB143" s="180"/>
      <c r="CC143" s="180"/>
      <c r="CD143" s="180"/>
      <c r="CE143" s="180"/>
      <c r="CF143" s="180"/>
      <c r="CG143" s="180"/>
      <c r="CH143" s="180"/>
      <c r="CI143" s="180"/>
      <c r="CJ143" s="180"/>
      <c r="CK143" s="180"/>
      <c r="CL143" s="180"/>
      <c r="CM143" s="180"/>
      <c r="CN143" s="180"/>
      <c r="CO143" s="180"/>
      <c r="CP143" s="180"/>
      <c r="CQ143" s="180"/>
      <c r="CR143" s="180"/>
      <c r="CS143" s="180"/>
      <c r="CT143" s="180"/>
      <c r="CU143" s="180"/>
    </row>
    <row r="144" spans="1:99" s="555" customFormat="1" x14ac:dyDescent="0.3">
      <c r="A144" s="558">
        <v>554</v>
      </c>
      <c r="B144" s="555" t="s">
        <v>320</v>
      </c>
      <c r="D144" s="555">
        <v>879580</v>
      </c>
      <c r="E144" s="555">
        <v>62028288</v>
      </c>
      <c r="L144" s="555">
        <v>4281111</v>
      </c>
      <c r="M144" s="555">
        <v>423142</v>
      </c>
      <c r="T144" s="555">
        <v>2312043</v>
      </c>
      <c r="Z144" s="555">
        <v>6239717</v>
      </c>
      <c r="AH144" s="555">
        <v>1151661</v>
      </c>
      <c r="AM144" s="555">
        <v>1259338</v>
      </c>
      <c r="AO144" s="555">
        <v>3563162</v>
      </c>
      <c r="AS144" s="555">
        <v>1774902</v>
      </c>
      <c r="AZ144" s="555">
        <v>1388159</v>
      </c>
      <c r="BF144" s="555">
        <v>2058640</v>
      </c>
      <c r="BJ144" s="555">
        <v>169952</v>
      </c>
      <c r="BN144" s="555">
        <v>0</v>
      </c>
      <c r="BV144" s="555">
        <v>365073</v>
      </c>
    </row>
    <row r="145" spans="1:99" s="555" customFormat="1" x14ac:dyDescent="0.3">
      <c r="A145" s="558">
        <v>555</v>
      </c>
      <c r="B145" s="555" t="s">
        <v>321</v>
      </c>
      <c r="D145" s="555">
        <v>790004</v>
      </c>
      <c r="E145" s="555">
        <v>48707288</v>
      </c>
      <c r="L145" s="555">
        <v>3029951</v>
      </c>
      <c r="M145" s="555">
        <v>0</v>
      </c>
      <c r="T145" s="555">
        <v>2281874</v>
      </c>
      <c r="Z145" s="555">
        <v>4561088</v>
      </c>
      <c r="AH145" s="555">
        <v>1151661</v>
      </c>
      <c r="AM145" s="555">
        <v>1004779</v>
      </c>
      <c r="AO145" s="555">
        <v>1535786</v>
      </c>
      <c r="AS145" s="555">
        <v>756133</v>
      </c>
      <c r="AZ145" s="555">
        <v>1131535</v>
      </c>
      <c r="BF145" s="555">
        <v>942414</v>
      </c>
      <c r="BJ145" s="555">
        <v>0</v>
      </c>
      <c r="BN145" s="555">
        <v>0</v>
      </c>
      <c r="BV145" s="555">
        <v>0</v>
      </c>
    </row>
    <row r="146" spans="1:99" s="555" customFormat="1" x14ac:dyDescent="0.3">
      <c r="A146" s="558">
        <v>556</v>
      </c>
      <c r="B146" s="555" t="s">
        <v>322</v>
      </c>
      <c r="D146" s="555">
        <v>2730370</v>
      </c>
      <c r="E146" s="555">
        <v>10439796</v>
      </c>
      <c r="L146" s="555">
        <v>240040</v>
      </c>
      <c r="M146" s="555">
        <v>832155</v>
      </c>
      <c r="T146" s="555">
        <v>589434</v>
      </c>
      <c r="Z146" s="555">
        <v>1635169</v>
      </c>
      <c r="AH146" s="555">
        <v>210150</v>
      </c>
      <c r="AM146" s="555">
        <v>181448</v>
      </c>
      <c r="AO146" s="555">
        <v>1670420</v>
      </c>
      <c r="AS146" s="555">
        <v>1485678</v>
      </c>
      <c r="AZ146" s="555">
        <v>330929</v>
      </c>
      <c r="BF146" s="555">
        <v>668825</v>
      </c>
      <c r="BJ146" s="555">
        <v>10087771</v>
      </c>
      <c r="BN146" s="555">
        <v>685161</v>
      </c>
      <c r="BV146" s="555">
        <v>336002</v>
      </c>
    </row>
    <row r="147" spans="1:99" s="555" customFormat="1" x14ac:dyDescent="0.3">
      <c r="A147" s="558">
        <v>557</v>
      </c>
      <c r="B147" s="555" t="s">
        <v>323</v>
      </c>
      <c r="D147" s="555">
        <v>2540967</v>
      </c>
      <c r="E147" s="555">
        <v>7160857</v>
      </c>
      <c r="L147" s="555">
        <v>0</v>
      </c>
      <c r="M147" s="555">
        <v>379972</v>
      </c>
      <c r="T147" s="555">
        <v>487687</v>
      </c>
      <c r="Z147" s="555">
        <v>736218</v>
      </c>
      <c r="AH147" s="555">
        <v>0</v>
      </c>
      <c r="AM147" s="555">
        <v>0</v>
      </c>
      <c r="AO147" s="555">
        <v>1087117</v>
      </c>
      <c r="AS147" s="555">
        <v>1097084</v>
      </c>
      <c r="AZ147" s="555">
        <v>0</v>
      </c>
      <c r="BF147" s="555">
        <v>641798</v>
      </c>
      <c r="BJ147" s="555">
        <v>9652778</v>
      </c>
      <c r="BN147" s="555">
        <v>512390</v>
      </c>
      <c r="BV147" s="555">
        <v>246992</v>
      </c>
    </row>
    <row r="148" spans="1:99" x14ac:dyDescent="0.3">
      <c r="A148" s="155">
        <v>575</v>
      </c>
      <c r="B148" s="180" t="s">
        <v>302</v>
      </c>
      <c r="C148" s="180"/>
      <c r="D148" s="180">
        <v>0</v>
      </c>
      <c r="E148" s="180">
        <v>9441826</v>
      </c>
      <c r="F148" s="180"/>
      <c r="G148" s="180"/>
      <c r="H148" s="180">
        <v>0</v>
      </c>
      <c r="I148" s="180">
        <v>0</v>
      </c>
      <c r="J148" s="180"/>
      <c r="K148" s="180">
        <v>0</v>
      </c>
      <c r="L148" s="180">
        <v>0</v>
      </c>
      <c r="M148" s="180">
        <v>0</v>
      </c>
      <c r="N148" s="180">
        <v>0</v>
      </c>
      <c r="O148" s="180">
        <v>519</v>
      </c>
      <c r="P148" s="180"/>
      <c r="Q148" s="180">
        <v>0</v>
      </c>
      <c r="R148" s="180">
        <v>0</v>
      </c>
      <c r="S148" s="180">
        <v>0</v>
      </c>
      <c r="T148" s="180">
        <v>0</v>
      </c>
      <c r="U148" s="180"/>
      <c r="V148" s="180"/>
      <c r="W148" s="180"/>
      <c r="X148" s="180">
        <v>0</v>
      </c>
      <c r="Y148" s="180">
        <v>0</v>
      </c>
      <c r="Z148" s="180">
        <v>0</v>
      </c>
      <c r="AA148" s="180">
        <v>0</v>
      </c>
      <c r="AB148" s="180">
        <v>0</v>
      </c>
      <c r="AC148" s="180">
        <v>0</v>
      </c>
      <c r="AD148" s="180">
        <v>2528</v>
      </c>
      <c r="AE148" s="180">
        <v>369877</v>
      </c>
      <c r="AF148" s="180">
        <v>0</v>
      </c>
      <c r="AG148" s="180">
        <v>0</v>
      </c>
      <c r="AH148" s="180">
        <v>0</v>
      </c>
      <c r="AI148" s="180">
        <v>0</v>
      </c>
      <c r="AJ148" s="180">
        <v>0</v>
      </c>
      <c r="AK148" s="180">
        <v>0</v>
      </c>
      <c r="AL148" s="180">
        <v>0</v>
      </c>
      <c r="AM148" s="180">
        <v>0</v>
      </c>
      <c r="AN148" s="180">
        <v>0</v>
      </c>
      <c r="AO148" s="180">
        <v>0</v>
      </c>
      <c r="AP148" s="180">
        <v>0</v>
      </c>
      <c r="AQ148" s="180">
        <v>0</v>
      </c>
      <c r="AR148" s="180">
        <v>0</v>
      </c>
      <c r="AS148" s="180">
        <v>0</v>
      </c>
      <c r="AT148" s="180">
        <v>0</v>
      </c>
      <c r="AU148" s="180">
        <v>0</v>
      </c>
      <c r="AV148" s="180">
        <v>4901</v>
      </c>
      <c r="AW148" s="180">
        <v>0</v>
      </c>
      <c r="AX148" s="180">
        <v>0</v>
      </c>
      <c r="AY148" s="180">
        <v>0</v>
      </c>
      <c r="AZ148" s="180">
        <v>0</v>
      </c>
      <c r="BA148" s="180">
        <v>0</v>
      </c>
      <c r="BB148" s="180">
        <v>0</v>
      </c>
      <c r="BC148" s="180">
        <v>0</v>
      </c>
      <c r="BD148" s="180">
        <v>0</v>
      </c>
      <c r="BE148" s="180">
        <v>0</v>
      </c>
      <c r="BF148" s="180">
        <v>0</v>
      </c>
      <c r="BG148" s="180"/>
      <c r="BH148" s="180">
        <v>0</v>
      </c>
      <c r="BI148" s="180">
        <v>16875</v>
      </c>
      <c r="BJ148" s="180">
        <v>0</v>
      </c>
      <c r="BK148" s="180">
        <v>0</v>
      </c>
      <c r="BL148" s="180">
        <v>0</v>
      </c>
      <c r="BM148" s="180">
        <v>0</v>
      </c>
      <c r="BN148" s="180">
        <v>0</v>
      </c>
      <c r="BO148" s="180">
        <v>123837</v>
      </c>
      <c r="BP148" s="180"/>
      <c r="BQ148" s="180">
        <v>0</v>
      </c>
      <c r="BR148" s="180"/>
      <c r="BS148" s="180">
        <v>0</v>
      </c>
      <c r="BT148" s="180">
        <v>0</v>
      </c>
      <c r="BU148" s="180"/>
      <c r="BV148" s="180">
        <v>0</v>
      </c>
      <c r="BW148" s="180"/>
      <c r="BX148" s="180"/>
      <c r="BY148" s="180"/>
      <c r="BZ148" s="180"/>
      <c r="CA148" s="180"/>
      <c r="CB148" s="180"/>
      <c r="CC148" s="180"/>
      <c r="CD148" s="180"/>
      <c r="CE148" s="180"/>
      <c r="CF148" s="180"/>
      <c r="CG148" s="180"/>
      <c r="CH148" s="180"/>
      <c r="CI148" s="180"/>
      <c r="CJ148" s="180"/>
      <c r="CK148" s="180"/>
      <c r="CL148" s="180"/>
      <c r="CM148" s="180"/>
      <c r="CN148" s="180"/>
      <c r="CO148" s="180"/>
      <c r="CP148" s="180"/>
      <c r="CQ148" s="180"/>
      <c r="CR148" s="180"/>
      <c r="CS148" s="180"/>
      <c r="CT148" s="180"/>
      <c r="CU148" s="180"/>
    </row>
    <row r="149" spans="1:99" x14ac:dyDescent="0.3">
      <c r="A149" s="155">
        <v>576</v>
      </c>
      <c r="B149" s="180" t="s">
        <v>303</v>
      </c>
      <c r="C149" s="180"/>
      <c r="D149" s="180">
        <v>0</v>
      </c>
      <c r="E149" s="180">
        <v>0</v>
      </c>
      <c r="F149" s="180"/>
      <c r="G149" s="180"/>
      <c r="H149" s="180">
        <v>0</v>
      </c>
      <c r="I149" s="180">
        <v>0</v>
      </c>
      <c r="J149" s="180"/>
      <c r="K149" s="180">
        <v>0</v>
      </c>
      <c r="L149" s="180">
        <v>4067</v>
      </c>
      <c r="M149" s="180">
        <v>0</v>
      </c>
      <c r="N149" s="180">
        <v>0</v>
      </c>
      <c r="O149" s="180">
        <v>0</v>
      </c>
      <c r="P149" s="180"/>
      <c r="Q149" s="180">
        <v>0</v>
      </c>
      <c r="R149" s="180">
        <v>0</v>
      </c>
      <c r="S149" s="180">
        <v>0</v>
      </c>
      <c r="T149" s="180">
        <v>0</v>
      </c>
      <c r="U149" s="180"/>
      <c r="V149" s="180"/>
      <c r="W149" s="180"/>
      <c r="X149" s="180">
        <v>0</v>
      </c>
      <c r="Y149" s="180">
        <v>0</v>
      </c>
      <c r="Z149" s="180">
        <v>457582</v>
      </c>
      <c r="AA149" s="180">
        <v>0</v>
      </c>
      <c r="AB149" s="180">
        <v>2584</v>
      </c>
      <c r="AC149" s="180">
        <v>0</v>
      </c>
      <c r="AD149" s="180">
        <v>0</v>
      </c>
      <c r="AE149" s="180">
        <v>0</v>
      </c>
      <c r="AF149" s="180">
        <v>0</v>
      </c>
      <c r="AG149" s="180">
        <v>27914</v>
      </c>
      <c r="AH149" s="180">
        <v>0</v>
      </c>
      <c r="AI149" s="180">
        <v>0</v>
      </c>
      <c r="AJ149" s="180">
        <v>0</v>
      </c>
      <c r="AK149" s="180">
        <v>0</v>
      </c>
      <c r="AL149" s="180">
        <v>0</v>
      </c>
      <c r="AM149" s="180">
        <v>0</v>
      </c>
      <c r="AN149" s="180">
        <v>0</v>
      </c>
      <c r="AO149" s="180">
        <v>0</v>
      </c>
      <c r="AP149" s="180">
        <v>0</v>
      </c>
      <c r="AQ149" s="180">
        <v>0</v>
      </c>
      <c r="AR149" s="180">
        <v>0</v>
      </c>
      <c r="AS149" s="180">
        <v>0</v>
      </c>
      <c r="AT149" s="180">
        <v>0</v>
      </c>
      <c r="AU149" s="180">
        <v>0</v>
      </c>
      <c r="AV149" s="180">
        <v>0</v>
      </c>
      <c r="AW149" s="180">
        <v>0</v>
      </c>
      <c r="AX149" s="180">
        <v>0</v>
      </c>
      <c r="AY149" s="180">
        <v>0</v>
      </c>
      <c r="AZ149" s="180">
        <v>0</v>
      </c>
      <c r="BA149" s="180">
        <v>0</v>
      </c>
      <c r="BB149" s="180">
        <v>0</v>
      </c>
      <c r="BC149" s="180">
        <v>0</v>
      </c>
      <c r="BD149" s="180">
        <v>19922</v>
      </c>
      <c r="BE149" s="180">
        <v>0</v>
      </c>
      <c r="BF149" s="180">
        <v>783029</v>
      </c>
      <c r="BG149" s="180"/>
      <c r="BH149" s="180">
        <v>0</v>
      </c>
      <c r="BI149" s="180">
        <v>0</v>
      </c>
      <c r="BJ149" s="180">
        <v>0</v>
      </c>
      <c r="BK149" s="180">
        <v>135550</v>
      </c>
      <c r="BL149" s="180">
        <v>0</v>
      </c>
      <c r="BM149" s="180">
        <v>0</v>
      </c>
      <c r="BN149" s="180">
        <v>0</v>
      </c>
      <c r="BO149" s="180">
        <v>0</v>
      </c>
      <c r="BP149" s="180"/>
      <c r="BQ149" s="180">
        <v>0</v>
      </c>
      <c r="BR149" s="180"/>
      <c r="BS149" s="180">
        <v>0</v>
      </c>
      <c r="BT149" s="180">
        <v>0</v>
      </c>
      <c r="BU149" s="180"/>
      <c r="BV149" s="180">
        <v>0</v>
      </c>
      <c r="BW149" s="180"/>
      <c r="BX149" s="180"/>
      <c r="BY149" s="180"/>
      <c r="BZ149" s="180"/>
      <c r="CA149" s="180"/>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row>
    <row r="150" spans="1:99" s="568" customFormat="1" x14ac:dyDescent="0.3">
      <c r="A150" s="567">
        <v>577</v>
      </c>
      <c r="B150" s="568" t="s">
        <v>944</v>
      </c>
      <c r="D150" s="568">
        <v>2</v>
      </c>
      <c r="E150" s="568">
        <v>1</v>
      </c>
      <c r="H150" s="568">
        <v>2</v>
      </c>
      <c r="I150" s="568">
        <v>2</v>
      </c>
      <c r="K150" s="568">
        <v>0</v>
      </c>
      <c r="L150" s="568">
        <v>2</v>
      </c>
      <c r="M150" s="568">
        <v>0</v>
      </c>
      <c r="N150" s="568">
        <v>2</v>
      </c>
      <c r="O150" s="568">
        <v>1</v>
      </c>
      <c r="Q150" s="568">
        <v>0</v>
      </c>
      <c r="R150" s="568">
        <v>2</v>
      </c>
      <c r="S150" s="568">
        <v>2</v>
      </c>
      <c r="T150" s="568">
        <v>0</v>
      </c>
      <c r="X150" s="568">
        <v>2</v>
      </c>
      <c r="Y150" s="568">
        <v>2</v>
      </c>
      <c r="Z150" s="568">
        <v>2</v>
      </c>
      <c r="AA150" s="568">
        <v>2</v>
      </c>
      <c r="AB150" s="568">
        <v>2</v>
      </c>
      <c r="AC150" s="568">
        <v>2</v>
      </c>
      <c r="AD150" s="568">
        <v>2</v>
      </c>
      <c r="AE150" s="568">
        <v>2</v>
      </c>
      <c r="AF150" s="568">
        <v>2</v>
      </c>
      <c r="AG150" s="568">
        <v>2</v>
      </c>
      <c r="AH150" s="568">
        <v>1</v>
      </c>
      <c r="AI150" s="568">
        <v>0</v>
      </c>
      <c r="AJ150" s="568">
        <v>2</v>
      </c>
      <c r="AK150" s="568">
        <v>0</v>
      </c>
      <c r="AL150" s="568">
        <v>0</v>
      </c>
      <c r="AM150" s="568">
        <v>2</v>
      </c>
      <c r="AN150" s="568">
        <v>2</v>
      </c>
      <c r="AO150" s="568">
        <v>2</v>
      </c>
      <c r="AP150" s="568">
        <v>2</v>
      </c>
      <c r="AQ150" s="568">
        <v>2</v>
      </c>
      <c r="AR150" s="568">
        <v>2</v>
      </c>
      <c r="AS150" s="568">
        <v>1</v>
      </c>
      <c r="AT150" s="568">
        <v>2</v>
      </c>
      <c r="AU150" s="568">
        <v>2</v>
      </c>
      <c r="AV150" s="568">
        <v>2</v>
      </c>
      <c r="AW150" s="568">
        <v>0</v>
      </c>
      <c r="AX150" s="568">
        <v>2</v>
      </c>
      <c r="AY150" s="568">
        <v>0</v>
      </c>
      <c r="AZ150" s="568">
        <v>2</v>
      </c>
      <c r="BA150" s="568">
        <v>2</v>
      </c>
      <c r="BB150" s="568">
        <v>2</v>
      </c>
      <c r="BC150" s="568">
        <v>2</v>
      </c>
      <c r="BD150" s="568">
        <v>2</v>
      </c>
      <c r="BE150" s="568">
        <v>2</v>
      </c>
      <c r="BF150" s="568">
        <v>2</v>
      </c>
      <c r="BH150" s="568">
        <v>2</v>
      </c>
      <c r="BI150" s="568">
        <v>2</v>
      </c>
      <c r="BJ150" s="568">
        <v>2</v>
      </c>
      <c r="BK150" s="568">
        <v>2</v>
      </c>
      <c r="BL150" s="568">
        <v>1</v>
      </c>
      <c r="BM150" s="568">
        <v>2</v>
      </c>
      <c r="BN150" s="568">
        <v>2</v>
      </c>
      <c r="BO150" s="568">
        <v>2</v>
      </c>
      <c r="BQ150" s="568">
        <v>2</v>
      </c>
      <c r="BS150" s="568">
        <v>2</v>
      </c>
      <c r="BT150" s="568">
        <v>1</v>
      </c>
      <c r="BV150" s="568">
        <v>2</v>
      </c>
    </row>
    <row r="151" spans="1:99" x14ac:dyDescent="0.3">
      <c r="A151" s="155">
        <v>578</v>
      </c>
      <c r="B151" s="180" t="s">
        <v>945</v>
      </c>
      <c r="C151" s="180"/>
      <c r="D151" s="180">
        <v>0</v>
      </c>
      <c r="E151" s="180">
        <v>0</v>
      </c>
      <c r="F151" s="180"/>
      <c r="G151" s="180"/>
      <c r="H151" s="180">
        <v>0</v>
      </c>
      <c r="I151" s="180">
        <v>0</v>
      </c>
      <c r="J151" s="180"/>
      <c r="K151" s="180">
        <v>0</v>
      </c>
      <c r="L151" s="180">
        <v>0</v>
      </c>
      <c r="M151" s="180">
        <v>0</v>
      </c>
      <c r="N151" s="180">
        <v>0</v>
      </c>
      <c r="O151" s="180">
        <v>0</v>
      </c>
      <c r="P151" s="180"/>
      <c r="Q151" s="180">
        <v>0</v>
      </c>
      <c r="R151" s="180">
        <v>0</v>
      </c>
      <c r="S151" s="180">
        <v>0</v>
      </c>
      <c r="T151" s="180">
        <v>0</v>
      </c>
      <c r="U151" s="180"/>
      <c r="V151" s="180"/>
      <c r="W151" s="180"/>
      <c r="X151" s="180">
        <v>0</v>
      </c>
      <c r="Y151" s="180">
        <v>0</v>
      </c>
      <c r="Z151" s="180">
        <v>0</v>
      </c>
      <c r="AA151" s="180">
        <v>0</v>
      </c>
      <c r="AB151" s="180">
        <v>0</v>
      </c>
      <c r="AC151" s="180">
        <v>0</v>
      </c>
      <c r="AD151" s="180">
        <v>0</v>
      </c>
      <c r="AE151" s="180">
        <v>0</v>
      </c>
      <c r="AF151" s="180">
        <v>0</v>
      </c>
      <c r="AG151" s="180">
        <v>0</v>
      </c>
      <c r="AH151" s="180">
        <v>0</v>
      </c>
      <c r="AI151" s="180">
        <v>0</v>
      </c>
      <c r="AJ151" s="180">
        <v>0</v>
      </c>
      <c r="AK151" s="180">
        <v>0</v>
      </c>
      <c r="AL151" s="180">
        <v>0</v>
      </c>
      <c r="AM151" s="180">
        <v>0</v>
      </c>
      <c r="AN151" s="180">
        <v>0</v>
      </c>
      <c r="AO151" s="180">
        <v>0</v>
      </c>
      <c r="AP151" s="180">
        <v>0</v>
      </c>
      <c r="AQ151" s="180">
        <v>0</v>
      </c>
      <c r="AR151" s="180">
        <v>0</v>
      </c>
      <c r="AS151" s="180">
        <v>0</v>
      </c>
      <c r="AT151" s="180">
        <v>0</v>
      </c>
      <c r="AU151" s="180">
        <v>0</v>
      </c>
      <c r="AV151" s="180">
        <v>0</v>
      </c>
      <c r="AW151" s="180">
        <v>0</v>
      </c>
      <c r="AX151" s="180">
        <v>0</v>
      </c>
      <c r="AY151" s="180">
        <v>0</v>
      </c>
      <c r="AZ151" s="180">
        <v>350000</v>
      </c>
      <c r="BA151" s="180">
        <v>0</v>
      </c>
      <c r="BB151" s="180">
        <v>0</v>
      </c>
      <c r="BC151" s="180">
        <v>0</v>
      </c>
      <c r="BD151" s="180">
        <v>0</v>
      </c>
      <c r="BE151" s="180">
        <v>0</v>
      </c>
      <c r="BF151" s="180">
        <v>2360000</v>
      </c>
      <c r="BG151" s="180"/>
      <c r="BH151" s="180">
        <v>0</v>
      </c>
      <c r="BI151" s="180">
        <v>0</v>
      </c>
      <c r="BJ151" s="180">
        <v>0</v>
      </c>
      <c r="BK151" s="180">
        <v>0</v>
      </c>
      <c r="BL151" s="180">
        <v>0</v>
      </c>
      <c r="BM151" s="180">
        <v>0</v>
      </c>
      <c r="BN151" s="180">
        <v>0</v>
      </c>
      <c r="BO151" s="180">
        <v>123837</v>
      </c>
      <c r="BP151" s="180"/>
      <c r="BQ151" s="180">
        <v>0</v>
      </c>
      <c r="BR151" s="180"/>
      <c r="BS151" s="180">
        <v>0</v>
      </c>
      <c r="BT151" s="180">
        <v>0</v>
      </c>
      <c r="BU151" s="180"/>
      <c r="BV151" s="180">
        <v>0</v>
      </c>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row>
    <row r="152" spans="1:99" x14ac:dyDescent="0.3">
      <c r="A152" s="155">
        <v>579</v>
      </c>
      <c r="B152" s="180" t="s">
        <v>946</v>
      </c>
      <c r="C152" s="180"/>
      <c r="D152" s="180">
        <v>0</v>
      </c>
      <c r="E152" s="180">
        <v>0</v>
      </c>
      <c r="F152" s="180"/>
      <c r="G152" s="180"/>
      <c r="H152" s="180">
        <v>0</v>
      </c>
      <c r="I152" s="180">
        <v>0</v>
      </c>
      <c r="J152" s="180"/>
      <c r="K152" s="180">
        <v>0</v>
      </c>
      <c r="L152" s="180">
        <v>0</v>
      </c>
      <c r="M152" s="180">
        <v>0</v>
      </c>
      <c r="N152" s="180">
        <v>0</v>
      </c>
      <c r="O152" s="180">
        <v>0</v>
      </c>
      <c r="P152" s="180"/>
      <c r="Q152" s="180">
        <v>0</v>
      </c>
      <c r="R152" s="180">
        <v>0</v>
      </c>
      <c r="S152" s="180">
        <v>0</v>
      </c>
      <c r="T152" s="180">
        <v>0</v>
      </c>
      <c r="U152" s="180"/>
      <c r="V152" s="180"/>
      <c r="W152" s="180"/>
      <c r="X152" s="180">
        <v>0</v>
      </c>
      <c r="Y152" s="180">
        <v>0</v>
      </c>
      <c r="Z152" s="180">
        <v>0</v>
      </c>
      <c r="AA152" s="180">
        <v>0</v>
      </c>
      <c r="AB152" s="180">
        <v>2584</v>
      </c>
      <c r="AC152" s="180">
        <v>0</v>
      </c>
      <c r="AD152" s="180">
        <v>0</v>
      </c>
      <c r="AE152" s="180">
        <v>0</v>
      </c>
      <c r="AF152" s="180">
        <v>0</v>
      </c>
      <c r="AG152" s="180">
        <v>0</v>
      </c>
      <c r="AH152" s="180">
        <v>0</v>
      </c>
      <c r="AI152" s="180">
        <v>0</v>
      </c>
      <c r="AJ152" s="180">
        <v>0</v>
      </c>
      <c r="AK152" s="180">
        <v>0</v>
      </c>
      <c r="AL152" s="180">
        <v>0</v>
      </c>
      <c r="AM152" s="180">
        <v>0</v>
      </c>
      <c r="AN152" s="180">
        <v>0</v>
      </c>
      <c r="AO152" s="180">
        <v>5601961</v>
      </c>
      <c r="AP152" s="180">
        <v>0</v>
      </c>
      <c r="AQ152" s="180">
        <v>0</v>
      </c>
      <c r="AR152" s="180">
        <v>0</v>
      </c>
      <c r="AS152" s="180">
        <v>0</v>
      </c>
      <c r="AT152" s="180">
        <v>0</v>
      </c>
      <c r="AU152" s="180">
        <v>0</v>
      </c>
      <c r="AV152" s="180">
        <v>0</v>
      </c>
      <c r="AW152" s="180">
        <v>0</v>
      </c>
      <c r="AX152" s="180">
        <v>0</v>
      </c>
      <c r="AY152" s="180">
        <v>0</v>
      </c>
      <c r="AZ152" s="180">
        <v>350000</v>
      </c>
      <c r="BA152" s="180">
        <v>0</v>
      </c>
      <c r="BB152" s="180">
        <v>0</v>
      </c>
      <c r="BC152" s="180">
        <v>0</v>
      </c>
      <c r="BD152" s="180">
        <v>19922</v>
      </c>
      <c r="BE152" s="180">
        <v>0</v>
      </c>
      <c r="BF152" s="180">
        <v>0</v>
      </c>
      <c r="BG152" s="180"/>
      <c r="BH152" s="180">
        <v>0</v>
      </c>
      <c r="BI152" s="180">
        <v>0</v>
      </c>
      <c r="BJ152" s="180">
        <v>0</v>
      </c>
      <c r="BK152" s="180">
        <v>0</v>
      </c>
      <c r="BL152" s="180">
        <v>0</v>
      </c>
      <c r="BM152" s="180">
        <v>0</v>
      </c>
      <c r="BN152" s="180">
        <v>0</v>
      </c>
      <c r="BO152" s="180">
        <v>0</v>
      </c>
      <c r="BP152" s="180"/>
      <c r="BQ152" s="180">
        <v>0</v>
      </c>
      <c r="BR152" s="180"/>
      <c r="BS152" s="180">
        <v>0</v>
      </c>
      <c r="BT152" s="180">
        <v>0</v>
      </c>
      <c r="BU152" s="180"/>
      <c r="BV152" s="180">
        <v>0</v>
      </c>
      <c r="BW152" s="180"/>
      <c r="BX152" s="180"/>
      <c r="BY152" s="180"/>
      <c r="BZ152" s="180"/>
      <c r="CA152" s="180"/>
      <c r="CB152" s="180"/>
      <c r="CC152" s="180"/>
      <c r="CD152" s="180"/>
      <c r="CE152" s="180"/>
      <c r="CF152" s="180"/>
      <c r="CG152" s="180"/>
      <c r="CH152" s="180"/>
      <c r="CI152" s="180"/>
      <c r="CJ152" s="180"/>
      <c r="CK152" s="180"/>
      <c r="CL152" s="180"/>
      <c r="CM152" s="180"/>
      <c r="CN152" s="180"/>
      <c r="CO152" s="180"/>
      <c r="CP152" s="180"/>
      <c r="CQ152" s="180"/>
      <c r="CR152" s="180"/>
      <c r="CS152" s="180"/>
      <c r="CT152" s="180"/>
      <c r="CU152" s="180"/>
    </row>
    <row r="153" spans="1:99" x14ac:dyDescent="0.3">
      <c r="A153" s="155">
        <v>580</v>
      </c>
      <c r="B153" s="180" t="s">
        <v>947</v>
      </c>
      <c r="C153" s="180"/>
      <c r="D153" s="180">
        <v>0</v>
      </c>
      <c r="E153" s="180">
        <v>0</v>
      </c>
      <c r="F153" s="180"/>
      <c r="G153" s="180"/>
      <c r="H153" s="180">
        <v>0</v>
      </c>
      <c r="I153" s="180">
        <v>0</v>
      </c>
      <c r="J153" s="180"/>
      <c r="K153" s="180">
        <v>0</v>
      </c>
      <c r="L153" s="180">
        <v>0</v>
      </c>
      <c r="M153" s="180">
        <v>0</v>
      </c>
      <c r="N153" s="180">
        <v>0</v>
      </c>
      <c r="O153" s="180">
        <v>0</v>
      </c>
      <c r="P153" s="180"/>
      <c r="Q153" s="180">
        <v>0</v>
      </c>
      <c r="R153" s="180">
        <v>0</v>
      </c>
      <c r="S153" s="180">
        <v>0</v>
      </c>
      <c r="T153" s="180">
        <v>0</v>
      </c>
      <c r="U153" s="180"/>
      <c r="V153" s="180"/>
      <c r="W153" s="180"/>
      <c r="X153" s="180">
        <v>0</v>
      </c>
      <c r="Y153" s="180">
        <v>0</v>
      </c>
      <c r="Z153" s="180">
        <v>0</v>
      </c>
      <c r="AA153" s="180">
        <v>0</v>
      </c>
      <c r="AB153" s="180">
        <v>0</v>
      </c>
      <c r="AC153" s="180">
        <v>0</v>
      </c>
      <c r="AD153" s="180">
        <v>0</v>
      </c>
      <c r="AE153" s="180">
        <v>0</v>
      </c>
      <c r="AF153" s="180">
        <v>0</v>
      </c>
      <c r="AG153" s="180">
        <v>0</v>
      </c>
      <c r="AH153" s="180">
        <v>0</v>
      </c>
      <c r="AI153" s="180">
        <v>0</v>
      </c>
      <c r="AJ153" s="180">
        <v>0</v>
      </c>
      <c r="AK153" s="180">
        <v>0</v>
      </c>
      <c r="AL153" s="180">
        <v>0</v>
      </c>
      <c r="AM153" s="180">
        <v>0</v>
      </c>
      <c r="AN153" s="180">
        <v>0</v>
      </c>
      <c r="AO153" s="180">
        <v>0</v>
      </c>
      <c r="AP153" s="180">
        <v>0</v>
      </c>
      <c r="AQ153" s="180">
        <v>0</v>
      </c>
      <c r="AR153" s="180">
        <v>0</v>
      </c>
      <c r="AS153" s="180">
        <v>0</v>
      </c>
      <c r="AT153" s="180">
        <v>0</v>
      </c>
      <c r="AU153" s="180">
        <v>0</v>
      </c>
      <c r="AV153" s="180">
        <v>0</v>
      </c>
      <c r="AW153" s="180">
        <v>0</v>
      </c>
      <c r="AX153" s="180">
        <v>0</v>
      </c>
      <c r="AY153" s="180">
        <v>0</v>
      </c>
      <c r="AZ153" s="180">
        <v>0</v>
      </c>
      <c r="BA153" s="180">
        <v>0</v>
      </c>
      <c r="BB153" s="180">
        <v>0</v>
      </c>
      <c r="BC153" s="180">
        <v>0</v>
      </c>
      <c r="BD153" s="180">
        <v>0</v>
      </c>
      <c r="BE153" s="180">
        <v>0</v>
      </c>
      <c r="BF153" s="180">
        <v>0</v>
      </c>
      <c r="BG153" s="180"/>
      <c r="BH153" s="180">
        <v>0</v>
      </c>
      <c r="BI153" s="180">
        <v>0</v>
      </c>
      <c r="BJ153" s="180">
        <v>0</v>
      </c>
      <c r="BK153" s="180">
        <v>0</v>
      </c>
      <c r="BL153" s="180">
        <v>0</v>
      </c>
      <c r="BM153" s="180">
        <v>0</v>
      </c>
      <c r="BN153" s="180">
        <v>0</v>
      </c>
      <c r="BO153" s="180">
        <v>0</v>
      </c>
      <c r="BP153" s="180"/>
      <c r="BQ153" s="180">
        <v>0</v>
      </c>
      <c r="BR153" s="180"/>
      <c r="BS153" s="180">
        <v>0</v>
      </c>
      <c r="BT153" s="180">
        <v>0</v>
      </c>
      <c r="BU153" s="180"/>
      <c r="BV153" s="180">
        <v>0</v>
      </c>
      <c r="BW153" s="180"/>
      <c r="BX153" s="180"/>
      <c r="BY153" s="180"/>
      <c r="BZ153" s="180"/>
      <c r="CA153" s="180"/>
      <c r="CB153" s="180"/>
      <c r="CC153" s="180"/>
      <c r="CD153" s="180"/>
      <c r="CE153" s="180"/>
      <c r="CF153" s="180"/>
      <c r="CG153" s="180"/>
      <c r="CH153" s="180"/>
      <c r="CI153" s="180"/>
      <c r="CJ153" s="180"/>
      <c r="CK153" s="180"/>
      <c r="CL153" s="180"/>
      <c r="CM153" s="180"/>
      <c r="CN153" s="180"/>
      <c r="CO153" s="180"/>
      <c r="CP153" s="180"/>
      <c r="CQ153" s="180"/>
      <c r="CR153" s="180"/>
      <c r="CS153" s="180"/>
      <c r="CT153" s="180"/>
      <c r="CU153" s="180"/>
    </row>
    <row r="154" spans="1:99" x14ac:dyDescent="0.3">
      <c r="A154" s="155">
        <v>581</v>
      </c>
      <c r="B154" s="180" t="s">
        <v>948</v>
      </c>
      <c r="C154" s="180"/>
      <c r="D154" s="180">
        <v>0</v>
      </c>
      <c r="E154" s="180">
        <v>0</v>
      </c>
      <c r="F154" s="180"/>
      <c r="G154" s="180"/>
      <c r="H154" s="180">
        <v>0</v>
      </c>
      <c r="I154" s="180">
        <v>0</v>
      </c>
      <c r="J154" s="180"/>
      <c r="K154" s="180">
        <v>0</v>
      </c>
      <c r="L154" s="180">
        <v>0</v>
      </c>
      <c r="M154" s="180">
        <v>0</v>
      </c>
      <c r="N154" s="180">
        <v>0</v>
      </c>
      <c r="O154" s="180">
        <v>0</v>
      </c>
      <c r="P154" s="180"/>
      <c r="Q154" s="180">
        <v>0</v>
      </c>
      <c r="R154" s="180">
        <v>0</v>
      </c>
      <c r="S154" s="180">
        <v>0</v>
      </c>
      <c r="T154" s="180">
        <v>0</v>
      </c>
      <c r="U154" s="180"/>
      <c r="V154" s="180"/>
      <c r="W154" s="180"/>
      <c r="X154" s="180">
        <v>0</v>
      </c>
      <c r="Y154" s="180">
        <v>0</v>
      </c>
      <c r="Z154" s="180">
        <v>0</v>
      </c>
      <c r="AA154" s="180">
        <v>0</v>
      </c>
      <c r="AB154" s="180">
        <v>0</v>
      </c>
      <c r="AC154" s="180">
        <v>0</v>
      </c>
      <c r="AD154" s="180">
        <v>0</v>
      </c>
      <c r="AE154" s="180">
        <v>0</v>
      </c>
      <c r="AF154" s="180">
        <v>0</v>
      </c>
      <c r="AG154" s="180">
        <v>0</v>
      </c>
      <c r="AH154" s="180">
        <v>0</v>
      </c>
      <c r="AI154" s="180">
        <v>0</v>
      </c>
      <c r="AJ154" s="180">
        <v>0</v>
      </c>
      <c r="AK154" s="180">
        <v>0</v>
      </c>
      <c r="AL154" s="180">
        <v>0</v>
      </c>
      <c r="AM154" s="180">
        <v>0</v>
      </c>
      <c r="AN154" s="180">
        <v>0</v>
      </c>
      <c r="AO154" s="180">
        <v>0</v>
      </c>
      <c r="AP154" s="180">
        <v>0</v>
      </c>
      <c r="AQ154" s="180">
        <v>0</v>
      </c>
      <c r="AR154" s="180">
        <v>0</v>
      </c>
      <c r="AS154" s="180">
        <v>0</v>
      </c>
      <c r="AT154" s="180">
        <v>0</v>
      </c>
      <c r="AU154" s="180">
        <v>0</v>
      </c>
      <c r="AV154" s="180">
        <v>0</v>
      </c>
      <c r="AW154" s="180">
        <v>0</v>
      </c>
      <c r="AX154" s="180">
        <v>0</v>
      </c>
      <c r="AY154" s="180">
        <v>0</v>
      </c>
      <c r="AZ154" s="180">
        <v>0</v>
      </c>
      <c r="BA154" s="180">
        <v>0</v>
      </c>
      <c r="BB154" s="180">
        <v>0</v>
      </c>
      <c r="BC154" s="180">
        <v>0</v>
      </c>
      <c r="BD154" s="180">
        <v>0</v>
      </c>
      <c r="BE154" s="180">
        <v>0</v>
      </c>
      <c r="BF154" s="180">
        <v>1500000</v>
      </c>
      <c r="BG154" s="180"/>
      <c r="BH154" s="180">
        <v>0</v>
      </c>
      <c r="BI154" s="180">
        <v>0</v>
      </c>
      <c r="BJ154" s="180">
        <v>0</v>
      </c>
      <c r="BK154" s="180">
        <v>0</v>
      </c>
      <c r="BL154" s="180">
        <v>0</v>
      </c>
      <c r="BM154" s="180">
        <v>0</v>
      </c>
      <c r="BN154" s="180">
        <v>0</v>
      </c>
      <c r="BO154" s="180">
        <v>0</v>
      </c>
      <c r="BP154" s="180"/>
      <c r="BQ154" s="180">
        <v>0</v>
      </c>
      <c r="BR154" s="180"/>
      <c r="BS154" s="180">
        <v>0</v>
      </c>
      <c r="BT154" s="180">
        <v>0</v>
      </c>
      <c r="BU154" s="180"/>
      <c r="BV154" s="180">
        <v>0</v>
      </c>
      <c r="BW154" s="180"/>
      <c r="BX154" s="180"/>
      <c r="BY154" s="180"/>
      <c r="BZ154" s="180"/>
      <c r="CA154" s="180"/>
      <c r="CB154" s="180"/>
      <c r="CC154" s="180"/>
      <c r="CD154" s="180"/>
      <c r="CE154" s="180"/>
      <c r="CF154" s="180"/>
      <c r="CG154" s="180"/>
      <c r="CH154" s="180"/>
      <c r="CI154" s="180"/>
      <c r="CJ154" s="180"/>
      <c r="CK154" s="180"/>
      <c r="CL154" s="180"/>
      <c r="CM154" s="180"/>
      <c r="CN154" s="180"/>
      <c r="CO154" s="180"/>
      <c r="CP154" s="180"/>
      <c r="CQ154" s="180"/>
      <c r="CR154" s="180"/>
      <c r="CS154" s="180"/>
      <c r="CT154" s="180"/>
      <c r="CU154" s="180"/>
    </row>
    <row r="155" spans="1:99" x14ac:dyDescent="0.3">
      <c r="A155" s="155">
        <v>586</v>
      </c>
      <c r="B155" s="180" t="s">
        <v>950</v>
      </c>
      <c r="C155" s="180"/>
      <c r="D155" s="180">
        <v>0</v>
      </c>
      <c r="E155" s="180">
        <v>5931594</v>
      </c>
      <c r="F155" s="180"/>
      <c r="G155" s="180"/>
      <c r="H155" s="180">
        <v>0</v>
      </c>
      <c r="I155" s="180">
        <v>0</v>
      </c>
      <c r="J155" s="180"/>
      <c r="K155" s="180">
        <v>0</v>
      </c>
      <c r="L155" s="180">
        <v>0</v>
      </c>
      <c r="M155" s="180">
        <v>185000</v>
      </c>
      <c r="N155" s="180">
        <v>0</v>
      </c>
      <c r="O155" s="180">
        <v>0</v>
      </c>
      <c r="P155" s="180"/>
      <c r="Q155" s="180">
        <v>0</v>
      </c>
      <c r="R155" s="180">
        <v>0</v>
      </c>
      <c r="S155" s="180">
        <v>0</v>
      </c>
      <c r="T155" s="180">
        <v>0</v>
      </c>
      <c r="U155" s="180"/>
      <c r="V155" s="180"/>
      <c r="W155" s="180"/>
      <c r="X155" s="180">
        <v>0</v>
      </c>
      <c r="Y155" s="180">
        <v>0</v>
      </c>
      <c r="Z155" s="180">
        <v>16649800</v>
      </c>
      <c r="AA155" s="180">
        <v>0</v>
      </c>
      <c r="AB155" s="180">
        <v>0</v>
      </c>
      <c r="AC155" s="180">
        <v>0</v>
      </c>
      <c r="AD155" s="180">
        <v>0</v>
      </c>
      <c r="AE155" s="180">
        <v>0</v>
      </c>
      <c r="AF155" s="180">
        <v>0</v>
      </c>
      <c r="AG155" s="180">
        <v>0</v>
      </c>
      <c r="AH155" s="180">
        <v>0</v>
      </c>
      <c r="AI155" s="180">
        <v>0</v>
      </c>
      <c r="AJ155" s="180">
        <v>0</v>
      </c>
      <c r="AK155" s="180">
        <v>0</v>
      </c>
      <c r="AL155" s="180">
        <v>0</v>
      </c>
      <c r="AM155" s="180">
        <v>0</v>
      </c>
      <c r="AN155" s="180">
        <v>0</v>
      </c>
      <c r="AO155" s="180">
        <v>0</v>
      </c>
      <c r="AP155" s="180">
        <v>0</v>
      </c>
      <c r="AQ155" s="180">
        <v>0</v>
      </c>
      <c r="AR155" s="180">
        <v>0</v>
      </c>
      <c r="AS155" s="180">
        <v>0</v>
      </c>
      <c r="AT155" s="180">
        <v>0</v>
      </c>
      <c r="AU155" s="180">
        <v>0</v>
      </c>
      <c r="AV155" s="180">
        <v>0</v>
      </c>
      <c r="AW155" s="180">
        <v>0</v>
      </c>
      <c r="AX155" s="180">
        <v>0</v>
      </c>
      <c r="AY155" s="180">
        <v>0</v>
      </c>
      <c r="AZ155" s="180">
        <v>0</v>
      </c>
      <c r="BA155" s="180">
        <v>0</v>
      </c>
      <c r="BB155" s="180">
        <v>0</v>
      </c>
      <c r="BC155" s="180">
        <v>0</v>
      </c>
      <c r="BD155" s="180">
        <v>100</v>
      </c>
      <c r="BE155" s="180">
        <v>0</v>
      </c>
      <c r="BF155" s="180">
        <v>0</v>
      </c>
      <c r="BG155" s="180"/>
      <c r="BH155" s="180">
        <v>0</v>
      </c>
      <c r="BI155" s="180">
        <v>0</v>
      </c>
      <c r="BJ155" s="180">
        <v>0</v>
      </c>
      <c r="BK155" s="180">
        <v>0</v>
      </c>
      <c r="BL155" s="180">
        <v>0</v>
      </c>
      <c r="BM155" s="180">
        <v>0</v>
      </c>
      <c r="BN155" s="180">
        <v>0</v>
      </c>
      <c r="BO155" s="180">
        <v>0</v>
      </c>
      <c r="BP155" s="180"/>
      <c r="BQ155" s="180">
        <v>0</v>
      </c>
      <c r="BR155" s="180"/>
      <c r="BS155" s="180">
        <v>0</v>
      </c>
      <c r="BT155" s="180">
        <v>0</v>
      </c>
      <c r="BU155" s="180"/>
      <c r="BV155" s="180">
        <v>0</v>
      </c>
      <c r="BW155" s="180"/>
      <c r="BX155" s="180"/>
      <c r="BY155" s="180"/>
      <c r="BZ155" s="180"/>
      <c r="CA155" s="180"/>
      <c r="CB155" s="180"/>
      <c r="CC155" s="180"/>
      <c r="CD155" s="180"/>
      <c r="CE155" s="180"/>
      <c r="CF155" s="180"/>
      <c r="CG155" s="180"/>
      <c r="CH155" s="180"/>
      <c r="CI155" s="180"/>
      <c r="CJ155" s="180"/>
      <c r="CK155" s="180"/>
      <c r="CL155" s="180"/>
      <c r="CM155" s="180"/>
      <c r="CN155" s="180"/>
      <c r="CO155" s="180"/>
      <c r="CP155" s="180"/>
      <c r="CQ155" s="180"/>
      <c r="CR155" s="180"/>
      <c r="CS155" s="180"/>
      <c r="CT155" s="180"/>
      <c r="CU155" s="180"/>
    </row>
    <row r="156" spans="1:99" x14ac:dyDescent="0.3">
      <c r="A156" s="155">
        <v>590</v>
      </c>
      <c r="B156" s="180" t="s">
        <v>1662</v>
      </c>
      <c r="C156" s="180"/>
      <c r="D156" s="180"/>
      <c r="E156" s="180"/>
      <c r="F156" s="180"/>
      <c r="G156" s="180"/>
      <c r="H156" s="180"/>
      <c r="I156" s="180"/>
      <c r="J156" s="180"/>
      <c r="K156" s="180"/>
      <c r="L156" s="180"/>
      <c r="M156" s="180"/>
      <c r="N156" s="180"/>
      <c r="O156" s="180"/>
      <c r="P156" s="180"/>
      <c r="Q156" s="180"/>
      <c r="R156" s="180"/>
      <c r="S156" s="180"/>
      <c r="T156" s="180"/>
      <c r="U156" s="180"/>
      <c r="V156" s="180"/>
      <c r="W156" s="180"/>
      <c r="X156" s="180"/>
      <c r="Y156" s="180"/>
      <c r="Z156" s="180"/>
      <c r="AA156" s="180" t="s">
        <v>2446</v>
      </c>
      <c r="AB156" s="180"/>
      <c r="AC156" s="180" t="s">
        <v>2447</v>
      </c>
      <c r="AD156" s="180"/>
      <c r="AE156" s="180"/>
      <c r="AF156" s="180"/>
      <c r="AG156" s="180"/>
      <c r="AH156" s="180" t="s">
        <v>2447</v>
      </c>
      <c r="AI156" s="180" t="s">
        <v>2447</v>
      </c>
      <c r="AJ156" s="180"/>
      <c r="AK156" s="180"/>
      <c r="AL156" s="180"/>
      <c r="AM156" s="180" t="s">
        <v>2448</v>
      </c>
      <c r="AN156" s="180"/>
      <c r="AO156" s="180"/>
      <c r="AP156" s="180"/>
      <c r="AQ156" s="180"/>
      <c r="AR156" s="180"/>
      <c r="AS156" s="180"/>
      <c r="AT156" s="180"/>
      <c r="AU156" s="180"/>
      <c r="AV156" s="180"/>
      <c r="AW156" s="180"/>
      <c r="AX156" s="180"/>
      <c r="AY156" s="180"/>
      <c r="AZ156" s="180"/>
      <c r="BA156" s="180"/>
      <c r="BB156" s="180" t="s">
        <v>2449</v>
      </c>
      <c r="BC156" s="180"/>
      <c r="BD156" s="180"/>
      <c r="BE156" s="180"/>
      <c r="BF156" s="180"/>
      <c r="BG156" s="180"/>
      <c r="BH156" s="180"/>
      <c r="BI156" s="180"/>
      <c r="BJ156" s="180"/>
      <c r="BK156" s="180"/>
      <c r="BL156" s="180"/>
      <c r="BM156" s="180"/>
      <c r="BN156" s="180"/>
      <c r="BO156" s="180"/>
      <c r="BP156" s="180"/>
      <c r="BQ156" s="180"/>
      <c r="BR156" s="180"/>
      <c r="BS156" s="180" t="s">
        <v>1663</v>
      </c>
      <c r="BT156" s="180"/>
      <c r="BU156" s="180"/>
      <c r="BV156" s="180"/>
      <c r="BW156" s="180"/>
      <c r="BX156" s="180"/>
      <c r="BY156" s="180"/>
      <c r="BZ156" s="180"/>
      <c r="CA156" s="180"/>
      <c r="CB156" s="180"/>
      <c r="CC156" s="180"/>
      <c r="CD156" s="180"/>
      <c r="CE156" s="180"/>
      <c r="CF156" s="180"/>
      <c r="CG156" s="180"/>
      <c r="CH156" s="180"/>
      <c r="CI156" s="180"/>
      <c r="CJ156" s="180"/>
      <c r="CK156" s="180"/>
      <c r="CL156" s="180"/>
      <c r="CM156" s="180"/>
      <c r="CN156" s="180"/>
      <c r="CO156" s="180"/>
      <c r="CP156" s="180"/>
      <c r="CQ156" s="180"/>
      <c r="CR156" s="180"/>
      <c r="CS156" s="180"/>
      <c r="CT156" s="180"/>
      <c r="CU156" s="180"/>
    </row>
    <row r="157" spans="1:99" s="571" customFormat="1" x14ac:dyDescent="0.3">
      <c r="A157" s="570">
        <v>591</v>
      </c>
      <c r="B157" s="571" t="s">
        <v>329</v>
      </c>
      <c r="D157" s="571">
        <v>2621207</v>
      </c>
      <c r="E157" s="571">
        <v>336837036</v>
      </c>
      <c r="H157" s="571">
        <v>1328268</v>
      </c>
      <c r="I157" s="571">
        <v>0</v>
      </c>
      <c r="K157" s="571">
        <v>0</v>
      </c>
      <c r="L157" s="571">
        <v>6322678</v>
      </c>
      <c r="M157" s="571">
        <v>9017865</v>
      </c>
      <c r="N157" s="571">
        <v>0</v>
      </c>
      <c r="O157" s="571">
        <v>404944</v>
      </c>
      <c r="Q157" s="571">
        <v>0</v>
      </c>
      <c r="R157" s="571">
        <v>0</v>
      </c>
      <c r="S157" s="571">
        <v>959048</v>
      </c>
      <c r="T157" s="571">
        <v>0</v>
      </c>
      <c r="X157" s="571">
        <v>7016824</v>
      </c>
      <c r="Y157" s="571">
        <v>0</v>
      </c>
      <c r="Z157" s="571">
        <v>127659400</v>
      </c>
      <c r="AA157" s="571">
        <v>0</v>
      </c>
      <c r="AB157" s="571">
        <v>276832</v>
      </c>
      <c r="AC157" s="571">
        <v>69242</v>
      </c>
      <c r="AD157" s="571">
        <v>1234288</v>
      </c>
      <c r="AE157" s="571">
        <v>662984</v>
      </c>
      <c r="AF157" s="571">
        <v>527624</v>
      </c>
      <c r="AG157" s="571">
        <v>637598</v>
      </c>
      <c r="AH157" s="571">
        <v>6223572</v>
      </c>
      <c r="AI157" s="571">
        <v>0</v>
      </c>
      <c r="AJ157" s="571">
        <v>0</v>
      </c>
      <c r="AK157" s="571">
        <v>0</v>
      </c>
      <c r="AL157" s="571">
        <v>786009</v>
      </c>
      <c r="AM157" s="571">
        <v>1364772</v>
      </c>
      <c r="AN157" s="571">
        <v>660914</v>
      </c>
      <c r="AO157" s="571">
        <v>28218084</v>
      </c>
      <c r="AP157" s="571">
        <v>967795</v>
      </c>
      <c r="AQ157" s="571">
        <v>0</v>
      </c>
      <c r="AR157" s="571">
        <v>67575</v>
      </c>
      <c r="AS157" s="571">
        <v>25786335</v>
      </c>
      <c r="AT157" s="571">
        <v>340133</v>
      </c>
      <c r="AU157" s="571">
        <v>916288</v>
      </c>
      <c r="AV157" s="571">
        <v>4533904</v>
      </c>
      <c r="AW157" s="571">
        <v>686560</v>
      </c>
      <c r="AX157" s="571">
        <v>0</v>
      </c>
      <c r="AY157" s="571">
        <v>0</v>
      </c>
      <c r="AZ157" s="571">
        <v>11195437</v>
      </c>
      <c r="BA157" s="571">
        <v>280691</v>
      </c>
      <c r="BB157" s="571">
        <v>469534</v>
      </c>
      <c r="BC157" s="571">
        <v>102355</v>
      </c>
      <c r="BD157" s="571">
        <v>3767609</v>
      </c>
      <c r="BE157" s="571">
        <v>4323578</v>
      </c>
      <c r="BF157" s="571">
        <v>53172393</v>
      </c>
      <c r="BH157" s="571">
        <v>0</v>
      </c>
      <c r="BI157" s="571">
        <v>183911</v>
      </c>
      <c r="BJ157" s="571">
        <v>22012637</v>
      </c>
      <c r="BK157" s="571">
        <v>1176757</v>
      </c>
      <c r="BL157" s="571">
        <v>9012368</v>
      </c>
      <c r="BM157" s="571">
        <v>0</v>
      </c>
      <c r="BN157" s="571">
        <v>11450079</v>
      </c>
      <c r="BO157" s="571">
        <v>1563291</v>
      </c>
      <c r="BQ157" s="571">
        <v>0</v>
      </c>
      <c r="BS157" s="571">
        <v>1968753</v>
      </c>
      <c r="BT157" s="571">
        <v>0</v>
      </c>
      <c r="BV157" s="571">
        <v>2803233</v>
      </c>
    </row>
    <row r="158" spans="1:99" s="571" customFormat="1" x14ac:dyDescent="0.3">
      <c r="A158" s="570">
        <v>592</v>
      </c>
      <c r="B158" s="571" t="s">
        <v>330</v>
      </c>
      <c r="D158" s="571">
        <v>269306</v>
      </c>
      <c r="E158" s="571">
        <v>167073511</v>
      </c>
      <c r="H158" s="571">
        <v>292739</v>
      </c>
      <c r="I158" s="571">
        <v>0</v>
      </c>
      <c r="K158" s="571">
        <v>0</v>
      </c>
      <c r="L158" s="571">
        <v>3171760</v>
      </c>
      <c r="M158" s="571">
        <v>443157</v>
      </c>
      <c r="N158" s="571">
        <v>0</v>
      </c>
      <c r="O158" s="571">
        <v>-74243</v>
      </c>
      <c r="Q158" s="571">
        <v>0</v>
      </c>
      <c r="R158" s="571">
        <v>0</v>
      </c>
      <c r="S158" s="571">
        <v>190076</v>
      </c>
      <c r="T158" s="571">
        <v>0</v>
      </c>
      <c r="X158" s="571">
        <v>-164833</v>
      </c>
      <c r="Y158" s="571">
        <v>0</v>
      </c>
      <c r="Z158" s="571">
        <v>-883707</v>
      </c>
      <c r="AA158" s="571">
        <v>0</v>
      </c>
      <c r="AB158" s="571">
        <v>-89297</v>
      </c>
      <c r="AC158" s="571">
        <v>121684</v>
      </c>
      <c r="AD158" s="571">
        <v>-152994</v>
      </c>
      <c r="AE158" s="571">
        <v>250648</v>
      </c>
      <c r="AF158" s="571">
        <v>295150</v>
      </c>
      <c r="AG158" s="571">
        <v>21093</v>
      </c>
      <c r="AH158" s="571">
        <v>-899026</v>
      </c>
      <c r="AI158" s="571">
        <v>0</v>
      </c>
      <c r="AJ158" s="571">
        <v>0</v>
      </c>
      <c r="AK158" s="571">
        <v>0</v>
      </c>
      <c r="AL158" s="571">
        <v>21398</v>
      </c>
      <c r="AM158" s="571">
        <v>264737</v>
      </c>
      <c r="AN158" s="571">
        <v>-56710</v>
      </c>
      <c r="AO158" s="571">
        <v>9643104</v>
      </c>
      <c r="AP158" s="571">
        <v>230228</v>
      </c>
      <c r="AQ158" s="571">
        <v>0</v>
      </c>
      <c r="AR158" s="571">
        <v>-11482</v>
      </c>
      <c r="AS158" s="571">
        <v>4493223</v>
      </c>
      <c r="AT158" s="571">
        <v>82561</v>
      </c>
      <c r="AU158" s="571">
        <v>212850</v>
      </c>
      <c r="AV158" s="571">
        <v>480219</v>
      </c>
      <c r="AW158" s="571">
        <v>320000</v>
      </c>
      <c r="AX158" s="571">
        <v>0</v>
      </c>
      <c r="AY158" s="571">
        <v>2</v>
      </c>
      <c r="AZ158" s="571">
        <v>3546001</v>
      </c>
      <c r="BA158" s="571">
        <v>55569</v>
      </c>
      <c r="BB158" s="571">
        <v>58536</v>
      </c>
      <c r="BC158" s="571">
        <v>-7139</v>
      </c>
      <c r="BD158" s="571">
        <v>2048816</v>
      </c>
      <c r="BE158" s="571">
        <v>-260453</v>
      </c>
      <c r="BF158" s="571">
        <v>8679858</v>
      </c>
      <c r="BH158" s="571">
        <v>0</v>
      </c>
      <c r="BI158" s="571">
        <v>59599</v>
      </c>
      <c r="BJ158" s="571">
        <v>5340328</v>
      </c>
      <c r="BK158" s="571">
        <v>180590</v>
      </c>
      <c r="BL158" s="571">
        <v>4437330</v>
      </c>
      <c r="BM158" s="571">
        <v>0</v>
      </c>
      <c r="BN158" s="571">
        <v>4415376</v>
      </c>
      <c r="BO158" s="571">
        <v>7159091</v>
      </c>
      <c r="BQ158" s="571">
        <v>0</v>
      </c>
      <c r="BS158" s="571">
        <v>303339</v>
      </c>
      <c r="BT158" s="571">
        <v>0</v>
      </c>
      <c r="BV158" s="571">
        <v>-99461</v>
      </c>
    </row>
    <row r="159" spans="1:99" x14ac:dyDescent="0.3">
      <c r="A159" s="155">
        <v>596</v>
      </c>
      <c r="B159" s="180" t="s">
        <v>335</v>
      </c>
      <c r="C159" s="180"/>
      <c r="D159" s="180">
        <v>52</v>
      </c>
      <c r="E159" s="180">
        <v>52</v>
      </c>
      <c r="F159" s="180"/>
      <c r="G159" s="180"/>
      <c r="H159" s="180">
        <v>52</v>
      </c>
      <c r="I159" s="180">
        <v>0</v>
      </c>
      <c r="J159" s="180"/>
      <c r="K159" s="180">
        <v>52</v>
      </c>
      <c r="L159" s="180">
        <v>52</v>
      </c>
      <c r="M159" s="180">
        <v>52</v>
      </c>
      <c r="N159" s="180">
        <v>52</v>
      </c>
      <c r="O159" s="180">
        <v>52</v>
      </c>
      <c r="P159" s="180"/>
      <c r="Q159" s="180">
        <v>0</v>
      </c>
      <c r="R159" s="180">
        <v>52</v>
      </c>
      <c r="S159" s="180">
        <v>52</v>
      </c>
      <c r="T159" s="180">
        <v>52</v>
      </c>
      <c r="U159" s="180"/>
      <c r="V159" s="180"/>
      <c r="W159" s="180"/>
      <c r="X159" s="180">
        <v>52</v>
      </c>
      <c r="Y159" s="180">
        <v>0</v>
      </c>
      <c r="Z159" s="180">
        <v>52</v>
      </c>
      <c r="AA159" s="180">
        <v>52</v>
      </c>
      <c r="AB159" s="180">
        <v>52</v>
      </c>
      <c r="AC159" s="180">
        <v>52</v>
      </c>
      <c r="AD159" s="180">
        <v>52</v>
      </c>
      <c r="AE159" s="180">
        <v>52</v>
      </c>
      <c r="AF159" s="180">
        <v>52</v>
      </c>
      <c r="AG159" s="180">
        <v>52</v>
      </c>
      <c r="AH159" s="180">
        <v>52</v>
      </c>
      <c r="AI159" s="180">
        <v>0</v>
      </c>
      <c r="AJ159" s="180">
        <v>52</v>
      </c>
      <c r="AK159" s="180">
        <v>0</v>
      </c>
      <c r="AL159" s="180">
        <v>52</v>
      </c>
      <c r="AM159" s="180">
        <v>52</v>
      </c>
      <c r="AN159" s="180">
        <v>52</v>
      </c>
      <c r="AO159" s="180">
        <v>52</v>
      </c>
      <c r="AP159" s="180">
        <v>52</v>
      </c>
      <c r="AQ159" s="180">
        <v>52</v>
      </c>
      <c r="AR159" s="180">
        <v>52</v>
      </c>
      <c r="AS159" s="180">
        <v>52</v>
      </c>
      <c r="AT159" s="180">
        <v>52</v>
      </c>
      <c r="AU159" s="180">
        <v>52</v>
      </c>
      <c r="AV159" s="180">
        <v>52</v>
      </c>
      <c r="AW159" s="180">
        <v>52</v>
      </c>
      <c r="AX159" s="180">
        <v>0</v>
      </c>
      <c r="AY159" s="180">
        <v>52</v>
      </c>
      <c r="AZ159" s="180">
        <v>52</v>
      </c>
      <c r="BA159" s="180">
        <v>52</v>
      </c>
      <c r="BB159" s="180">
        <v>52</v>
      </c>
      <c r="BC159" s="180">
        <v>52</v>
      </c>
      <c r="BD159" s="180">
        <v>52</v>
      </c>
      <c r="BE159" s="180">
        <v>52</v>
      </c>
      <c r="BF159" s="180">
        <v>52</v>
      </c>
      <c r="BG159" s="180"/>
      <c r="BH159" s="180">
        <v>52</v>
      </c>
      <c r="BI159" s="180">
        <v>52</v>
      </c>
      <c r="BJ159" s="180">
        <v>52</v>
      </c>
      <c r="BK159" s="180">
        <v>52</v>
      </c>
      <c r="BL159" s="180">
        <v>52</v>
      </c>
      <c r="BM159" s="180">
        <v>0</v>
      </c>
      <c r="BN159" s="180">
        <v>52</v>
      </c>
      <c r="BO159" s="180">
        <v>52</v>
      </c>
      <c r="BP159" s="180"/>
      <c r="BQ159" s="180">
        <v>0</v>
      </c>
      <c r="BR159" s="180"/>
      <c r="BS159" s="180">
        <v>52</v>
      </c>
      <c r="BT159" s="180">
        <v>0</v>
      </c>
      <c r="BU159" s="180"/>
      <c r="BV159" s="180">
        <v>52</v>
      </c>
      <c r="BW159" s="180"/>
      <c r="BX159" s="180"/>
      <c r="BY159" s="180"/>
      <c r="BZ159" s="180"/>
      <c r="CA159" s="180"/>
      <c r="CB159" s="180"/>
      <c r="CC159" s="180"/>
      <c r="CD159" s="180"/>
      <c r="CE159" s="180"/>
      <c r="CF159" s="180"/>
      <c r="CG159" s="180"/>
      <c r="CH159" s="180"/>
      <c r="CI159" s="180"/>
      <c r="CJ159" s="180"/>
      <c r="CK159" s="180"/>
      <c r="CL159" s="180"/>
      <c r="CM159" s="180"/>
      <c r="CN159" s="180"/>
      <c r="CO159" s="180"/>
      <c r="CP159" s="180"/>
      <c r="CQ159" s="180"/>
      <c r="CR159" s="180"/>
      <c r="CS159" s="180"/>
      <c r="CT159" s="180"/>
      <c r="CU159" s="180"/>
    </row>
    <row r="160" spans="1:99" x14ac:dyDescent="0.3">
      <c r="A160" s="155">
        <v>597</v>
      </c>
      <c r="B160" s="180" t="s">
        <v>338</v>
      </c>
      <c r="C160" s="180"/>
      <c r="D160" s="180">
        <v>0</v>
      </c>
      <c r="E160" s="180">
        <v>-45323807</v>
      </c>
      <c r="F160" s="180"/>
      <c r="G160" s="180"/>
      <c r="H160" s="180">
        <v>13872</v>
      </c>
      <c r="I160" s="180">
        <v>0</v>
      </c>
      <c r="J160" s="180"/>
      <c r="K160" s="180">
        <v>7408</v>
      </c>
      <c r="L160" s="180">
        <v>6769</v>
      </c>
      <c r="M160" s="180">
        <v>40759</v>
      </c>
      <c r="N160" s="180">
        <v>1387</v>
      </c>
      <c r="O160" s="180">
        <v>1039</v>
      </c>
      <c r="P160" s="180"/>
      <c r="Q160" s="180">
        <v>17997</v>
      </c>
      <c r="R160" s="180">
        <v>593</v>
      </c>
      <c r="S160" s="180">
        <v>5422</v>
      </c>
      <c r="T160" s="180">
        <v>9634</v>
      </c>
      <c r="U160" s="180"/>
      <c r="V160" s="180"/>
      <c r="W160" s="180"/>
      <c r="X160" s="180">
        <v>14350</v>
      </c>
      <c r="Y160" s="180">
        <v>1343</v>
      </c>
      <c r="Z160" s="180">
        <v>566051</v>
      </c>
      <c r="AA160" s="180">
        <v>30238</v>
      </c>
      <c r="AB160" s="180">
        <v>656</v>
      </c>
      <c r="AC160" s="180">
        <v>0</v>
      </c>
      <c r="AD160" s="180">
        <v>3799</v>
      </c>
      <c r="AE160" s="180">
        <v>30545</v>
      </c>
      <c r="AF160" s="180">
        <v>501</v>
      </c>
      <c r="AG160" s="180">
        <v>0</v>
      </c>
      <c r="AH160" s="180">
        <v>0</v>
      </c>
      <c r="AI160" s="180">
        <v>0</v>
      </c>
      <c r="AJ160" s="180">
        <v>2747</v>
      </c>
      <c r="AK160" s="180">
        <v>0</v>
      </c>
      <c r="AL160" s="180">
        <v>3</v>
      </c>
      <c r="AM160" s="180">
        <v>42338</v>
      </c>
      <c r="AN160" s="180">
        <v>35</v>
      </c>
      <c r="AO160" s="180">
        <v>253808</v>
      </c>
      <c r="AP160" s="180">
        <v>3401</v>
      </c>
      <c r="AQ160" s="180">
        <v>28</v>
      </c>
      <c r="AR160" s="180">
        <v>12</v>
      </c>
      <c r="AS160" s="180">
        <v>125945</v>
      </c>
      <c r="AT160" s="180">
        <v>1518</v>
      </c>
      <c r="AU160" s="180">
        <v>2763</v>
      </c>
      <c r="AV160" s="180">
        <v>951</v>
      </c>
      <c r="AW160" s="180">
        <v>391</v>
      </c>
      <c r="AX160" s="180">
        <v>12</v>
      </c>
      <c r="AY160" s="180">
        <v>68</v>
      </c>
      <c r="AZ160" s="180">
        <v>19239</v>
      </c>
      <c r="BA160" s="180">
        <v>1208</v>
      </c>
      <c r="BB160" s="180">
        <v>389</v>
      </c>
      <c r="BC160" s="180">
        <v>4201</v>
      </c>
      <c r="BD160" s="180">
        <v>71952</v>
      </c>
      <c r="BE160" s="180">
        <v>1469</v>
      </c>
      <c r="BF160" s="180">
        <v>69130</v>
      </c>
      <c r="BG160" s="180"/>
      <c r="BH160" s="180">
        <v>49</v>
      </c>
      <c r="BI160" s="180">
        <v>361</v>
      </c>
      <c r="BJ160" s="180">
        <v>29771</v>
      </c>
      <c r="BK160" s="180">
        <v>1297</v>
      </c>
      <c r="BL160" s="180">
        <v>67210</v>
      </c>
      <c r="BM160" s="180">
        <v>19013</v>
      </c>
      <c r="BN160" s="180">
        <v>24995</v>
      </c>
      <c r="BO160" s="180">
        <v>1909</v>
      </c>
      <c r="BP160" s="180"/>
      <c r="BQ160" s="180">
        <v>4559</v>
      </c>
      <c r="BR160" s="180"/>
      <c r="BS160" s="180">
        <v>9859</v>
      </c>
      <c r="BT160" s="180">
        <v>562</v>
      </c>
      <c r="BU160" s="180"/>
      <c r="BV160" s="180">
        <v>2494</v>
      </c>
      <c r="BW160" s="180"/>
      <c r="BX160" s="180"/>
      <c r="BY160" s="180"/>
      <c r="BZ160" s="180"/>
      <c r="CA160" s="180"/>
      <c r="CB160" s="180"/>
      <c r="CC160" s="180"/>
      <c r="CD160" s="180"/>
      <c r="CE160" s="180"/>
      <c r="CF160" s="180"/>
      <c r="CG160" s="180"/>
      <c r="CH160" s="180"/>
      <c r="CI160" s="180"/>
      <c r="CJ160" s="180"/>
      <c r="CK160" s="180"/>
      <c r="CL160" s="180"/>
      <c r="CM160" s="180"/>
      <c r="CN160" s="180"/>
      <c r="CO160" s="180"/>
      <c r="CP160" s="180"/>
      <c r="CQ160" s="180"/>
      <c r="CR160" s="180"/>
      <c r="CS160" s="180"/>
      <c r="CT160" s="180"/>
      <c r="CU160" s="180"/>
    </row>
    <row r="161" spans="1:99" x14ac:dyDescent="0.3">
      <c r="A161" s="155">
        <v>598</v>
      </c>
      <c r="B161" s="180" t="s">
        <v>343</v>
      </c>
      <c r="C161" s="180"/>
      <c r="D161" s="180">
        <v>0</v>
      </c>
      <c r="E161" s="180">
        <v>4603309</v>
      </c>
      <c r="F161" s="180"/>
      <c r="G161" s="180"/>
      <c r="H161" s="180">
        <v>0</v>
      </c>
      <c r="I161" s="180">
        <v>0</v>
      </c>
      <c r="J161" s="180"/>
      <c r="K161" s="180">
        <v>0</v>
      </c>
      <c r="L161" s="180">
        <v>0</v>
      </c>
      <c r="M161" s="180">
        <v>117261</v>
      </c>
      <c r="N161" s="180">
        <v>0</v>
      </c>
      <c r="O161" s="180">
        <v>0</v>
      </c>
      <c r="P161" s="180"/>
      <c r="Q161" s="180">
        <v>0</v>
      </c>
      <c r="R161" s="180">
        <v>0</v>
      </c>
      <c r="S161" s="180">
        <v>1517</v>
      </c>
      <c r="T161" s="180">
        <v>112270</v>
      </c>
      <c r="U161" s="180"/>
      <c r="V161" s="180"/>
      <c r="W161" s="180"/>
      <c r="X161" s="180">
        <v>16082</v>
      </c>
      <c r="Y161" s="180">
        <v>12502</v>
      </c>
      <c r="Z161" s="180">
        <v>575995</v>
      </c>
      <c r="AA161" s="180">
        <v>0</v>
      </c>
      <c r="AB161" s="180">
        <v>0</v>
      </c>
      <c r="AC161" s="180">
        <v>0</v>
      </c>
      <c r="AD161" s="180">
        <v>9361</v>
      </c>
      <c r="AE161" s="180">
        <v>0</v>
      </c>
      <c r="AF161" s="180">
        <v>0</v>
      </c>
      <c r="AG161" s="180">
        <v>16708</v>
      </c>
      <c r="AH161" s="180">
        <v>44968</v>
      </c>
      <c r="AI161" s="180">
        <v>0</v>
      </c>
      <c r="AJ161" s="180">
        <v>0</v>
      </c>
      <c r="AK161" s="180">
        <v>0</v>
      </c>
      <c r="AL161" s="180">
        <v>0</v>
      </c>
      <c r="AM161" s="180">
        <v>21297</v>
      </c>
      <c r="AN161" s="180">
        <v>0</v>
      </c>
      <c r="AO161" s="180">
        <v>278949</v>
      </c>
      <c r="AP161" s="180">
        <v>0</v>
      </c>
      <c r="AQ161" s="180">
        <v>0</v>
      </c>
      <c r="AR161" s="180">
        <v>0</v>
      </c>
      <c r="AS161" s="180">
        <v>412332</v>
      </c>
      <c r="AT161" s="180">
        <v>0</v>
      </c>
      <c r="AU161" s="180">
        <v>0</v>
      </c>
      <c r="AV161" s="180">
        <v>0</v>
      </c>
      <c r="AW161" s="180">
        <v>0</v>
      </c>
      <c r="AX161" s="180">
        <v>0</v>
      </c>
      <c r="AY161" s="180">
        <v>0</v>
      </c>
      <c r="AZ161" s="180">
        <v>92456</v>
      </c>
      <c r="BA161" s="180">
        <v>0</v>
      </c>
      <c r="BB161" s="180">
        <v>0</v>
      </c>
      <c r="BC161" s="180">
        <v>0</v>
      </c>
      <c r="BD161" s="180">
        <v>36455</v>
      </c>
      <c r="BE161" s="180">
        <v>0</v>
      </c>
      <c r="BF161" s="180">
        <v>181946</v>
      </c>
      <c r="BG161" s="180"/>
      <c r="BH161" s="180">
        <v>0</v>
      </c>
      <c r="BI161" s="180">
        <v>0</v>
      </c>
      <c r="BJ161" s="180">
        <v>66378</v>
      </c>
      <c r="BK161" s="180">
        <v>1441</v>
      </c>
      <c r="BL161" s="180">
        <v>56721</v>
      </c>
      <c r="BM161" s="180">
        <v>33045</v>
      </c>
      <c r="BN161" s="180">
        <v>12819</v>
      </c>
      <c r="BO161" s="180">
        <v>1813</v>
      </c>
      <c r="BP161" s="180"/>
      <c r="BQ161" s="180">
        <v>7108</v>
      </c>
      <c r="BR161" s="180"/>
      <c r="BS161" s="180">
        <v>13092</v>
      </c>
      <c r="BT161" s="180">
        <v>11330</v>
      </c>
      <c r="BU161" s="180"/>
      <c r="BV161" s="180">
        <v>18444</v>
      </c>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row>
    <row r="162" spans="1:99" x14ac:dyDescent="0.3">
      <c r="A162" s="155">
        <v>599</v>
      </c>
      <c r="B162" s="180" t="s">
        <v>342</v>
      </c>
      <c r="C162" s="180"/>
      <c r="D162" s="180">
        <v>403089</v>
      </c>
      <c r="E162" s="180">
        <v>73058509</v>
      </c>
      <c r="F162" s="180"/>
      <c r="G162" s="180"/>
      <c r="H162" s="180">
        <v>305120</v>
      </c>
      <c r="I162" s="180">
        <v>0</v>
      </c>
      <c r="J162" s="180"/>
      <c r="K162" s="180">
        <v>0</v>
      </c>
      <c r="L162" s="180">
        <v>321364</v>
      </c>
      <c r="M162" s="180">
        <v>2310842</v>
      </c>
      <c r="N162" s="180">
        <v>0</v>
      </c>
      <c r="O162" s="180">
        <v>187</v>
      </c>
      <c r="P162" s="180"/>
      <c r="Q162" s="180">
        <v>0</v>
      </c>
      <c r="R162" s="180">
        <v>175169</v>
      </c>
      <c r="S162" s="180">
        <v>185532</v>
      </c>
      <c r="T162" s="180">
        <v>1557823</v>
      </c>
      <c r="U162" s="180"/>
      <c r="V162" s="180"/>
      <c r="W162" s="180"/>
      <c r="X162" s="180">
        <v>1649858</v>
      </c>
      <c r="Y162" s="180">
        <v>210065</v>
      </c>
      <c r="Z162" s="180">
        <v>10163709</v>
      </c>
      <c r="AA162" s="180">
        <v>745544</v>
      </c>
      <c r="AB162" s="180">
        <v>0</v>
      </c>
      <c r="AC162" s="180">
        <v>0</v>
      </c>
      <c r="AD162" s="180">
        <v>254815</v>
      </c>
      <c r="AE162" s="180">
        <v>0</v>
      </c>
      <c r="AF162" s="180">
        <v>0</v>
      </c>
      <c r="AG162" s="180">
        <v>216366</v>
      </c>
      <c r="AH162" s="180">
        <v>1598856</v>
      </c>
      <c r="AI162" s="180">
        <v>0</v>
      </c>
      <c r="AJ162" s="180">
        <v>0</v>
      </c>
      <c r="AK162" s="180">
        <v>0</v>
      </c>
      <c r="AL162" s="180">
        <v>0</v>
      </c>
      <c r="AM162" s="180">
        <v>439508</v>
      </c>
      <c r="AN162" s="180">
        <v>0</v>
      </c>
      <c r="AO162" s="180">
        <v>3952090</v>
      </c>
      <c r="AP162" s="180">
        <v>3613</v>
      </c>
      <c r="AQ162" s="180">
        <v>0</v>
      </c>
      <c r="AR162" s="180">
        <v>0</v>
      </c>
      <c r="AS162" s="180">
        <v>5450838</v>
      </c>
      <c r="AT162" s="180">
        <v>0</v>
      </c>
      <c r="AU162" s="180">
        <v>0</v>
      </c>
      <c r="AV162" s="180">
        <v>203125</v>
      </c>
      <c r="AW162" s="180">
        <v>0</v>
      </c>
      <c r="AX162" s="180">
        <v>5640</v>
      </c>
      <c r="AY162" s="180">
        <v>0</v>
      </c>
      <c r="AZ162" s="180">
        <v>961632</v>
      </c>
      <c r="BA162" s="180">
        <v>234816</v>
      </c>
      <c r="BB162" s="180">
        <v>0</v>
      </c>
      <c r="BC162" s="180">
        <v>0</v>
      </c>
      <c r="BD162" s="180">
        <v>480802</v>
      </c>
      <c r="BE162" s="180">
        <v>157691</v>
      </c>
      <c r="BF162" s="180">
        <v>4069189</v>
      </c>
      <c r="BG162" s="180"/>
      <c r="BH162" s="180">
        <v>0</v>
      </c>
      <c r="BI162" s="180">
        <v>0</v>
      </c>
      <c r="BJ162" s="180">
        <v>2153267</v>
      </c>
      <c r="BK162" s="180">
        <v>111476</v>
      </c>
      <c r="BL162" s="180">
        <v>2107023</v>
      </c>
      <c r="BM162" s="180">
        <v>817743</v>
      </c>
      <c r="BN162" s="180">
        <v>507470</v>
      </c>
      <c r="BO162" s="180">
        <v>55934</v>
      </c>
      <c r="BP162" s="180"/>
      <c r="BQ162" s="180">
        <v>159171</v>
      </c>
      <c r="BR162" s="180"/>
      <c r="BS162" s="180">
        <v>219799</v>
      </c>
      <c r="BT162" s="180">
        <v>231908</v>
      </c>
      <c r="BU162" s="180"/>
      <c r="BV162" s="180">
        <v>453043</v>
      </c>
      <c r="BW162" s="180"/>
      <c r="BX162" s="180"/>
      <c r="BY162" s="180"/>
      <c r="BZ162" s="180"/>
      <c r="CA162" s="180"/>
      <c r="CB162" s="180"/>
      <c r="CC162" s="180"/>
      <c r="CD162" s="180"/>
      <c r="CE162" s="180"/>
      <c r="CF162" s="180"/>
      <c r="CG162" s="180"/>
      <c r="CH162" s="180"/>
      <c r="CI162" s="180"/>
      <c r="CJ162" s="180"/>
      <c r="CK162" s="180"/>
      <c r="CL162" s="180"/>
      <c r="CM162" s="180"/>
      <c r="CN162" s="180"/>
      <c r="CO162" s="180"/>
      <c r="CP162" s="180"/>
      <c r="CQ162" s="180"/>
      <c r="CR162" s="180"/>
      <c r="CS162" s="180"/>
      <c r="CT162" s="180"/>
      <c r="CU162" s="180"/>
    </row>
    <row r="163" spans="1:99" x14ac:dyDescent="0.3">
      <c r="A163" s="155">
        <v>602</v>
      </c>
      <c r="B163" s="180" t="s">
        <v>344</v>
      </c>
      <c r="C163" s="180"/>
      <c r="D163" s="180">
        <v>0</v>
      </c>
      <c r="E163" s="180">
        <v>0</v>
      </c>
      <c r="F163" s="180"/>
      <c r="G163" s="180"/>
      <c r="H163" s="180">
        <v>0</v>
      </c>
      <c r="I163" s="180">
        <v>0</v>
      </c>
      <c r="J163" s="180"/>
      <c r="K163" s="180">
        <v>0</v>
      </c>
      <c r="L163" s="180">
        <v>0</v>
      </c>
      <c r="M163" s="180">
        <v>0</v>
      </c>
      <c r="N163" s="180">
        <v>0</v>
      </c>
      <c r="O163" s="180">
        <v>0</v>
      </c>
      <c r="P163" s="180"/>
      <c r="Q163" s="180">
        <v>0</v>
      </c>
      <c r="R163" s="180">
        <v>0</v>
      </c>
      <c r="S163" s="180">
        <v>0</v>
      </c>
      <c r="T163" s="180">
        <v>0</v>
      </c>
      <c r="U163" s="180"/>
      <c r="V163" s="180"/>
      <c r="W163" s="180"/>
      <c r="X163" s="180">
        <v>0</v>
      </c>
      <c r="Y163" s="180">
        <v>0</v>
      </c>
      <c r="Z163" s="180">
        <v>0</v>
      </c>
      <c r="AA163" s="180">
        <v>0</v>
      </c>
      <c r="AB163" s="180">
        <v>0</v>
      </c>
      <c r="AC163" s="180">
        <v>0</v>
      </c>
      <c r="AD163" s="180">
        <v>0</v>
      </c>
      <c r="AE163" s="180">
        <v>0</v>
      </c>
      <c r="AF163" s="180">
        <v>0</v>
      </c>
      <c r="AG163" s="180">
        <v>0</v>
      </c>
      <c r="AH163" s="180">
        <v>0</v>
      </c>
      <c r="AI163" s="180">
        <v>0</v>
      </c>
      <c r="AJ163" s="180">
        <v>0</v>
      </c>
      <c r="AK163" s="180">
        <v>0</v>
      </c>
      <c r="AL163" s="180">
        <v>0</v>
      </c>
      <c r="AM163" s="180">
        <v>0</v>
      </c>
      <c r="AN163" s="180">
        <v>0</v>
      </c>
      <c r="AO163" s="180">
        <v>0</v>
      </c>
      <c r="AP163" s="180">
        <v>0</v>
      </c>
      <c r="AQ163" s="180">
        <v>0</v>
      </c>
      <c r="AR163" s="180">
        <v>0</v>
      </c>
      <c r="AS163" s="180">
        <v>0</v>
      </c>
      <c r="AT163" s="180">
        <v>0</v>
      </c>
      <c r="AU163" s="180">
        <v>0</v>
      </c>
      <c r="AV163" s="180">
        <v>0</v>
      </c>
      <c r="AW163" s="180">
        <v>0</v>
      </c>
      <c r="AX163" s="180">
        <v>0</v>
      </c>
      <c r="AY163" s="180">
        <v>0</v>
      </c>
      <c r="AZ163" s="180">
        <v>0</v>
      </c>
      <c r="BA163" s="180">
        <v>0</v>
      </c>
      <c r="BB163" s="180">
        <v>0</v>
      </c>
      <c r="BC163" s="180">
        <v>0</v>
      </c>
      <c r="BD163" s="180">
        <v>0</v>
      </c>
      <c r="BE163" s="180">
        <v>0</v>
      </c>
      <c r="BF163" s="180">
        <v>0</v>
      </c>
      <c r="BG163" s="180"/>
      <c r="BH163" s="180">
        <v>0</v>
      </c>
      <c r="BI163" s="180">
        <v>0</v>
      </c>
      <c r="BJ163" s="180">
        <v>0</v>
      </c>
      <c r="BK163" s="180">
        <v>0</v>
      </c>
      <c r="BL163" s="180">
        <v>0</v>
      </c>
      <c r="BM163" s="180">
        <v>0</v>
      </c>
      <c r="BN163" s="180">
        <v>0</v>
      </c>
      <c r="BO163" s="180">
        <v>0</v>
      </c>
      <c r="BP163" s="180"/>
      <c r="BQ163" s="180">
        <v>0</v>
      </c>
      <c r="BR163" s="180"/>
      <c r="BS163" s="180">
        <v>0</v>
      </c>
      <c r="BT163" s="180">
        <v>0</v>
      </c>
      <c r="BU163" s="180"/>
      <c r="BV163" s="180">
        <v>0</v>
      </c>
      <c r="BW163" s="180"/>
      <c r="BX163" s="180"/>
      <c r="BY163" s="180"/>
      <c r="BZ163" s="180"/>
      <c r="CA163" s="180"/>
      <c r="CB163" s="180"/>
      <c r="CC163" s="180"/>
      <c r="CD163" s="180"/>
      <c r="CE163" s="180"/>
      <c r="CF163" s="180"/>
      <c r="CG163" s="180"/>
      <c r="CH163" s="180"/>
      <c r="CI163" s="180"/>
      <c r="CJ163" s="180"/>
      <c r="CK163" s="180"/>
      <c r="CL163" s="180"/>
      <c r="CM163" s="180"/>
      <c r="CN163" s="180"/>
      <c r="CO163" s="180"/>
      <c r="CP163" s="180"/>
      <c r="CQ163" s="180"/>
      <c r="CR163" s="180"/>
      <c r="CS163" s="180"/>
      <c r="CT163" s="180"/>
      <c r="CU163" s="180"/>
    </row>
    <row r="164" spans="1:99" s="555" customFormat="1" x14ac:dyDescent="0.3">
      <c r="A164" s="558">
        <v>606</v>
      </c>
      <c r="B164" s="555" t="s">
        <v>956</v>
      </c>
      <c r="D164" s="555">
        <v>1</v>
      </c>
      <c r="E164" s="555">
        <v>1</v>
      </c>
      <c r="L164" s="555">
        <v>1</v>
      </c>
      <c r="M164" s="555">
        <v>1</v>
      </c>
      <c r="T164" s="555">
        <v>1</v>
      </c>
      <c r="Z164" s="555">
        <v>1</v>
      </c>
      <c r="AH164" s="555">
        <v>1</v>
      </c>
      <c r="AM164" s="555">
        <v>1</v>
      </c>
      <c r="AO164" s="555">
        <v>1</v>
      </c>
      <c r="AS164" s="555">
        <v>1</v>
      </c>
      <c r="AZ164" s="555">
        <v>1</v>
      </c>
      <c r="BF164" s="555">
        <v>1</v>
      </c>
      <c r="BJ164" s="555">
        <v>1</v>
      </c>
      <c r="BN164" s="555">
        <v>1</v>
      </c>
      <c r="BV164" s="555">
        <v>1</v>
      </c>
    </row>
    <row r="165" spans="1:99" x14ac:dyDescent="0.3">
      <c r="A165" s="155">
        <v>619</v>
      </c>
      <c r="B165" s="180" t="s">
        <v>957</v>
      </c>
      <c r="C165" s="180"/>
      <c r="D165" s="180">
        <v>0</v>
      </c>
      <c r="E165" s="180">
        <v>0</v>
      </c>
      <c r="F165" s="180"/>
      <c r="G165" s="180"/>
      <c r="H165" s="180">
        <v>0</v>
      </c>
      <c r="I165" s="180">
        <v>0</v>
      </c>
      <c r="J165" s="180"/>
      <c r="K165" s="180">
        <v>0</v>
      </c>
      <c r="L165" s="180">
        <v>0</v>
      </c>
      <c r="M165" s="180">
        <v>0</v>
      </c>
      <c r="N165" s="180">
        <v>0</v>
      </c>
      <c r="O165" s="180">
        <v>0</v>
      </c>
      <c r="P165" s="180"/>
      <c r="Q165" s="180">
        <v>0</v>
      </c>
      <c r="R165" s="180">
        <v>0</v>
      </c>
      <c r="S165" s="180">
        <v>0</v>
      </c>
      <c r="T165" s="180">
        <v>0</v>
      </c>
      <c r="U165" s="180"/>
      <c r="V165" s="180"/>
      <c r="W165" s="180"/>
      <c r="X165" s="180">
        <v>0</v>
      </c>
      <c r="Y165" s="180">
        <v>0</v>
      </c>
      <c r="Z165" s="180">
        <v>0</v>
      </c>
      <c r="AA165" s="180">
        <v>0</v>
      </c>
      <c r="AB165" s="180">
        <v>0</v>
      </c>
      <c r="AC165" s="180">
        <v>0</v>
      </c>
      <c r="AD165" s="180">
        <v>0</v>
      </c>
      <c r="AE165" s="180">
        <v>0</v>
      </c>
      <c r="AF165" s="180">
        <v>0</v>
      </c>
      <c r="AG165" s="180">
        <v>0</v>
      </c>
      <c r="AH165" s="180">
        <v>0</v>
      </c>
      <c r="AI165" s="180">
        <v>0</v>
      </c>
      <c r="AJ165" s="180">
        <v>0</v>
      </c>
      <c r="AK165" s="180">
        <v>0</v>
      </c>
      <c r="AL165" s="180">
        <v>0</v>
      </c>
      <c r="AM165" s="180">
        <v>0</v>
      </c>
      <c r="AN165" s="180">
        <v>0</v>
      </c>
      <c r="AO165" s="180">
        <v>0</v>
      </c>
      <c r="AP165" s="180">
        <v>0</v>
      </c>
      <c r="AQ165" s="180">
        <v>0</v>
      </c>
      <c r="AR165" s="180">
        <v>0</v>
      </c>
      <c r="AS165" s="180">
        <v>0</v>
      </c>
      <c r="AT165" s="180">
        <v>0</v>
      </c>
      <c r="AU165" s="180">
        <v>0</v>
      </c>
      <c r="AV165" s="180">
        <v>0</v>
      </c>
      <c r="AW165" s="180">
        <v>0</v>
      </c>
      <c r="AX165" s="180">
        <v>0</v>
      </c>
      <c r="AY165" s="180">
        <v>0</v>
      </c>
      <c r="AZ165" s="180">
        <v>0</v>
      </c>
      <c r="BA165" s="180">
        <v>0</v>
      </c>
      <c r="BB165" s="180">
        <v>0</v>
      </c>
      <c r="BC165" s="180">
        <v>0</v>
      </c>
      <c r="BD165" s="180">
        <v>0</v>
      </c>
      <c r="BE165" s="180">
        <v>0</v>
      </c>
      <c r="BF165" s="180">
        <v>0</v>
      </c>
      <c r="BG165" s="180"/>
      <c r="BH165" s="180">
        <v>0</v>
      </c>
      <c r="BI165" s="180">
        <v>0</v>
      </c>
      <c r="BJ165" s="180">
        <v>0</v>
      </c>
      <c r="BK165" s="180">
        <v>0</v>
      </c>
      <c r="BL165" s="180">
        <v>0</v>
      </c>
      <c r="BM165" s="180">
        <v>0</v>
      </c>
      <c r="BN165" s="180">
        <v>0</v>
      </c>
      <c r="BO165" s="180">
        <v>0</v>
      </c>
      <c r="BP165" s="180"/>
      <c r="BQ165" s="180">
        <v>0</v>
      </c>
      <c r="BR165" s="180"/>
      <c r="BS165" s="180">
        <v>0</v>
      </c>
      <c r="BT165" s="180">
        <v>0</v>
      </c>
      <c r="BU165" s="180"/>
      <c r="BV165" s="180">
        <v>0</v>
      </c>
      <c r="BW165" s="180"/>
      <c r="BX165" s="180"/>
      <c r="BY165" s="180"/>
      <c r="BZ165" s="180"/>
      <c r="CA165" s="180"/>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row>
    <row r="166" spans="1:99" s="568" customFormat="1" x14ac:dyDescent="0.3">
      <c r="A166" s="567">
        <v>620</v>
      </c>
      <c r="B166" s="568" t="s">
        <v>958</v>
      </c>
      <c r="D166" s="568">
        <v>2</v>
      </c>
      <c r="E166" s="568">
        <v>1</v>
      </c>
      <c r="H166" s="568">
        <v>2</v>
      </c>
      <c r="I166" s="568">
        <v>2</v>
      </c>
      <c r="K166" s="568">
        <v>2</v>
      </c>
      <c r="L166" s="568">
        <v>2</v>
      </c>
      <c r="M166" s="568">
        <v>1</v>
      </c>
      <c r="N166" s="568">
        <v>0</v>
      </c>
      <c r="O166" s="568">
        <v>2</v>
      </c>
      <c r="Q166" s="568">
        <v>2</v>
      </c>
      <c r="R166" s="568">
        <v>2</v>
      </c>
      <c r="S166" s="568">
        <v>2</v>
      </c>
      <c r="T166" s="568">
        <v>2</v>
      </c>
      <c r="X166" s="568">
        <v>2</v>
      </c>
      <c r="Y166" s="568">
        <v>2</v>
      </c>
      <c r="Z166" s="568">
        <v>1</v>
      </c>
      <c r="AA166" s="568">
        <v>1</v>
      </c>
      <c r="AB166" s="568">
        <v>2</v>
      </c>
      <c r="AC166" s="568">
        <v>2</v>
      </c>
      <c r="AD166" s="568">
        <v>2</v>
      </c>
      <c r="AE166" s="568">
        <v>2</v>
      </c>
      <c r="AF166" s="568">
        <v>2</v>
      </c>
      <c r="AG166" s="568">
        <v>2</v>
      </c>
      <c r="AH166" s="568">
        <v>2</v>
      </c>
      <c r="AI166" s="568">
        <v>2</v>
      </c>
      <c r="AJ166" s="568">
        <v>2</v>
      </c>
      <c r="AK166" s="568">
        <v>2</v>
      </c>
      <c r="AL166" s="568">
        <v>0</v>
      </c>
      <c r="AM166" s="568">
        <v>2</v>
      </c>
      <c r="AN166" s="568">
        <v>2</v>
      </c>
      <c r="AO166" s="568">
        <v>2</v>
      </c>
      <c r="AP166" s="568">
        <v>2</v>
      </c>
      <c r="AQ166" s="568">
        <v>2</v>
      </c>
      <c r="AR166" s="568">
        <v>2</v>
      </c>
      <c r="AS166" s="568">
        <v>1</v>
      </c>
      <c r="AT166" s="568">
        <v>2</v>
      </c>
      <c r="AU166" s="568">
        <v>2</v>
      </c>
      <c r="AV166" s="568">
        <v>2</v>
      </c>
      <c r="AW166" s="568">
        <v>2</v>
      </c>
      <c r="AX166" s="568">
        <v>2</v>
      </c>
      <c r="AY166" s="568">
        <v>2</v>
      </c>
      <c r="AZ166" s="568">
        <v>2</v>
      </c>
      <c r="BA166" s="568">
        <v>2</v>
      </c>
      <c r="BB166" s="568">
        <v>2</v>
      </c>
      <c r="BC166" s="568">
        <v>0</v>
      </c>
      <c r="BD166" s="568">
        <v>2</v>
      </c>
      <c r="BE166" s="568">
        <v>1</v>
      </c>
      <c r="BF166" s="568">
        <v>2</v>
      </c>
      <c r="BH166" s="568">
        <v>2</v>
      </c>
      <c r="BI166" s="568">
        <v>2</v>
      </c>
      <c r="BJ166" s="568">
        <v>2</v>
      </c>
      <c r="BK166" s="568">
        <v>2</v>
      </c>
      <c r="BL166" s="568">
        <v>1</v>
      </c>
      <c r="BM166" s="568">
        <v>2</v>
      </c>
      <c r="BN166" s="568">
        <v>1</v>
      </c>
      <c r="BO166" s="568">
        <v>2</v>
      </c>
      <c r="BQ166" s="568">
        <v>2</v>
      </c>
      <c r="BS166" s="568">
        <v>2</v>
      </c>
      <c r="BT166" s="568">
        <v>2</v>
      </c>
      <c r="BV166" s="568">
        <v>2</v>
      </c>
    </row>
    <row r="167" spans="1:99" x14ac:dyDescent="0.3">
      <c r="A167" s="155">
        <v>621</v>
      </c>
      <c r="B167" s="180" t="s">
        <v>959</v>
      </c>
      <c r="C167" s="180"/>
      <c r="D167" s="180">
        <v>0</v>
      </c>
      <c r="E167" s="180">
        <v>0</v>
      </c>
      <c r="F167" s="180"/>
      <c r="G167" s="180"/>
      <c r="H167" s="180">
        <v>0</v>
      </c>
      <c r="I167" s="180">
        <v>0</v>
      </c>
      <c r="J167" s="180"/>
      <c r="K167" s="180">
        <v>0</v>
      </c>
      <c r="L167" s="180">
        <v>0</v>
      </c>
      <c r="M167" s="180">
        <v>0</v>
      </c>
      <c r="N167" s="180">
        <v>0</v>
      </c>
      <c r="O167" s="180">
        <v>0</v>
      </c>
      <c r="P167" s="180"/>
      <c r="Q167" s="180">
        <v>0</v>
      </c>
      <c r="R167" s="180">
        <v>0</v>
      </c>
      <c r="S167" s="180">
        <v>0</v>
      </c>
      <c r="T167" s="180">
        <v>0</v>
      </c>
      <c r="U167" s="180"/>
      <c r="V167" s="180"/>
      <c r="W167" s="180"/>
      <c r="X167" s="180">
        <v>5061308</v>
      </c>
      <c r="Y167" s="180">
        <v>0</v>
      </c>
      <c r="Z167" s="180">
        <v>0</v>
      </c>
      <c r="AA167" s="180">
        <v>0</v>
      </c>
      <c r="AB167" s="180">
        <v>0</v>
      </c>
      <c r="AC167" s="180">
        <v>0</v>
      </c>
      <c r="AD167" s="180">
        <v>0</v>
      </c>
      <c r="AE167" s="180">
        <v>0</v>
      </c>
      <c r="AF167" s="180">
        <v>0</v>
      </c>
      <c r="AG167" s="180">
        <v>0</v>
      </c>
      <c r="AH167" s="180">
        <v>0</v>
      </c>
      <c r="AI167" s="180">
        <v>0</v>
      </c>
      <c r="AJ167" s="180">
        <v>0</v>
      </c>
      <c r="AK167" s="180">
        <v>0</v>
      </c>
      <c r="AL167" s="180">
        <v>0</v>
      </c>
      <c r="AM167" s="180">
        <v>0</v>
      </c>
      <c r="AN167" s="180">
        <v>0</v>
      </c>
      <c r="AO167" s="180">
        <v>0</v>
      </c>
      <c r="AP167" s="180">
        <v>0</v>
      </c>
      <c r="AQ167" s="180">
        <v>0</v>
      </c>
      <c r="AR167" s="180">
        <v>0</v>
      </c>
      <c r="AS167" s="180">
        <v>0</v>
      </c>
      <c r="AT167" s="180">
        <v>0</v>
      </c>
      <c r="AU167" s="180">
        <v>0</v>
      </c>
      <c r="AV167" s="180">
        <v>0</v>
      </c>
      <c r="AW167" s="180">
        <v>0</v>
      </c>
      <c r="AX167" s="180">
        <v>0</v>
      </c>
      <c r="AY167" s="180">
        <v>0</v>
      </c>
      <c r="AZ167" s="180">
        <v>0</v>
      </c>
      <c r="BA167" s="180">
        <v>0</v>
      </c>
      <c r="BB167" s="180">
        <v>0</v>
      </c>
      <c r="BC167" s="180">
        <v>0</v>
      </c>
      <c r="BD167" s="180">
        <v>237590</v>
      </c>
      <c r="BE167" s="180">
        <v>0</v>
      </c>
      <c r="BF167" s="180">
        <v>0</v>
      </c>
      <c r="BG167" s="180"/>
      <c r="BH167" s="180">
        <v>0</v>
      </c>
      <c r="BI167" s="180">
        <v>0</v>
      </c>
      <c r="BJ167" s="180">
        <v>0</v>
      </c>
      <c r="BK167" s="180">
        <v>0</v>
      </c>
      <c r="BL167" s="180">
        <v>0</v>
      </c>
      <c r="BM167" s="180">
        <v>0</v>
      </c>
      <c r="BN167" s="180">
        <v>0</v>
      </c>
      <c r="BO167" s="180">
        <v>0</v>
      </c>
      <c r="BP167" s="180"/>
      <c r="BQ167" s="180">
        <v>0</v>
      </c>
      <c r="BR167" s="180"/>
      <c r="BS167" s="180">
        <v>0</v>
      </c>
      <c r="BT167" s="180">
        <v>0</v>
      </c>
      <c r="BU167" s="180"/>
      <c r="BV167" s="180">
        <v>0</v>
      </c>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row>
    <row r="168" spans="1:99" x14ac:dyDescent="0.3">
      <c r="A168" s="155">
        <v>622</v>
      </c>
      <c r="B168" s="180" t="s">
        <v>960</v>
      </c>
      <c r="C168" s="180"/>
      <c r="D168" s="180">
        <v>512835</v>
      </c>
      <c r="E168" s="180">
        <v>56023029</v>
      </c>
      <c r="F168" s="180"/>
      <c r="G168" s="180"/>
      <c r="H168" s="180">
        <v>297978</v>
      </c>
      <c r="I168" s="180">
        <v>0</v>
      </c>
      <c r="J168" s="180"/>
      <c r="K168" s="180">
        <v>0</v>
      </c>
      <c r="L168" s="180">
        <v>480629</v>
      </c>
      <c r="M168" s="180">
        <v>1726522</v>
      </c>
      <c r="N168" s="180">
        <v>0</v>
      </c>
      <c r="O168" s="180">
        <v>47848</v>
      </c>
      <c r="P168" s="180"/>
      <c r="Q168" s="180">
        <v>0</v>
      </c>
      <c r="R168" s="180">
        <v>135110</v>
      </c>
      <c r="S168" s="180">
        <v>224365</v>
      </c>
      <c r="T168" s="180">
        <v>0</v>
      </c>
      <c r="U168" s="180"/>
      <c r="V168" s="180"/>
      <c r="W168" s="180"/>
      <c r="X168" s="180">
        <v>1248654</v>
      </c>
      <c r="Y168" s="180">
        <v>102137</v>
      </c>
      <c r="Z168" s="180">
        <v>10246722</v>
      </c>
      <c r="AA168" s="180">
        <v>568657</v>
      </c>
      <c r="AB168" s="180">
        <v>0</v>
      </c>
      <c r="AC168" s="180">
        <v>18863</v>
      </c>
      <c r="AD168" s="180">
        <v>149986</v>
      </c>
      <c r="AE168" s="180">
        <v>53369</v>
      </c>
      <c r="AF168" s="180">
        <v>0</v>
      </c>
      <c r="AG168" s="180">
        <v>80360</v>
      </c>
      <c r="AH168" s="180">
        <v>2916509</v>
      </c>
      <c r="AI168" s="180">
        <v>0</v>
      </c>
      <c r="AJ168" s="180">
        <v>230193</v>
      </c>
      <c r="AK168" s="180">
        <v>0</v>
      </c>
      <c r="AL168" s="180">
        <v>53983</v>
      </c>
      <c r="AM168" s="180">
        <v>435542</v>
      </c>
      <c r="AN168" s="180">
        <v>37420</v>
      </c>
      <c r="AO168" s="180">
        <v>5005351</v>
      </c>
      <c r="AP168" s="180">
        <v>125755</v>
      </c>
      <c r="AQ168" s="180">
        <v>0</v>
      </c>
      <c r="AR168" s="180">
        <v>0</v>
      </c>
      <c r="AS168" s="180">
        <v>3601037</v>
      </c>
      <c r="AT168" s="180">
        <v>0</v>
      </c>
      <c r="AU168" s="180">
        <v>99377</v>
      </c>
      <c r="AV168" s="180">
        <v>260405</v>
      </c>
      <c r="AW168" s="180">
        <v>0</v>
      </c>
      <c r="AX168" s="180">
        <v>10275</v>
      </c>
      <c r="AY168" s="180">
        <v>0</v>
      </c>
      <c r="AZ168" s="180">
        <v>788269</v>
      </c>
      <c r="BA168" s="180">
        <v>0</v>
      </c>
      <c r="BB168" s="180">
        <v>0</v>
      </c>
      <c r="BC168" s="180">
        <v>0</v>
      </c>
      <c r="BD168" s="180">
        <v>660520</v>
      </c>
      <c r="BE168" s="180">
        <v>244915</v>
      </c>
      <c r="BF168" s="180">
        <v>3376518</v>
      </c>
      <c r="BG168" s="180"/>
      <c r="BH168" s="180">
        <v>3221</v>
      </c>
      <c r="BI168" s="180">
        <v>0</v>
      </c>
      <c r="BJ168" s="180">
        <v>1436366</v>
      </c>
      <c r="BK168" s="180">
        <v>131889</v>
      </c>
      <c r="BL168" s="180">
        <v>2006403</v>
      </c>
      <c r="BM168" s="180">
        <v>401495</v>
      </c>
      <c r="BN168" s="180">
        <v>620646</v>
      </c>
      <c r="BO168" s="180">
        <v>47235</v>
      </c>
      <c r="BP168" s="180"/>
      <c r="BQ168" s="180">
        <v>239701</v>
      </c>
      <c r="BR168" s="180"/>
      <c r="BS168" s="180">
        <v>580594</v>
      </c>
      <c r="BT168" s="180">
        <v>104591</v>
      </c>
      <c r="BU168" s="180"/>
      <c r="BV168" s="180">
        <v>257491</v>
      </c>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row>
    <row r="169" spans="1:99" s="568" customFormat="1" x14ac:dyDescent="0.3">
      <c r="A169" s="567">
        <v>624</v>
      </c>
      <c r="B169" s="568" t="s">
        <v>357</v>
      </c>
      <c r="D169" s="568">
        <v>2</v>
      </c>
      <c r="E169" s="568">
        <v>1</v>
      </c>
      <c r="H169" s="568">
        <v>1</v>
      </c>
      <c r="I169" s="568">
        <v>2</v>
      </c>
      <c r="K169" s="568">
        <v>2</v>
      </c>
      <c r="L169" s="568">
        <v>1</v>
      </c>
      <c r="M169" s="568">
        <v>1</v>
      </c>
      <c r="N169" s="568">
        <v>0</v>
      </c>
      <c r="O169" s="568">
        <v>1</v>
      </c>
      <c r="Q169" s="568">
        <v>1</v>
      </c>
      <c r="R169" s="568">
        <v>1</v>
      </c>
      <c r="S169" s="568">
        <v>1</v>
      </c>
      <c r="T169" s="568">
        <v>1</v>
      </c>
      <c r="X169" s="568">
        <v>2</v>
      </c>
      <c r="Y169" s="568">
        <v>1</v>
      </c>
      <c r="Z169" s="568">
        <v>2</v>
      </c>
      <c r="AA169" s="568">
        <v>1</v>
      </c>
      <c r="AB169" s="568">
        <v>1</v>
      </c>
      <c r="AC169" s="568">
        <v>1</v>
      </c>
      <c r="AD169" s="568">
        <v>1</v>
      </c>
      <c r="AE169" s="568">
        <v>1</v>
      </c>
      <c r="AF169" s="568">
        <v>1</v>
      </c>
      <c r="AG169" s="568">
        <v>1</v>
      </c>
      <c r="AH169" s="568">
        <v>2</v>
      </c>
      <c r="AI169" s="568">
        <v>1</v>
      </c>
      <c r="AJ169" s="568">
        <v>1</v>
      </c>
      <c r="AK169" s="568">
        <v>1</v>
      </c>
      <c r="AL169" s="568">
        <v>2</v>
      </c>
      <c r="AM169" s="568">
        <v>1</v>
      </c>
      <c r="AN169" s="568">
        <v>2</v>
      </c>
      <c r="AO169" s="568">
        <v>1</v>
      </c>
      <c r="AP169" s="568">
        <v>1</v>
      </c>
      <c r="AQ169" s="568">
        <v>1</v>
      </c>
      <c r="AR169" s="568">
        <v>1</v>
      </c>
      <c r="AS169" s="568">
        <v>1</v>
      </c>
      <c r="AT169" s="568">
        <v>1</v>
      </c>
      <c r="AU169" s="568">
        <v>2</v>
      </c>
      <c r="AV169" s="568">
        <v>1</v>
      </c>
      <c r="AW169" s="568">
        <v>1</v>
      </c>
      <c r="AX169" s="568">
        <v>1</v>
      </c>
      <c r="AY169" s="568">
        <v>1</v>
      </c>
      <c r="AZ169" s="568">
        <v>1</v>
      </c>
      <c r="BA169" s="568">
        <v>1</v>
      </c>
      <c r="BB169" s="568">
        <v>1</v>
      </c>
      <c r="BC169" s="568">
        <v>2</v>
      </c>
      <c r="BD169" s="568">
        <v>1</v>
      </c>
      <c r="BE169" s="568">
        <v>1</v>
      </c>
      <c r="BF169" s="568">
        <v>1</v>
      </c>
      <c r="BH169" s="568">
        <v>1</v>
      </c>
      <c r="BI169" s="568">
        <v>1</v>
      </c>
      <c r="BJ169" s="568">
        <v>1</v>
      </c>
      <c r="BK169" s="568">
        <v>2</v>
      </c>
      <c r="BL169" s="568">
        <v>1</v>
      </c>
      <c r="BM169" s="568">
        <v>1</v>
      </c>
      <c r="BN169" s="568">
        <v>1</v>
      </c>
      <c r="BO169" s="568">
        <v>1</v>
      </c>
      <c r="BQ169" s="568">
        <v>1</v>
      </c>
      <c r="BS169" s="568">
        <v>1</v>
      </c>
      <c r="BT169" s="568">
        <v>1</v>
      </c>
      <c r="BV169" s="568">
        <v>2</v>
      </c>
    </row>
    <row r="170" spans="1:99" s="564" customFormat="1" x14ac:dyDescent="0.3">
      <c r="A170" s="563">
        <v>626</v>
      </c>
      <c r="B170" s="564" t="s">
        <v>961</v>
      </c>
      <c r="D170" s="564">
        <v>673261</v>
      </c>
      <c r="E170" s="564">
        <v>295069172</v>
      </c>
      <c r="H170" s="564">
        <v>74063</v>
      </c>
      <c r="I170" s="564">
        <v>0</v>
      </c>
      <c r="K170" s="564">
        <v>271523</v>
      </c>
      <c r="L170" s="564">
        <v>373288</v>
      </c>
      <c r="M170" s="564">
        <v>4068534</v>
      </c>
      <c r="N170" s="564">
        <v>2892</v>
      </c>
      <c r="O170" s="564">
        <v>204899</v>
      </c>
      <c r="Q170" s="564">
        <v>124432</v>
      </c>
      <c r="R170" s="564">
        <v>387923</v>
      </c>
      <c r="S170" s="564">
        <v>65757</v>
      </c>
      <c r="T170" s="564">
        <v>2746175</v>
      </c>
      <c r="X170" s="564">
        <v>1244459</v>
      </c>
      <c r="Y170" s="564">
        <v>325598</v>
      </c>
      <c r="Z170" s="564">
        <v>23911183</v>
      </c>
      <c r="AA170" s="564">
        <v>2718144</v>
      </c>
      <c r="AB170" s="564">
        <v>72574</v>
      </c>
      <c r="AC170" s="564">
        <v>17486</v>
      </c>
      <c r="AD170" s="564">
        <v>254374</v>
      </c>
      <c r="AE170" s="564">
        <v>56504</v>
      </c>
      <c r="AF170" s="564">
        <v>30263</v>
      </c>
      <c r="AG170" s="564">
        <v>63698</v>
      </c>
      <c r="AH170" s="564">
        <v>8347358</v>
      </c>
      <c r="AI170" s="564">
        <v>3654</v>
      </c>
      <c r="AJ170" s="564">
        <v>747091</v>
      </c>
      <c r="AK170" s="564">
        <v>65811</v>
      </c>
      <c r="AL170" s="564">
        <v>158936</v>
      </c>
      <c r="AM170" s="564">
        <v>1462018</v>
      </c>
      <c r="AN170" s="564">
        <v>38825</v>
      </c>
      <c r="AO170" s="564">
        <v>6729822</v>
      </c>
      <c r="AP170" s="564">
        <v>73243</v>
      </c>
      <c r="AQ170" s="564">
        <v>15311</v>
      </c>
      <c r="AR170" s="564">
        <v>12869</v>
      </c>
      <c r="AS170" s="564">
        <v>4685069</v>
      </c>
      <c r="AT170" s="564">
        <v>18722</v>
      </c>
      <c r="AU170" s="564">
        <v>758567</v>
      </c>
      <c r="AV170" s="564">
        <v>11382</v>
      </c>
      <c r="AW170" s="564">
        <v>23261</v>
      </c>
      <c r="AX170" s="564">
        <v>1276884</v>
      </c>
      <c r="AY170" s="564">
        <v>18045</v>
      </c>
      <c r="AZ170" s="564">
        <v>424800</v>
      </c>
      <c r="BA170" s="564">
        <v>244640</v>
      </c>
      <c r="BB170" s="564">
        <v>23121</v>
      </c>
      <c r="BC170" s="564">
        <v>38210</v>
      </c>
      <c r="BD170" s="564">
        <v>1144112</v>
      </c>
      <c r="BE170" s="564">
        <v>147122</v>
      </c>
      <c r="BF170" s="564">
        <v>9990190</v>
      </c>
      <c r="BH170" s="564">
        <v>66638</v>
      </c>
      <c r="BI170" s="564">
        <v>57716</v>
      </c>
      <c r="BJ170" s="564">
        <v>5459982</v>
      </c>
      <c r="BK170" s="564">
        <v>559025</v>
      </c>
      <c r="BL170" s="564">
        <v>5911070</v>
      </c>
      <c r="BM170" s="564">
        <v>2454961</v>
      </c>
      <c r="BN170" s="564">
        <v>2008152</v>
      </c>
      <c r="BO170" s="564">
        <v>325034</v>
      </c>
      <c r="BQ170" s="564">
        <v>722480</v>
      </c>
      <c r="BS170" s="564">
        <v>705990</v>
      </c>
      <c r="BT170" s="564">
        <v>113373</v>
      </c>
      <c r="BV170" s="564">
        <v>503974</v>
      </c>
    </row>
    <row r="171" spans="1:99" s="562" customFormat="1" x14ac:dyDescent="0.3">
      <c r="A171" s="561">
        <v>627</v>
      </c>
      <c r="B171" s="562" t="s">
        <v>962</v>
      </c>
      <c r="D171" s="562">
        <v>0</v>
      </c>
      <c r="E171" s="562">
        <v>0</v>
      </c>
      <c r="H171" s="562">
        <v>0</v>
      </c>
      <c r="I171" s="562">
        <v>0</v>
      </c>
      <c r="K171" s="562">
        <v>0</v>
      </c>
      <c r="L171" s="562">
        <v>0</v>
      </c>
      <c r="M171" s="562">
        <v>0</v>
      </c>
      <c r="N171" s="562">
        <v>0</v>
      </c>
      <c r="O171" s="562">
        <v>0</v>
      </c>
      <c r="Q171" s="562">
        <v>0</v>
      </c>
      <c r="R171" s="562">
        <v>0</v>
      </c>
      <c r="S171" s="562">
        <v>0</v>
      </c>
      <c r="T171" s="562">
        <v>0</v>
      </c>
      <c r="X171" s="562">
        <v>0</v>
      </c>
      <c r="Y171" s="562">
        <v>0</v>
      </c>
      <c r="Z171" s="562">
        <v>0</v>
      </c>
      <c r="AA171" s="562">
        <v>577145</v>
      </c>
      <c r="AB171" s="562">
        <v>0</v>
      </c>
      <c r="AC171" s="562">
        <v>0</v>
      </c>
      <c r="AD171" s="562">
        <v>0</v>
      </c>
      <c r="AE171" s="562">
        <v>0</v>
      </c>
      <c r="AF171" s="562">
        <v>0</v>
      </c>
      <c r="AG171" s="562">
        <v>0</v>
      </c>
      <c r="AH171" s="562">
        <v>0</v>
      </c>
      <c r="AI171" s="562">
        <v>0</v>
      </c>
      <c r="AJ171" s="562">
        <v>0</v>
      </c>
      <c r="AK171" s="562">
        <v>0</v>
      </c>
      <c r="AL171" s="562">
        <v>0</v>
      </c>
      <c r="AM171" s="562">
        <v>0</v>
      </c>
      <c r="AN171" s="562">
        <v>0</v>
      </c>
      <c r="AO171" s="562">
        <v>0</v>
      </c>
      <c r="AP171" s="562">
        <v>0</v>
      </c>
      <c r="AQ171" s="562">
        <v>0</v>
      </c>
      <c r="AR171" s="562">
        <v>0</v>
      </c>
      <c r="AS171" s="562">
        <v>0</v>
      </c>
      <c r="AT171" s="562">
        <v>0</v>
      </c>
      <c r="AU171" s="562">
        <v>0</v>
      </c>
      <c r="AV171" s="562">
        <v>0</v>
      </c>
      <c r="AW171" s="562">
        <v>0</v>
      </c>
      <c r="AX171" s="562">
        <v>0</v>
      </c>
      <c r="AY171" s="562">
        <v>0</v>
      </c>
      <c r="AZ171" s="562">
        <v>0</v>
      </c>
      <c r="BA171" s="562">
        <v>0</v>
      </c>
      <c r="BB171" s="562">
        <v>0</v>
      </c>
      <c r="BC171" s="562">
        <v>0</v>
      </c>
      <c r="BD171" s="562">
        <v>0</v>
      </c>
      <c r="BE171" s="562">
        <v>0</v>
      </c>
      <c r="BF171" s="562">
        <v>0</v>
      </c>
      <c r="BH171" s="562">
        <v>0</v>
      </c>
      <c r="BI171" s="562">
        <v>0</v>
      </c>
      <c r="BJ171" s="562">
        <v>0</v>
      </c>
      <c r="BK171" s="562">
        <v>0</v>
      </c>
      <c r="BL171" s="562">
        <v>0</v>
      </c>
      <c r="BM171" s="562">
        <v>0</v>
      </c>
      <c r="BN171" s="562">
        <v>0</v>
      </c>
      <c r="BO171" s="562">
        <v>0</v>
      </c>
      <c r="BQ171" s="562">
        <v>0</v>
      </c>
      <c r="BS171" s="562">
        <v>0</v>
      </c>
      <c r="BT171" s="562">
        <v>0</v>
      </c>
      <c r="BV171" s="562">
        <v>0</v>
      </c>
    </row>
    <row r="172" spans="1:99" s="562" customFormat="1" x14ac:dyDescent="0.3">
      <c r="A172" s="561">
        <v>628</v>
      </c>
      <c r="B172" s="562" t="s">
        <v>963</v>
      </c>
      <c r="D172" s="562">
        <v>60000</v>
      </c>
      <c r="E172" s="562">
        <v>15531984</v>
      </c>
      <c r="H172" s="562">
        <v>0</v>
      </c>
      <c r="I172" s="562">
        <v>0</v>
      </c>
      <c r="K172" s="562">
        <v>0</v>
      </c>
      <c r="L172" s="562">
        <v>10000</v>
      </c>
      <c r="M172" s="562">
        <v>76846</v>
      </c>
      <c r="N172" s="562">
        <v>0</v>
      </c>
      <c r="O172" s="562">
        <v>13913</v>
      </c>
      <c r="Q172" s="562">
        <v>1418</v>
      </c>
      <c r="R172" s="562">
        <v>51279</v>
      </c>
      <c r="S172" s="562">
        <v>32507</v>
      </c>
      <c r="T172" s="562">
        <v>503444</v>
      </c>
      <c r="X172" s="562">
        <v>230335</v>
      </c>
      <c r="Y172" s="562">
        <v>31409</v>
      </c>
      <c r="Z172" s="562">
        <v>1986441</v>
      </c>
      <c r="AA172" s="562">
        <v>0</v>
      </c>
      <c r="AB172" s="562">
        <v>0</v>
      </c>
      <c r="AC172" s="562">
        <v>0</v>
      </c>
      <c r="AD172" s="562">
        <v>3713</v>
      </c>
      <c r="AE172" s="562">
        <v>3519</v>
      </c>
      <c r="AF172" s="562">
        <v>750</v>
      </c>
      <c r="AG172" s="562">
        <v>0</v>
      </c>
      <c r="AH172" s="562">
        <v>0</v>
      </c>
      <c r="AI172" s="562">
        <v>0</v>
      </c>
      <c r="AJ172" s="562">
        <v>0</v>
      </c>
      <c r="AK172" s="562">
        <v>0</v>
      </c>
      <c r="AL172" s="562">
        <v>3635</v>
      </c>
      <c r="AM172" s="562">
        <v>13592</v>
      </c>
      <c r="AN172" s="562">
        <v>0</v>
      </c>
      <c r="AO172" s="562">
        <v>204956</v>
      </c>
      <c r="AP172" s="562">
        <v>0</v>
      </c>
      <c r="AQ172" s="562">
        <v>0</v>
      </c>
      <c r="AR172" s="562">
        <v>0</v>
      </c>
      <c r="AS172" s="562">
        <v>1183997</v>
      </c>
      <c r="AT172" s="562">
        <v>0</v>
      </c>
      <c r="AU172" s="562">
        <v>0</v>
      </c>
      <c r="AV172" s="562">
        <v>0</v>
      </c>
      <c r="AW172" s="562">
        <v>6659</v>
      </c>
      <c r="AX172" s="562">
        <v>2526</v>
      </c>
      <c r="AY172" s="562">
        <v>0</v>
      </c>
      <c r="AZ172" s="562">
        <v>79728</v>
      </c>
      <c r="BA172" s="562">
        <v>0</v>
      </c>
      <c r="BB172" s="562">
        <v>0</v>
      </c>
      <c r="BC172" s="562">
        <v>0</v>
      </c>
      <c r="BD172" s="562">
        <v>137894</v>
      </c>
      <c r="BE172" s="562">
        <v>0</v>
      </c>
      <c r="BF172" s="562">
        <v>285982</v>
      </c>
      <c r="BH172" s="562">
        <v>0</v>
      </c>
      <c r="BI172" s="562">
        <v>0</v>
      </c>
      <c r="BJ172" s="562">
        <v>115278</v>
      </c>
      <c r="BK172" s="562">
        <v>33981</v>
      </c>
      <c r="BL172" s="562">
        <v>338732</v>
      </c>
      <c r="BM172" s="562">
        <v>25000</v>
      </c>
      <c r="BN172" s="562">
        <v>53784</v>
      </c>
      <c r="BO172" s="562">
        <v>0</v>
      </c>
      <c r="BQ172" s="562">
        <v>0</v>
      </c>
      <c r="BS172" s="562">
        <v>35000</v>
      </c>
      <c r="BT172" s="562">
        <v>24000</v>
      </c>
      <c r="BV172" s="562">
        <v>31000</v>
      </c>
    </row>
    <row r="173" spans="1:99" x14ac:dyDescent="0.3">
      <c r="A173" s="155">
        <v>629</v>
      </c>
      <c r="B173" s="180" t="s">
        <v>964</v>
      </c>
      <c r="C173" s="180"/>
      <c r="D173" s="180">
        <v>0</v>
      </c>
      <c r="E173" s="180">
        <v>0</v>
      </c>
      <c r="F173" s="180"/>
      <c r="G173" s="180"/>
      <c r="H173" s="180">
        <v>0</v>
      </c>
      <c r="I173" s="180">
        <v>0</v>
      </c>
      <c r="J173" s="180"/>
      <c r="K173" s="180">
        <v>0</v>
      </c>
      <c r="L173" s="180">
        <v>0</v>
      </c>
      <c r="M173" s="180">
        <v>0</v>
      </c>
      <c r="N173" s="180">
        <v>0</v>
      </c>
      <c r="O173" s="180">
        <v>0</v>
      </c>
      <c r="P173" s="180"/>
      <c r="Q173" s="180">
        <v>0</v>
      </c>
      <c r="R173" s="180">
        <v>0</v>
      </c>
      <c r="S173" s="180">
        <v>0</v>
      </c>
      <c r="T173" s="180">
        <v>0</v>
      </c>
      <c r="U173" s="180"/>
      <c r="V173" s="180"/>
      <c r="W173" s="180"/>
      <c r="X173" s="180">
        <v>0</v>
      </c>
      <c r="Y173" s="180">
        <v>0</v>
      </c>
      <c r="Z173" s="180">
        <v>0</v>
      </c>
      <c r="AA173" s="180">
        <v>0</v>
      </c>
      <c r="AB173" s="180">
        <v>0</v>
      </c>
      <c r="AC173" s="180">
        <v>0</v>
      </c>
      <c r="AD173" s="180">
        <v>0</v>
      </c>
      <c r="AE173" s="180">
        <v>0</v>
      </c>
      <c r="AF173" s="180">
        <v>0</v>
      </c>
      <c r="AG173" s="180">
        <v>0</v>
      </c>
      <c r="AH173" s="180">
        <v>0</v>
      </c>
      <c r="AI173" s="180">
        <v>0</v>
      </c>
      <c r="AJ173" s="180">
        <v>0</v>
      </c>
      <c r="AK173" s="180">
        <v>0</v>
      </c>
      <c r="AL173" s="180">
        <v>0</v>
      </c>
      <c r="AM173" s="180">
        <v>0</v>
      </c>
      <c r="AN173" s="180">
        <v>0</v>
      </c>
      <c r="AO173" s="180">
        <v>0</v>
      </c>
      <c r="AP173" s="180">
        <v>0</v>
      </c>
      <c r="AQ173" s="180">
        <v>0</v>
      </c>
      <c r="AR173" s="180">
        <v>0</v>
      </c>
      <c r="AS173" s="180">
        <v>0</v>
      </c>
      <c r="AT173" s="180">
        <v>0</v>
      </c>
      <c r="AU173" s="180">
        <v>0</v>
      </c>
      <c r="AV173" s="180">
        <v>0</v>
      </c>
      <c r="AW173" s="180">
        <v>0</v>
      </c>
      <c r="AX173" s="180">
        <v>0</v>
      </c>
      <c r="AY173" s="180">
        <v>0</v>
      </c>
      <c r="AZ173" s="180">
        <v>0</v>
      </c>
      <c r="BA173" s="180">
        <v>0</v>
      </c>
      <c r="BB173" s="180">
        <v>0</v>
      </c>
      <c r="BC173" s="180">
        <v>0</v>
      </c>
      <c r="BD173" s="180">
        <v>0</v>
      </c>
      <c r="BE173" s="180">
        <v>0</v>
      </c>
      <c r="BF173" s="180">
        <v>0</v>
      </c>
      <c r="BG173" s="180"/>
      <c r="BH173" s="180">
        <v>0</v>
      </c>
      <c r="BI173" s="180">
        <v>0</v>
      </c>
      <c r="BJ173" s="180">
        <v>0</v>
      </c>
      <c r="BK173" s="180">
        <v>0</v>
      </c>
      <c r="BL173" s="180">
        <v>45743</v>
      </c>
      <c r="BM173" s="180">
        <v>0</v>
      </c>
      <c r="BN173" s="180">
        <v>0</v>
      </c>
      <c r="BO173" s="180">
        <v>0</v>
      </c>
      <c r="BP173" s="180"/>
      <c r="BQ173" s="180">
        <v>0</v>
      </c>
      <c r="BR173" s="180"/>
      <c r="BS173" s="180">
        <v>0</v>
      </c>
      <c r="BT173" s="180">
        <v>0</v>
      </c>
      <c r="BU173" s="180"/>
      <c r="BV173" s="180">
        <v>0</v>
      </c>
      <c r="BW173" s="180"/>
      <c r="BX173" s="180"/>
      <c r="BY173" s="180"/>
      <c r="BZ173" s="180"/>
      <c r="CA173" s="180"/>
      <c r="CB173" s="180"/>
      <c r="CC173" s="180"/>
      <c r="CD173" s="180"/>
      <c r="CE173" s="180"/>
      <c r="CF173" s="180"/>
      <c r="CG173" s="180"/>
      <c r="CH173" s="180"/>
      <c r="CI173" s="180"/>
      <c r="CJ173" s="180"/>
      <c r="CK173" s="180"/>
      <c r="CL173" s="180"/>
      <c r="CM173" s="180"/>
      <c r="CN173" s="180"/>
      <c r="CO173" s="180"/>
      <c r="CP173" s="180"/>
      <c r="CQ173" s="180"/>
      <c r="CR173" s="180"/>
      <c r="CS173" s="180"/>
      <c r="CT173" s="180"/>
      <c r="CU173" s="180"/>
    </row>
    <row r="174" spans="1:99" x14ac:dyDescent="0.3">
      <c r="A174" s="155">
        <v>630</v>
      </c>
      <c r="B174" s="180" t="s">
        <v>965</v>
      </c>
      <c r="C174" s="180"/>
      <c r="D174" s="180">
        <v>0</v>
      </c>
      <c r="E174" s="180">
        <v>0</v>
      </c>
      <c r="F174" s="180"/>
      <c r="G174" s="180"/>
      <c r="H174" s="180">
        <v>0</v>
      </c>
      <c r="I174" s="180">
        <v>0</v>
      </c>
      <c r="J174" s="180"/>
      <c r="K174" s="180">
        <v>0</v>
      </c>
      <c r="L174" s="180">
        <v>0</v>
      </c>
      <c r="M174" s="180">
        <v>0</v>
      </c>
      <c r="N174" s="180">
        <v>0</v>
      </c>
      <c r="O174" s="180">
        <v>0</v>
      </c>
      <c r="P174" s="180"/>
      <c r="Q174" s="180">
        <v>99115</v>
      </c>
      <c r="R174" s="180">
        <v>0</v>
      </c>
      <c r="S174" s="180">
        <v>0</v>
      </c>
      <c r="T174" s="180">
        <v>1000000</v>
      </c>
      <c r="U174" s="180"/>
      <c r="V174" s="180"/>
      <c r="W174" s="180"/>
      <c r="X174" s="180">
        <v>663524</v>
      </c>
      <c r="Y174" s="180">
        <v>186005</v>
      </c>
      <c r="Z174" s="180">
        <v>0</v>
      </c>
      <c r="AA174" s="180">
        <v>0</v>
      </c>
      <c r="AB174" s="180">
        <v>0</v>
      </c>
      <c r="AC174" s="180">
        <v>0</v>
      </c>
      <c r="AD174" s="180">
        <v>0</v>
      </c>
      <c r="AE174" s="180">
        <v>0</v>
      </c>
      <c r="AF174" s="180">
        <v>0</v>
      </c>
      <c r="AG174" s="180">
        <v>0</v>
      </c>
      <c r="AH174" s="180">
        <v>27255</v>
      </c>
      <c r="AI174" s="180">
        <v>0</v>
      </c>
      <c r="AJ174" s="180">
        <v>2103</v>
      </c>
      <c r="AK174" s="180">
        <v>65811</v>
      </c>
      <c r="AL174" s="180">
        <v>0</v>
      </c>
      <c r="AM174" s="180">
        <v>0</v>
      </c>
      <c r="AN174" s="180">
        <v>0</v>
      </c>
      <c r="AO174" s="180">
        <v>0</v>
      </c>
      <c r="AP174" s="180">
        <v>0</v>
      </c>
      <c r="AQ174" s="180">
        <v>0</v>
      </c>
      <c r="AR174" s="180">
        <v>0</v>
      </c>
      <c r="AS174" s="180">
        <v>0</v>
      </c>
      <c r="AT174" s="180">
        <v>0</v>
      </c>
      <c r="AU174" s="180">
        <v>588145</v>
      </c>
      <c r="AV174" s="180">
        <v>0</v>
      </c>
      <c r="AW174" s="180">
        <v>0</v>
      </c>
      <c r="AX174" s="180">
        <v>0</v>
      </c>
      <c r="AY174" s="180">
        <v>0</v>
      </c>
      <c r="AZ174" s="180">
        <v>0</v>
      </c>
      <c r="BA174" s="180">
        <v>0</v>
      </c>
      <c r="BB174" s="180">
        <v>0</v>
      </c>
      <c r="BC174" s="180">
        <v>0</v>
      </c>
      <c r="BD174" s="180">
        <v>0</v>
      </c>
      <c r="BE174" s="180">
        <v>0</v>
      </c>
      <c r="BF174" s="180">
        <v>0</v>
      </c>
      <c r="BG174" s="180"/>
      <c r="BH174" s="180">
        <v>0</v>
      </c>
      <c r="BI174" s="180">
        <v>0</v>
      </c>
      <c r="BJ174" s="180">
        <v>0</v>
      </c>
      <c r="BK174" s="180">
        <v>300000</v>
      </c>
      <c r="BL174" s="180">
        <v>879051</v>
      </c>
      <c r="BM174" s="180">
        <v>1085663</v>
      </c>
      <c r="BN174" s="180">
        <v>0</v>
      </c>
      <c r="BO174" s="180">
        <v>0</v>
      </c>
      <c r="BP174" s="180"/>
      <c r="BQ174" s="180">
        <v>518998</v>
      </c>
      <c r="BR174" s="180"/>
      <c r="BS174" s="180">
        <v>0</v>
      </c>
      <c r="BT174" s="180">
        <v>0</v>
      </c>
      <c r="BU174" s="180"/>
      <c r="BV174" s="180">
        <v>22621</v>
      </c>
      <c r="BW174" s="180"/>
      <c r="BX174" s="180"/>
      <c r="BY174" s="180"/>
      <c r="BZ174" s="180"/>
      <c r="CA174" s="180"/>
      <c r="CB174" s="180"/>
      <c r="CC174" s="180"/>
      <c r="CD174" s="180"/>
      <c r="CE174" s="180"/>
      <c r="CF174" s="180"/>
      <c r="CG174" s="180"/>
      <c r="CH174" s="180"/>
      <c r="CI174" s="180"/>
      <c r="CJ174" s="180"/>
      <c r="CK174" s="180"/>
      <c r="CL174" s="180"/>
      <c r="CM174" s="180"/>
      <c r="CN174" s="180"/>
      <c r="CO174" s="180"/>
      <c r="CP174" s="180"/>
      <c r="CQ174" s="180"/>
      <c r="CR174" s="180"/>
      <c r="CS174" s="180"/>
      <c r="CT174" s="180"/>
      <c r="CU174" s="180"/>
    </row>
    <row r="175" spans="1:99" x14ac:dyDescent="0.3">
      <c r="A175" s="155">
        <v>631</v>
      </c>
      <c r="B175" s="180" t="s">
        <v>966</v>
      </c>
      <c r="C175" s="180"/>
      <c r="D175" s="180">
        <v>0</v>
      </c>
      <c r="E175" s="180">
        <v>0</v>
      </c>
      <c r="F175" s="180"/>
      <c r="G175" s="180"/>
      <c r="H175" s="180">
        <v>0</v>
      </c>
      <c r="I175" s="180">
        <v>0</v>
      </c>
      <c r="J175" s="180"/>
      <c r="K175" s="180">
        <v>0</v>
      </c>
      <c r="L175" s="180">
        <v>0</v>
      </c>
      <c r="M175" s="180">
        <v>0</v>
      </c>
      <c r="N175" s="180">
        <v>0</v>
      </c>
      <c r="O175" s="180">
        <v>0</v>
      </c>
      <c r="P175" s="180"/>
      <c r="Q175" s="180">
        <v>0</v>
      </c>
      <c r="R175" s="180">
        <v>0</v>
      </c>
      <c r="S175" s="180">
        <v>0</v>
      </c>
      <c r="T175" s="180">
        <v>0</v>
      </c>
      <c r="U175" s="180"/>
      <c r="V175" s="180"/>
      <c r="W175" s="180"/>
      <c r="X175" s="180">
        <v>0</v>
      </c>
      <c r="Y175" s="180">
        <v>0</v>
      </c>
      <c r="Z175" s="180">
        <v>0</v>
      </c>
      <c r="AA175" s="180">
        <v>0</v>
      </c>
      <c r="AB175" s="180">
        <v>0</v>
      </c>
      <c r="AC175" s="180">
        <v>0</v>
      </c>
      <c r="AD175" s="180">
        <v>0</v>
      </c>
      <c r="AE175" s="180">
        <v>0</v>
      </c>
      <c r="AF175" s="180">
        <v>0</v>
      </c>
      <c r="AG175" s="180">
        <v>0</v>
      </c>
      <c r="AH175" s="180">
        <v>0</v>
      </c>
      <c r="AI175" s="180">
        <v>0</v>
      </c>
      <c r="AJ175" s="180">
        <v>0</v>
      </c>
      <c r="AK175" s="180">
        <v>0</v>
      </c>
      <c r="AL175" s="180">
        <v>0</v>
      </c>
      <c r="AM175" s="180">
        <v>0</v>
      </c>
      <c r="AN175" s="180">
        <v>0</v>
      </c>
      <c r="AO175" s="180">
        <v>0</v>
      </c>
      <c r="AP175" s="180">
        <v>0</v>
      </c>
      <c r="AQ175" s="180">
        <v>0</v>
      </c>
      <c r="AR175" s="180">
        <v>0</v>
      </c>
      <c r="AS175" s="180">
        <v>0</v>
      </c>
      <c r="AT175" s="180">
        <v>0</v>
      </c>
      <c r="AU175" s="180">
        <v>0</v>
      </c>
      <c r="AV175" s="180">
        <v>0</v>
      </c>
      <c r="AW175" s="180">
        <v>0</v>
      </c>
      <c r="AX175" s="180">
        <v>0</v>
      </c>
      <c r="AY175" s="180">
        <v>0</v>
      </c>
      <c r="AZ175" s="180">
        <v>0</v>
      </c>
      <c r="BA175" s="180">
        <v>0</v>
      </c>
      <c r="BB175" s="180">
        <v>0</v>
      </c>
      <c r="BC175" s="180">
        <v>0</v>
      </c>
      <c r="BD175" s="180">
        <v>0</v>
      </c>
      <c r="BE175" s="180">
        <v>0</v>
      </c>
      <c r="BF175" s="180">
        <v>0</v>
      </c>
      <c r="BG175" s="180"/>
      <c r="BH175" s="180">
        <v>0</v>
      </c>
      <c r="BI175" s="180">
        <v>0</v>
      </c>
      <c r="BJ175" s="180">
        <v>0</v>
      </c>
      <c r="BK175" s="180">
        <v>0</v>
      </c>
      <c r="BL175" s="180">
        <v>0</v>
      </c>
      <c r="BM175" s="180">
        <v>0</v>
      </c>
      <c r="BN175" s="180">
        <v>0</v>
      </c>
      <c r="BO175" s="180">
        <v>0</v>
      </c>
      <c r="BP175" s="180"/>
      <c r="BQ175" s="180">
        <v>0</v>
      </c>
      <c r="BR175" s="180"/>
      <c r="BS175" s="180">
        <v>0</v>
      </c>
      <c r="BT175" s="180">
        <v>0</v>
      </c>
      <c r="BU175" s="180"/>
      <c r="BV175" s="180">
        <v>0</v>
      </c>
      <c r="BW175" s="180"/>
      <c r="BX175" s="180"/>
      <c r="BY175" s="180"/>
      <c r="BZ175" s="180"/>
      <c r="CA175" s="180"/>
      <c r="CB175" s="180"/>
      <c r="CC175" s="180"/>
      <c r="CD175" s="180"/>
      <c r="CE175" s="180"/>
      <c r="CF175" s="180"/>
      <c r="CG175" s="180"/>
      <c r="CH175" s="180"/>
      <c r="CI175" s="180"/>
      <c r="CJ175" s="180"/>
      <c r="CK175" s="180"/>
      <c r="CL175" s="180"/>
      <c r="CM175" s="180"/>
      <c r="CN175" s="180"/>
      <c r="CO175" s="180"/>
      <c r="CP175" s="180"/>
      <c r="CQ175" s="180"/>
      <c r="CR175" s="180"/>
      <c r="CS175" s="180"/>
      <c r="CT175" s="180"/>
      <c r="CU175" s="180"/>
    </row>
    <row r="176" spans="1:99" x14ac:dyDescent="0.3">
      <c r="A176" s="155">
        <v>632</v>
      </c>
      <c r="B176" s="180" t="s">
        <v>967</v>
      </c>
      <c r="C176" s="180"/>
      <c r="D176" s="180">
        <v>0</v>
      </c>
      <c r="E176" s="180">
        <v>0</v>
      </c>
      <c r="F176" s="180"/>
      <c r="G176" s="180"/>
      <c r="H176" s="180">
        <v>0</v>
      </c>
      <c r="I176" s="180">
        <v>0</v>
      </c>
      <c r="J176" s="180"/>
      <c r="K176" s="180">
        <v>0</v>
      </c>
      <c r="L176" s="180">
        <v>0</v>
      </c>
      <c r="M176" s="180">
        <v>0</v>
      </c>
      <c r="N176" s="180">
        <v>0</v>
      </c>
      <c r="O176" s="180">
        <v>0</v>
      </c>
      <c r="P176" s="180"/>
      <c r="Q176" s="180">
        <v>0</v>
      </c>
      <c r="R176" s="180">
        <v>0</v>
      </c>
      <c r="S176" s="180">
        <v>0</v>
      </c>
      <c r="T176" s="180">
        <v>0</v>
      </c>
      <c r="U176" s="180"/>
      <c r="V176" s="180"/>
      <c r="W176" s="180"/>
      <c r="X176" s="180">
        <v>0</v>
      </c>
      <c r="Y176" s="180">
        <v>0</v>
      </c>
      <c r="Z176" s="180">
        <v>0</v>
      </c>
      <c r="AA176" s="180">
        <v>0</v>
      </c>
      <c r="AB176" s="180">
        <v>0</v>
      </c>
      <c r="AC176" s="180">
        <v>0</v>
      </c>
      <c r="AD176" s="180">
        <v>0</v>
      </c>
      <c r="AE176" s="180">
        <v>0</v>
      </c>
      <c r="AF176" s="180">
        <v>0</v>
      </c>
      <c r="AG176" s="180">
        <v>0</v>
      </c>
      <c r="AH176" s="180">
        <v>0</v>
      </c>
      <c r="AI176" s="180">
        <v>0</v>
      </c>
      <c r="AJ176" s="180">
        <v>0</v>
      </c>
      <c r="AK176" s="180">
        <v>0</v>
      </c>
      <c r="AL176" s="180">
        <v>0</v>
      </c>
      <c r="AM176" s="180">
        <v>0</v>
      </c>
      <c r="AN176" s="180">
        <v>0</v>
      </c>
      <c r="AO176" s="180">
        <v>0</v>
      </c>
      <c r="AP176" s="180">
        <v>0</v>
      </c>
      <c r="AQ176" s="180">
        <v>0</v>
      </c>
      <c r="AR176" s="180">
        <v>0</v>
      </c>
      <c r="AS176" s="180">
        <v>0</v>
      </c>
      <c r="AT176" s="180">
        <v>0</v>
      </c>
      <c r="AU176" s="180">
        <v>0</v>
      </c>
      <c r="AV176" s="180">
        <v>0</v>
      </c>
      <c r="AW176" s="180">
        <v>0</v>
      </c>
      <c r="AX176" s="180">
        <v>0</v>
      </c>
      <c r="AY176" s="180">
        <v>0</v>
      </c>
      <c r="AZ176" s="180">
        <v>0</v>
      </c>
      <c r="BA176" s="180">
        <v>0</v>
      </c>
      <c r="BB176" s="180">
        <v>0</v>
      </c>
      <c r="BC176" s="180">
        <v>0</v>
      </c>
      <c r="BD176" s="180">
        <v>0</v>
      </c>
      <c r="BE176" s="180">
        <v>0</v>
      </c>
      <c r="BF176" s="180">
        <v>0</v>
      </c>
      <c r="BG176" s="180"/>
      <c r="BH176" s="180">
        <v>0</v>
      </c>
      <c r="BI176" s="180">
        <v>0</v>
      </c>
      <c r="BJ176" s="180">
        <v>0</v>
      </c>
      <c r="BK176" s="180">
        <v>0</v>
      </c>
      <c r="BL176" s="180">
        <v>0</v>
      </c>
      <c r="BM176" s="180">
        <v>0</v>
      </c>
      <c r="BN176" s="180">
        <v>0</v>
      </c>
      <c r="BO176" s="180">
        <v>0</v>
      </c>
      <c r="BP176" s="180"/>
      <c r="BQ176" s="180">
        <v>0</v>
      </c>
      <c r="BR176" s="180"/>
      <c r="BS176" s="180">
        <v>0</v>
      </c>
      <c r="BT176" s="180">
        <v>0</v>
      </c>
      <c r="BU176" s="180"/>
      <c r="BV176" s="180">
        <v>0</v>
      </c>
      <c r="BW176" s="180"/>
      <c r="BX176" s="180"/>
      <c r="BY176" s="180"/>
      <c r="BZ176" s="180"/>
      <c r="CA176" s="180"/>
      <c r="CB176" s="180"/>
      <c r="CC176" s="180"/>
      <c r="CD176" s="180"/>
      <c r="CE176" s="180"/>
      <c r="CF176" s="180"/>
      <c r="CG176" s="180"/>
      <c r="CH176" s="180"/>
      <c r="CI176" s="180"/>
      <c r="CJ176" s="180"/>
      <c r="CK176" s="180"/>
      <c r="CL176" s="180"/>
      <c r="CM176" s="180"/>
      <c r="CN176" s="180"/>
      <c r="CO176" s="180"/>
      <c r="CP176" s="180"/>
      <c r="CQ176" s="180"/>
      <c r="CR176" s="180"/>
      <c r="CS176" s="180"/>
      <c r="CT176" s="180"/>
      <c r="CU176" s="180"/>
    </row>
    <row r="177" spans="1:99" x14ac:dyDescent="0.3">
      <c r="A177" s="155">
        <v>633</v>
      </c>
      <c r="B177" s="180" t="s">
        <v>373</v>
      </c>
      <c r="C177" s="180"/>
      <c r="D177" s="180">
        <v>5812830</v>
      </c>
      <c r="E177" s="180">
        <v>89721850</v>
      </c>
      <c r="F177" s="180"/>
      <c r="G177" s="180"/>
      <c r="H177" s="180">
        <v>36100</v>
      </c>
      <c r="I177" s="180">
        <v>0</v>
      </c>
      <c r="J177" s="180"/>
      <c r="K177" s="180">
        <v>0</v>
      </c>
      <c r="L177" s="180">
        <v>3297609</v>
      </c>
      <c r="M177" s="180">
        <v>2125785</v>
      </c>
      <c r="N177" s="180">
        <v>0</v>
      </c>
      <c r="O177" s="180">
        <v>52683</v>
      </c>
      <c r="P177" s="180"/>
      <c r="Q177" s="180">
        <v>0</v>
      </c>
      <c r="R177" s="180">
        <v>0</v>
      </c>
      <c r="S177" s="180">
        <v>309829</v>
      </c>
      <c r="T177" s="180">
        <v>0</v>
      </c>
      <c r="U177" s="180"/>
      <c r="V177" s="180"/>
      <c r="W177" s="180"/>
      <c r="X177" s="180">
        <v>337183</v>
      </c>
      <c r="Y177" s="180">
        <v>0</v>
      </c>
      <c r="Z177" s="180">
        <v>2155146</v>
      </c>
      <c r="AA177" s="180">
        <v>0</v>
      </c>
      <c r="AB177" s="180">
        <v>83141</v>
      </c>
      <c r="AC177" s="180">
        <v>256197</v>
      </c>
      <c r="AD177" s="180">
        <v>98162</v>
      </c>
      <c r="AE177" s="180">
        <v>496736</v>
      </c>
      <c r="AF177" s="180">
        <v>135401</v>
      </c>
      <c r="AG177" s="180">
        <v>106003</v>
      </c>
      <c r="AH177" s="180">
        <v>1865244</v>
      </c>
      <c r="AI177" s="180">
        <v>0</v>
      </c>
      <c r="AJ177" s="180">
        <v>0</v>
      </c>
      <c r="AK177" s="180">
        <v>0</v>
      </c>
      <c r="AL177" s="180">
        <v>105781</v>
      </c>
      <c r="AM177" s="180">
        <v>166215</v>
      </c>
      <c r="AN177" s="180">
        <v>40491</v>
      </c>
      <c r="AO177" s="180">
        <v>7901268</v>
      </c>
      <c r="AP177" s="180">
        <v>99317</v>
      </c>
      <c r="AQ177" s="180">
        <v>0</v>
      </c>
      <c r="AR177" s="180">
        <v>17080</v>
      </c>
      <c r="AS177" s="180">
        <v>5362889</v>
      </c>
      <c r="AT177" s="180">
        <v>167728</v>
      </c>
      <c r="AU177" s="180">
        <v>195914</v>
      </c>
      <c r="AV177" s="180">
        <v>108401</v>
      </c>
      <c r="AW177" s="180">
        <v>82235</v>
      </c>
      <c r="AX177" s="180">
        <v>0</v>
      </c>
      <c r="AY177" s="180">
        <v>0</v>
      </c>
      <c r="AZ177" s="180">
        <v>672472</v>
      </c>
      <c r="BA177" s="180">
        <v>50159</v>
      </c>
      <c r="BB177" s="180">
        <v>26326</v>
      </c>
      <c r="BC177" s="180">
        <v>8427</v>
      </c>
      <c r="BD177" s="180">
        <v>405583</v>
      </c>
      <c r="BE177" s="180">
        <v>317987</v>
      </c>
      <c r="BF177" s="180">
        <v>5332510</v>
      </c>
      <c r="BG177" s="180"/>
      <c r="BH177" s="180">
        <v>0</v>
      </c>
      <c r="BI177" s="180">
        <v>60375</v>
      </c>
      <c r="BJ177" s="180">
        <v>1081377</v>
      </c>
      <c r="BK177" s="180">
        <v>176974</v>
      </c>
      <c r="BL177" s="180">
        <v>1482170</v>
      </c>
      <c r="BM177" s="180">
        <v>0</v>
      </c>
      <c r="BN177" s="180">
        <v>832448</v>
      </c>
      <c r="BO177" s="180">
        <v>412073</v>
      </c>
      <c r="BP177" s="180"/>
      <c r="BQ177" s="180">
        <v>0</v>
      </c>
      <c r="BR177" s="180"/>
      <c r="BS177" s="180">
        <v>533681</v>
      </c>
      <c r="BT177" s="180">
        <v>127394</v>
      </c>
      <c r="BU177" s="180"/>
      <c r="BV177" s="180">
        <v>322693</v>
      </c>
      <c r="BW177" s="180"/>
      <c r="BX177" s="180"/>
      <c r="BY177" s="180"/>
      <c r="BZ177" s="180"/>
      <c r="CA177" s="180"/>
      <c r="CB177" s="180"/>
      <c r="CC177" s="180"/>
      <c r="CD177" s="180"/>
      <c r="CE177" s="180"/>
      <c r="CF177" s="180"/>
      <c r="CG177" s="180"/>
      <c r="CH177" s="180"/>
      <c r="CI177" s="180"/>
      <c r="CJ177" s="180"/>
      <c r="CK177" s="180"/>
      <c r="CL177" s="180"/>
      <c r="CM177" s="180"/>
      <c r="CN177" s="180"/>
      <c r="CO177" s="180"/>
      <c r="CP177" s="180"/>
      <c r="CQ177" s="180"/>
      <c r="CR177" s="180"/>
      <c r="CS177" s="180"/>
      <c r="CT177" s="180"/>
      <c r="CU177" s="180"/>
    </row>
    <row r="178" spans="1:99" x14ac:dyDescent="0.3">
      <c r="A178" s="155">
        <v>634</v>
      </c>
      <c r="B178" s="180" t="s">
        <v>374</v>
      </c>
      <c r="C178" s="180"/>
      <c r="D178" s="180">
        <v>5379984</v>
      </c>
      <c r="E178" s="180">
        <v>0</v>
      </c>
      <c r="F178" s="180"/>
      <c r="G178" s="180"/>
      <c r="H178" s="180">
        <v>0</v>
      </c>
      <c r="I178" s="180">
        <v>0</v>
      </c>
      <c r="J178" s="180"/>
      <c r="K178" s="180">
        <v>0</v>
      </c>
      <c r="L178" s="180">
        <v>2977000</v>
      </c>
      <c r="M178" s="180">
        <v>0</v>
      </c>
      <c r="N178" s="180">
        <v>0</v>
      </c>
      <c r="O178" s="180">
        <v>0</v>
      </c>
      <c r="P178" s="180"/>
      <c r="Q178" s="180">
        <v>0</v>
      </c>
      <c r="R178" s="180">
        <v>0</v>
      </c>
      <c r="S178" s="180">
        <v>0</v>
      </c>
      <c r="T178" s="180">
        <v>0</v>
      </c>
      <c r="U178" s="180"/>
      <c r="V178" s="180"/>
      <c r="W178" s="180"/>
      <c r="X178" s="180">
        <v>0</v>
      </c>
      <c r="Y178" s="180">
        <v>0</v>
      </c>
      <c r="Z178" s="180">
        <v>0</v>
      </c>
      <c r="AA178" s="180">
        <v>0</v>
      </c>
      <c r="AB178" s="180">
        <v>0</v>
      </c>
      <c r="AC178" s="180">
        <v>0</v>
      </c>
      <c r="AD178" s="180">
        <v>12745</v>
      </c>
      <c r="AE178" s="180">
        <v>0</v>
      </c>
      <c r="AF178" s="180">
        <v>0</v>
      </c>
      <c r="AG178" s="180">
        <v>0</v>
      </c>
      <c r="AH178" s="180">
        <v>0</v>
      </c>
      <c r="AI178" s="180">
        <v>0</v>
      </c>
      <c r="AJ178" s="180">
        <v>0</v>
      </c>
      <c r="AK178" s="180">
        <v>0</v>
      </c>
      <c r="AL178" s="180">
        <v>0</v>
      </c>
      <c r="AM178" s="180">
        <v>0</v>
      </c>
      <c r="AN178" s="180">
        <v>0</v>
      </c>
      <c r="AO178" s="180">
        <v>0</v>
      </c>
      <c r="AP178" s="180">
        <v>0</v>
      </c>
      <c r="AQ178" s="180">
        <v>0</v>
      </c>
      <c r="AR178" s="180">
        <v>0</v>
      </c>
      <c r="AS178" s="180">
        <v>0</v>
      </c>
      <c r="AT178" s="180">
        <v>0</v>
      </c>
      <c r="AU178" s="180">
        <v>0</v>
      </c>
      <c r="AV178" s="180">
        <v>0</v>
      </c>
      <c r="AW178" s="180">
        <v>0</v>
      </c>
      <c r="AX178" s="180">
        <v>0</v>
      </c>
      <c r="AY178" s="180">
        <v>0</v>
      </c>
      <c r="AZ178" s="180">
        <v>0</v>
      </c>
      <c r="BA178" s="180">
        <v>0</v>
      </c>
      <c r="BB178" s="180">
        <v>0</v>
      </c>
      <c r="BC178" s="180">
        <v>0</v>
      </c>
      <c r="BD178" s="180">
        <v>0</v>
      </c>
      <c r="BE178" s="180">
        <v>0</v>
      </c>
      <c r="BF178" s="180">
        <v>0</v>
      </c>
      <c r="BG178" s="180"/>
      <c r="BH178" s="180">
        <v>0</v>
      </c>
      <c r="BI178" s="180">
        <v>0</v>
      </c>
      <c r="BJ178" s="180">
        <v>0</v>
      </c>
      <c r="BK178" s="180">
        <v>0</v>
      </c>
      <c r="BL178" s="180">
        <v>0</v>
      </c>
      <c r="BM178" s="180">
        <v>0</v>
      </c>
      <c r="BN178" s="180">
        <v>0</v>
      </c>
      <c r="BO178" s="180">
        <v>0</v>
      </c>
      <c r="BP178" s="180"/>
      <c r="BQ178" s="180">
        <v>0</v>
      </c>
      <c r="BR178" s="180"/>
      <c r="BS178" s="180">
        <v>0</v>
      </c>
      <c r="BT178" s="180">
        <v>0</v>
      </c>
      <c r="BU178" s="180"/>
      <c r="BV178" s="180">
        <v>0</v>
      </c>
      <c r="BW178" s="180"/>
      <c r="BX178" s="180"/>
      <c r="BY178" s="180"/>
      <c r="BZ178" s="180"/>
      <c r="CA178" s="180"/>
      <c r="CB178" s="180"/>
      <c r="CC178" s="180"/>
      <c r="CD178" s="180"/>
      <c r="CE178" s="180"/>
      <c r="CF178" s="180"/>
      <c r="CG178" s="180"/>
      <c r="CH178" s="180"/>
      <c r="CI178" s="180"/>
      <c r="CJ178" s="180"/>
      <c r="CK178" s="180"/>
      <c r="CL178" s="180"/>
      <c r="CM178" s="180"/>
      <c r="CN178" s="180"/>
      <c r="CO178" s="180"/>
      <c r="CP178" s="180"/>
      <c r="CQ178" s="180"/>
      <c r="CR178" s="180"/>
      <c r="CS178" s="180"/>
      <c r="CT178" s="180"/>
      <c r="CU178" s="180"/>
    </row>
    <row r="179" spans="1:99" x14ac:dyDescent="0.3">
      <c r="A179" s="155">
        <v>635</v>
      </c>
      <c r="B179" s="180" t="s">
        <v>375</v>
      </c>
      <c r="C179" s="180"/>
      <c r="D179" s="180">
        <v>12000</v>
      </c>
      <c r="E179" s="180">
        <v>2660567</v>
      </c>
      <c r="F179" s="180"/>
      <c r="G179" s="180"/>
      <c r="H179" s="180">
        <v>0</v>
      </c>
      <c r="I179" s="180">
        <v>0</v>
      </c>
      <c r="J179" s="180"/>
      <c r="K179" s="180">
        <v>0</v>
      </c>
      <c r="L179" s="180">
        <v>5000</v>
      </c>
      <c r="M179" s="180">
        <v>10786</v>
      </c>
      <c r="N179" s="180">
        <v>0</v>
      </c>
      <c r="O179" s="180">
        <v>929</v>
      </c>
      <c r="P179" s="180"/>
      <c r="Q179" s="180">
        <v>0</v>
      </c>
      <c r="R179" s="180">
        <v>0</v>
      </c>
      <c r="S179" s="180">
        <v>14174</v>
      </c>
      <c r="T179" s="180">
        <v>0</v>
      </c>
      <c r="U179" s="180"/>
      <c r="V179" s="180"/>
      <c r="W179" s="180"/>
      <c r="X179" s="180">
        <v>60773</v>
      </c>
      <c r="Y179" s="180">
        <v>0</v>
      </c>
      <c r="Z179" s="180">
        <v>192408</v>
      </c>
      <c r="AA179" s="180">
        <v>0</v>
      </c>
      <c r="AB179" s="180">
        <v>0</v>
      </c>
      <c r="AC179" s="180">
        <v>0</v>
      </c>
      <c r="AD179" s="180">
        <v>2132</v>
      </c>
      <c r="AE179" s="180">
        <v>1879</v>
      </c>
      <c r="AF179" s="180">
        <v>1150</v>
      </c>
      <c r="AG179" s="180">
        <v>0</v>
      </c>
      <c r="AH179" s="180">
        <v>0</v>
      </c>
      <c r="AI179" s="180">
        <v>0</v>
      </c>
      <c r="AJ179" s="180">
        <v>0</v>
      </c>
      <c r="AK179" s="180">
        <v>0</v>
      </c>
      <c r="AL179" s="180">
        <v>4604</v>
      </c>
      <c r="AM179" s="180">
        <v>1187</v>
      </c>
      <c r="AN179" s="180">
        <v>0</v>
      </c>
      <c r="AO179" s="180">
        <v>49542</v>
      </c>
      <c r="AP179" s="180">
        <v>0</v>
      </c>
      <c r="AQ179" s="180">
        <v>0</v>
      </c>
      <c r="AR179" s="180">
        <v>0</v>
      </c>
      <c r="AS179" s="180">
        <v>253520</v>
      </c>
      <c r="AT179" s="180">
        <v>0</v>
      </c>
      <c r="AU179" s="180">
        <v>0</v>
      </c>
      <c r="AV179" s="180">
        <v>0</v>
      </c>
      <c r="AW179" s="180">
        <v>0</v>
      </c>
      <c r="AX179" s="180">
        <v>0</v>
      </c>
      <c r="AY179" s="180">
        <v>0</v>
      </c>
      <c r="AZ179" s="180">
        <v>31060</v>
      </c>
      <c r="BA179" s="180">
        <v>10649</v>
      </c>
      <c r="BB179" s="180">
        <v>0</v>
      </c>
      <c r="BC179" s="180">
        <v>0</v>
      </c>
      <c r="BD179" s="180">
        <v>42846</v>
      </c>
      <c r="BE179" s="180">
        <v>0</v>
      </c>
      <c r="BF179" s="180">
        <v>38206</v>
      </c>
      <c r="BG179" s="180"/>
      <c r="BH179" s="180">
        <v>0</v>
      </c>
      <c r="BI179" s="180">
        <v>0</v>
      </c>
      <c r="BJ179" s="180">
        <v>21687</v>
      </c>
      <c r="BK179" s="180">
        <v>19000</v>
      </c>
      <c r="BL179" s="180">
        <v>41099</v>
      </c>
      <c r="BM179" s="180">
        <v>0</v>
      </c>
      <c r="BN179" s="180">
        <v>3831</v>
      </c>
      <c r="BO179" s="180">
        <v>0</v>
      </c>
      <c r="BP179" s="180"/>
      <c r="BQ179" s="180">
        <v>0</v>
      </c>
      <c r="BR179" s="180"/>
      <c r="BS179" s="180">
        <v>14000</v>
      </c>
      <c r="BT179" s="180">
        <v>3000</v>
      </c>
      <c r="BU179" s="180"/>
      <c r="BV179" s="180">
        <v>0</v>
      </c>
      <c r="BW179" s="180"/>
      <c r="BX179" s="180"/>
      <c r="BY179" s="180"/>
      <c r="BZ179" s="180"/>
      <c r="CA179" s="180"/>
      <c r="CB179" s="180"/>
      <c r="CC179" s="180"/>
      <c r="CD179" s="180"/>
      <c r="CE179" s="180"/>
      <c r="CF179" s="180"/>
      <c r="CG179" s="180"/>
      <c r="CH179" s="180"/>
      <c r="CI179" s="180"/>
      <c r="CJ179" s="180"/>
      <c r="CK179" s="180"/>
      <c r="CL179" s="180"/>
      <c r="CM179" s="180"/>
      <c r="CN179" s="180"/>
      <c r="CO179" s="180"/>
      <c r="CP179" s="180"/>
      <c r="CQ179" s="180"/>
      <c r="CR179" s="180"/>
      <c r="CS179" s="180"/>
      <c r="CT179" s="180"/>
      <c r="CU179" s="180"/>
    </row>
    <row r="180" spans="1:99" x14ac:dyDescent="0.3">
      <c r="A180" s="155">
        <v>636</v>
      </c>
      <c r="B180" s="180" t="s">
        <v>1664</v>
      </c>
      <c r="C180" s="180"/>
      <c r="D180" s="180">
        <v>0</v>
      </c>
      <c r="E180" s="180">
        <v>0</v>
      </c>
      <c r="F180" s="180"/>
      <c r="G180" s="180"/>
      <c r="H180" s="180">
        <v>0</v>
      </c>
      <c r="I180" s="180">
        <v>0</v>
      </c>
      <c r="J180" s="180"/>
      <c r="K180" s="180">
        <v>0</v>
      </c>
      <c r="L180" s="180">
        <v>0</v>
      </c>
      <c r="M180" s="180">
        <v>0</v>
      </c>
      <c r="N180" s="180">
        <v>0</v>
      </c>
      <c r="O180" s="180">
        <v>0</v>
      </c>
      <c r="P180" s="180"/>
      <c r="Q180" s="180">
        <v>0</v>
      </c>
      <c r="R180" s="180">
        <v>0</v>
      </c>
      <c r="S180" s="180">
        <v>0</v>
      </c>
      <c r="T180" s="180">
        <v>0</v>
      </c>
      <c r="U180" s="180"/>
      <c r="V180" s="180"/>
      <c r="W180" s="180"/>
      <c r="X180" s="180">
        <v>0</v>
      </c>
      <c r="Y180" s="180">
        <v>0</v>
      </c>
      <c r="Z180" s="180">
        <v>0</v>
      </c>
      <c r="AA180" s="180">
        <v>0</v>
      </c>
      <c r="AB180" s="180">
        <v>0</v>
      </c>
      <c r="AC180" s="180">
        <v>0</v>
      </c>
      <c r="AD180" s="180">
        <v>0</v>
      </c>
      <c r="AE180" s="180">
        <v>0</v>
      </c>
      <c r="AF180" s="180">
        <v>0</v>
      </c>
      <c r="AG180" s="180">
        <v>0</v>
      </c>
      <c r="AH180" s="180">
        <v>0</v>
      </c>
      <c r="AI180" s="180">
        <v>0</v>
      </c>
      <c r="AJ180" s="180">
        <v>0</v>
      </c>
      <c r="AK180" s="180">
        <v>0</v>
      </c>
      <c r="AL180" s="180">
        <v>0</v>
      </c>
      <c r="AM180" s="180">
        <v>0</v>
      </c>
      <c r="AN180" s="180">
        <v>0</v>
      </c>
      <c r="AO180" s="180">
        <v>0</v>
      </c>
      <c r="AP180" s="180">
        <v>0</v>
      </c>
      <c r="AQ180" s="180">
        <v>0</v>
      </c>
      <c r="AR180" s="180">
        <v>0</v>
      </c>
      <c r="AS180" s="180">
        <v>0</v>
      </c>
      <c r="AT180" s="180">
        <v>0</v>
      </c>
      <c r="AU180" s="180">
        <v>0</v>
      </c>
      <c r="AV180" s="180">
        <v>0</v>
      </c>
      <c r="AW180" s="180">
        <v>0</v>
      </c>
      <c r="AX180" s="180">
        <v>0</v>
      </c>
      <c r="AY180" s="180">
        <v>0</v>
      </c>
      <c r="AZ180" s="180">
        <v>0</v>
      </c>
      <c r="BA180" s="180">
        <v>0</v>
      </c>
      <c r="BB180" s="180">
        <v>0</v>
      </c>
      <c r="BC180" s="180">
        <v>0</v>
      </c>
      <c r="BD180" s="180">
        <v>0</v>
      </c>
      <c r="BE180" s="180">
        <v>0</v>
      </c>
      <c r="BF180" s="180">
        <v>0</v>
      </c>
      <c r="BG180" s="180"/>
      <c r="BH180" s="180">
        <v>0</v>
      </c>
      <c r="BI180" s="180">
        <v>0</v>
      </c>
      <c r="BJ180" s="180">
        <v>0</v>
      </c>
      <c r="BK180" s="180">
        <v>0</v>
      </c>
      <c r="BL180" s="180">
        <v>0</v>
      </c>
      <c r="BM180" s="180">
        <v>0</v>
      </c>
      <c r="BN180" s="180">
        <v>0</v>
      </c>
      <c r="BO180" s="180">
        <v>0</v>
      </c>
      <c r="BP180" s="180"/>
      <c r="BQ180" s="180">
        <v>0</v>
      </c>
      <c r="BR180" s="180"/>
      <c r="BS180" s="180">
        <v>0</v>
      </c>
      <c r="BT180" s="180">
        <v>0</v>
      </c>
      <c r="BU180" s="180"/>
      <c r="BV180" s="180">
        <v>0</v>
      </c>
      <c r="BW180" s="180"/>
      <c r="BX180" s="180"/>
      <c r="BY180" s="180"/>
      <c r="BZ180" s="180"/>
      <c r="CA180" s="180"/>
      <c r="CB180" s="180"/>
      <c r="CC180" s="180"/>
      <c r="CD180" s="180"/>
      <c r="CE180" s="180"/>
      <c r="CF180" s="180"/>
      <c r="CG180" s="180"/>
      <c r="CH180" s="180"/>
      <c r="CI180" s="180"/>
      <c r="CJ180" s="180"/>
      <c r="CK180" s="180"/>
      <c r="CL180" s="180"/>
      <c r="CM180" s="180"/>
      <c r="CN180" s="180"/>
      <c r="CO180" s="180"/>
      <c r="CP180" s="180"/>
      <c r="CQ180" s="180"/>
      <c r="CR180" s="180"/>
      <c r="CS180" s="180"/>
      <c r="CT180" s="180"/>
      <c r="CU180" s="180"/>
    </row>
    <row r="181" spans="1:99" x14ac:dyDescent="0.3">
      <c r="A181" s="155">
        <v>637</v>
      </c>
      <c r="B181" s="180" t="s">
        <v>1665</v>
      </c>
      <c r="C181" s="180"/>
      <c r="D181" s="180">
        <v>0</v>
      </c>
      <c r="E181" s="180">
        <v>39392127</v>
      </c>
      <c r="F181" s="180"/>
      <c r="G181" s="180"/>
      <c r="H181" s="180">
        <v>30330</v>
      </c>
      <c r="I181" s="180">
        <v>0</v>
      </c>
      <c r="J181" s="180"/>
      <c r="K181" s="180">
        <v>0</v>
      </c>
      <c r="L181" s="180">
        <v>0</v>
      </c>
      <c r="M181" s="180">
        <v>0</v>
      </c>
      <c r="N181" s="180">
        <v>0</v>
      </c>
      <c r="O181" s="180">
        <v>24550</v>
      </c>
      <c r="P181" s="180"/>
      <c r="Q181" s="180">
        <v>0</v>
      </c>
      <c r="R181" s="180">
        <v>0</v>
      </c>
      <c r="S181" s="180">
        <v>22427</v>
      </c>
      <c r="T181" s="180">
        <v>0</v>
      </c>
      <c r="U181" s="180"/>
      <c r="V181" s="180"/>
      <c r="W181" s="180"/>
      <c r="X181" s="180">
        <v>0</v>
      </c>
      <c r="Y181" s="180">
        <v>0</v>
      </c>
      <c r="Z181" s="180">
        <v>0</v>
      </c>
      <c r="AA181" s="180">
        <v>0</v>
      </c>
      <c r="AB181" s="180">
        <v>14175</v>
      </c>
      <c r="AC181" s="180">
        <v>72737</v>
      </c>
      <c r="AD181" s="180">
        <v>0</v>
      </c>
      <c r="AE181" s="180">
        <v>0</v>
      </c>
      <c r="AF181" s="180">
        <v>80469</v>
      </c>
      <c r="AG181" s="180">
        <v>0</v>
      </c>
      <c r="AH181" s="180">
        <v>0</v>
      </c>
      <c r="AI181" s="180">
        <v>0</v>
      </c>
      <c r="AJ181" s="180">
        <v>0</v>
      </c>
      <c r="AK181" s="180">
        <v>0</v>
      </c>
      <c r="AL181" s="180">
        <v>0</v>
      </c>
      <c r="AM181" s="180">
        <v>0</v>
      </c>
      <c r="AN181" s="180">
        <v>0</v>
      </c>
      <c r="AO181" s="180">
        <v>0</v>
      </c>
      <c r="AP181" s="180">
        <v>0</v>
      </c>
      <c r="AQ181" s="180">
        <v>0</v>
      </c>
      <c r="AR181" s="180">
        <v>0</v>
      </c>
      <c r="AS181" s="180">
        <v>0</v>
      </c>
      <c r="AT181" s="180">
        <v>101434</v>
      </c>
      <c r="AU181" s="180">
        <v>0</v>
      </c>
      <c r="AV181" s="180">
        <v>26585</v>
      </c>
      <c r="AW181" s="180">
        <v>0</v>
      </c>
      <c r="AX181" s="180">
        <v>0</v>
      </c>
      <c r="AY181" s="180">
        <v>0</v>
      </c>
      <c r="AZ181" s="180">
        <v>0</v>
      </c>
      <c r="BA181" s="180">
        <v>0</v>
      </c>
      <c r="BB181" s="180">
        <v>0</v>
      </c>
      <c r="BC181" s="180">
        <v>5935</v>
      </c>
      <c r="BD181" s="180">
        <v>150503</v>
      </c>
      <c r="BE181" s="180">
        <v>111284</v>
      </c>
      <c r="BF181" s="180">
        <v>0</v>
      </c>
      <c r="BG181" s="180"/>
      <c r="BH181" s="180">
        <v>0</v>
      </c>
      <c r="BI181" s="180">
        <v>25956</v>
      </c>
      <c r="BJ181" s="180">
        <v>0</v>
      </c>
      <c r="BK181" s="180">
        <v>0</v>
      </c>
      <c r="BL181" s="180">
        <v>81540</v>
      </c>
      <c r="BM181" s="180">
        <v>0</v>
      </c>
      <c r="BN181" s="180">
        <v>267474</v>
      </c>
      <c r="BO181" s="180">
        <v>45085</v>
      </c>
      <c r="BP181" s="180"/>
      <c r="BQ181" s="180">
        <v>0</v>
      </c>
      <c r="BR181" s="180"/>
      <c r="BS181" s="180">
        <v>0</v>
      </c>
      <c r="BT181" s="180">
        <v>0</v>
      </c>
      <c r="BU181" s="180"/>
      <c r="BV181" s="180">
        <v>0</v>
      </c>
      <c r="BW181" s="180"/>
      <c r="BX181" s="180"/>
      <c r="BY181" s="180"/>
      <c r="BZ181" s="180"/>
      <c r="CA181" s="180"/>
      <c r="CB181" s="180"/>
      <c r="CC181" s="180"/>
      <c r="CD181" s="180"/>
      <c r="CE181" s="180"/>
      <c r="CF181" s="180"/>
      <c r="CG181" s="180"/>
      <c r="CH181" s="180"/>
      <c r="CI181" s="180"/>
      <c r="CJ181" s="180"/>
      <c r="CK181" s="180"/>
      <c r="CL181" s="180"/>
      <c r="CM181" s="180"/>
      <c r="CN181" s="180"/>
      <c r="CO181" s="180"/>
      <c r="CP181" s="180"/>
      <c r="CQ181" s="180"/>
      <c r="CR181" s="180"/>
      <c r="CS181" s="180"/>
      <c r="CT181" s="180"/>
      <c r="CU181" s="180"/>
    </row>
    <row r="182" spans="1:99" x14ac:dyDescent="0.3">
      <c r="A182" s="155">
        <v>638</v>
      </c>
      <c r="B182" s="180" t="s">
        <v>1666</v>
      </c>
      <c r="C182" s="180"/>
      <c r="D182" s="180">
        <v>0</v>
      </c>
      <c r="E182" s="180">
        <v>0</v>
      </c>
      <c r="F182" s="180"/>
      <c r="G182" s="180"/>
      <c r="H182" s="180">
        <v>0</v>
      </c>
      <c r="I182" s="180">
        <v>0</v>
      </c>
      <c r="J182" s="180"/>
      <c r="K182" s="180">
        <v>0</v>
      </c>
      <c r="L182" s="180">
        <v>0</v>
      </c>
      <c r="M182" s="180">
        <v>0</v>
      </c>
      <c r="N182" s="180">
        <v>0</v>
      </c>
      <c r="O182" s="180">
        <v>0</v>
      </c>
      <c r="P182" s="180"/>
      <c r="Q182" s="180">
        <v>0</v>
      </c>
      <c r="R182" s="180">
        <v>0</v>
      </c>
      <c r="S182" s="180">
        <v>0</v>
      </c>
      <c r="T182" s="180">
        <v>0</v>
      </c>
      <c r="U182" s="180"/>
      <c r="V182" s="180"/>
      <c r="W182" s="180"/>
      <c r="X182" s="180">
        <v>0</v>
      </c>
      <c r="Y182" s="180">
        <v>0</v>
      </c>
      <c r="Z182" s="180">
        <v>0</v>
      </c>
      <c r="AA182" s="180">
        <v>0</v>
      </c>
      <c r="AB182" s="180">
        <v>0</v>
      </c>
      <c r="AC182" s="180">
        <v>0</v>
      </c>
      <c r="AD182" s="180">
        <v>0</v>
      </c>
      <c r="AE182" s="180">
        <v>0</v>
      </c>
      <c r="AF182" s="180">
        <v>0</v>
      </c>
      <c r="AG182" s="180">
        <v>0</v>
      </c>
      <c r="AH182" s="180">
        <v>0</v>
      </c>
      <c r="AI182" s="180">
        <v>0</v>
      </c>
      <c r="AJ182" s="180">
        <v>0</v>
      </c>
      <c r="AK182" s="180">
        <v>0</v>
      </c>
      <c r="AL182" s="180">
        <v>0</v>
      </c>
      <c r="AM182" s="180">
        <v>0</v>
      </c>
      <c r="AN182" s="180">
        <v>0</v>
      </c>
      <c r="AO182" s="180">
        <v>0</v>
      </c>
      <c r="AP182" s="180">
        <v>0</v>
      </c>
      <c r="AQ182" s="180">
        <v>0</v>
      </c>
      <c r="AR182" s="180">
        <v>0</v>
      </c>
      <c r="AS182" s="180">
        <v>0</v>
      </c>
      <c r="AT182" s="180">
        <v>0</v>
      </c>
      <c r="AU182" s="180">
        <v>0</v>
      </c>
      <c r="AV182" s="180">
        <v>0</v>
      </c>
      <c r="AW182" s="180">
        <v>0</v>
      </c>
      <c r="AX182" s="180">
        <v>0</v>
      </c>
      <c r="AY182" s="180">
        <v>0</v>
      </c>
      <c r="AZ182" s="180">
        <v>0</v>
      </c>
      <c r="BA182" s="180">
        <v>0</v>
      </c>
      <c r="BB182" s="180">
        <v>0</v>
      </c>
      <c r="BC182" s="180">
        <v>0</v>
      </c>
      <c r="BD182" s="180">
        <v>0</v>
      </c>
      <c r="BE182" s="180">
        <v>0</v>
      </c>
      <c r="BF182" s="180">
        <v>0</v>
      </c>
      <c r="BG182" s="180"/>
      <c r="BH182" s="180">
        <v>0</v>
      </c>
      <c r="BI182" s="180">
        <v>0</v>
      </c>
      <c r="BJ182" s="180">
        <v>0</v>
      </c>
      <c r="BK182" s="180">
        <v>0</v>
      </c>
      <c r="BL182" s="180">
        <v>0</v>
      </c>
      <c r="BM182" s="180">
        <v>0</v>
      </c>
      <c r="BN182" s="180">
        <v>0</v>
      </c>
      <c r="BO182" s="180">
        <v>0</v>
      </c>
      <c r="BP182" s="180"/>
      <c r="BQ182" s="180">
        <v>0</v>
      </c>
      <c r="BR182" s="180"/>
      <c r="BS182" s="180">
        <v>0</v>
      </c>
      <c r="BT182" s="180">
        <v>0</v>
      </c>
      <c r="BU182" s="180"/>
      <c r="BV182" s="180">
        <v>0</v>
      </c>
      <c r="BW182" s="180"/>
      <c r="BX182" s="180"/>
      <c r="BY182" s="180"/>
      <c r="BZ182" s="180"/>
      <c r="CA182" s="180"/>
      <c r="CB182" s="180"/>
      <c r="CC182" s="180"/>
      <c r="CD182" s="180"/>
      <c r="CE182" s="180"/>
      <c r="CF182" s="180"/>
      <c r="CG182" s="180"/>
      <c r="CH182" s="180"/>
      <c r="CI182" s="180"/>
      <c r="CJ182" s="180"/>
      <c r="CK182" s="180"/>
      <c r="CL182" s="180"/>
      <c r="CM182" s="180"/>
      <c r="CN182" s="180"/>
      <c r="CO182" s="180"/>
      <c r="CP182" s="180"/>
      <c r="CQ182" s="180"/>
      <c r="CR182" s="180"/>
      <c r="CS182" s="180"/>
      <c r="CT182" s="180"/>
      <c r="CU182" s="180"/>
    </row>
    <row r="183" spans="1:99" x14ac:dyDescent="0.3">
      <c r="A183" s="155">
        <v>639</v>
      </c>
      <c r="B183" s="180" t="s">
        <v>1667</v>
      </c>
      <c r="C183" s="180"/>
      <c r="D183" s="180">
        <v>0</v>
      </c>
      <c r="E183" s="180">
        <v>0</v>
      </c>
      <c r="F183" s="180"/>
      <c r="G183" s="180"/>
      <c r="H183" s="180">
        <v>0</v>
      </c>
      <c r="I183" s="180">
        <v>0</v>
      </c>
      <c r="J183" s="180"/>
      <c r="K183" s="180">
        <v>0</v>
      </c>
      <c r="L183" s="180">
        <v>500182</v>
      </c>
      <c r="M183" s="180">
        <v>0</v>
      </c>
      <c r="N183" s="180">
        <v>0</v>
      </c>
      <c r="O183" s="180">
        <v>0</v>
      </c>
      <c r="P183" s="180"/>
      <c r="Q183" s="180">
        <v>0</v>
      </c>
      <c r="R183" s="180">
        <v>0</v>
      </c>
      <c r="S183" s="180">
        <v>0</v>
      </c>
      <c r="T183" s="180">
        <v>0</v>
      </c>
      <c r="U183" s="180"/>
      <c r="V183" s="180"/>
      <c r="W183" s="180"/>
      <c r="X183" s="180">
        <v>0</v>
      </c>
      <c r="Y183" s="180">
        <v>0</v>
      </c>
      <c r="Z183" s="180">
        <v>8574366</v>
      </c>
      <c r="AA183" s="180">
        <v>0</v>
      </c>
      <c r="AB183" s="180">
        <v>0</v>
      </c>
      <c r="AC183" s="180">
        <v>0</v>
      </c>
      <c r="AD183" s="180">
        <v>0</v>
      </c>
      <c r="AE183" s="180">
        <v>0</v>
      </c>
      <c r="AF183" s="180">
        <v>0</v>
      </c>
      <c r="AG183" s="180">
        <v>0</v>
      </c>
      <c r="AH183" s="180">
        <v>0</v>
      </c>
      <c r="AI183" s="180">
        <v>0</v>
      </c>
      <c r="AJ183" s="180">
        <v>0</v>
      </c>
      <c r="AK183" s="180">
        <v>0</v>
      </c>
      <c r="AL183" s="180">
        <v>0</v>
      </c>
      <c r="AM183" s="180">
        <v>0</v>
      </c>
      <c r="AN183" s="180">
        <v>0</v>
      </c>
      <c r="AO183" s="180">
        <v>0</v>
      </c>
      <c r="AP183" s="180">
        <v>0</v>
      </c>
      <c r="AQ183" s="180">
        <v>0</v>
      </c>
      <c r="AR183" s="180">
        <v>0</v>
      </c>
      <c r="AS183" s="180">
        <v>0</v>
      </c>
      <c r="AT183" s="180">
        <v>0</v>
      </c>
      <c r="AU183" s="180">
        <v>0</v>
      </c>
      <c r="AV183" s="180">
        <v>273617</v>
      </c>
      <c r="AW183" s="180">
        <v>0</v>
      </c>
      <c r="AX183" s="180">
        <v>0</v>
      </c>
      <c r="AY183" s="180">
        <v>0</v>
      </c>
      <c r="AZ183" s="180">
        <v>814648</v>
      </c>
      <c r="BA183" s="180">
        <v>0</v>
      </c>
      <c r="BB183" s="180">
        <v>0</v>
      </c>
      <c r="BC183" s="180">
        <v>0</v>
      </c>
      <c r="BD183" s="180">
        <v>0</v>
      </c>
      <c r="BE183" s="180">
        <v>429909</v>
      </c>
      <c r="BF183" s="180">
        <v>2543853</v>
      </c>
      <c r="BG183" s="180"/>
      <c r="BH183" s="180">
        <v>0</v>
      </c>
      <c r="BI183" s="180">
        <v>0</v>
      </c>
      <c r="BJ183" s="180">
        <v>2183174</v>
      </c>
      <c r="BK183" s="180">
        <v>0</v>
      </c>
      <c r="BL183" s="180">
        <v>0</v>
      </c>
      <c r="BM183" s="180">
        <v>0</v>
      </c>
      <c r="BN183" s="180">
        <v>969722</v>
      </c>
      <c r="BO183" s="180">
        <v>0</v>
      </c>
      <c r="BP183" s="180"/>
      <c r="BQ183" s="180">
        <v>0</v>
      </c>
      <c r="BR183" s="180"/>
      <c r="BS183" s="180">
        <v>0</v>
      </c>
      <c r="BT183" s="180">
        <v>0</v>
      </c>
      <c r="BU183" s="180"/>
      <c r="BV183" s="180">
        <v>0</v>
      </c>
      <c r="BW183" s="180"/>
      <c r="BX183" s="180"/>
      <c r="BY183" s="180"/>
      <c r="BZ183" s="180"/>
      <c r="CA183" s="180"/>
      <c r="CB183" s="180"/>
      <c r="CC183" s="180"/>
      <c r="CD183" s="180"/>
      <c r="CE183" s="180"/>
      <c r="CF183" s="180"/>
      <c r="CG183" s="180"/>
      <c r="CH183" s="180"/>
      <c r="CI183" s="180"/>
      <c r="CJ183" s="180"/>
      <c r="CK183" s="180"/>
      <c r="CL183" s="180"/>
      <c r="CM183" s="180"/>
      <c r="CN183" s="180"/>
      <c r="CO183" s="180"/>
      <c r="CP183" s="180"/>
      <c r="CQ183" s="180"/>
      <c r="CR183" s="180"/>
      <c r="CS183" s="180"/>
      <c r="CT183" s="180"/>
      <c r="CU183" s="180"/>
    </row>
    <row r="184" spans="1:99" x14ac:dyDescent="0.3">
      <c r="A184" s="155">
        <v>640</v>
      </c>
      <c r="B184" s="180" t="s">
        <v>1668</v>
      </c>
      <c r="C184" s="180"/>
      <c r="D184" s="180">
        <v>0</v>
      </c>
      <c r="E184" s="180">
        <v>0</v>
      </c>
      <c r="F184" s="180"/>
      <c r="G184" s="180"/>
      <c r="H184" s="180">
        <v>0</v>
      </c>
      <c r="I184" s="180">
        <v>0</v>
      </c>
      <c r="J184" s="180"/>
      <c r="K184" s="180">
        <v>0</v>
      </c>
      <c r="L184" s="180">
        <v>0</v>
      </c>
      <c r="M184" s="180">
        <v>0</v>
      </c>
      <c r="N184" s="180">
        <v>0</v>
      </c>
      <c r="O184" s="180">
        <v>0</v>
      </c>
      <c r="P184" s="180"/>
      <c r="Q184" s="180">
        <v>0</v>
      </c>
      <c r="R184" s="180">
        <v>0</v>
      </c>
      <c r="S184" s="180">
        <v>0</v>
      </c>
      <c r="T184" s="180">
        <v>0</v>
      </c>
      <c r="U184" s="180"/>
      <c r="V184" s="180"/>
      <c r="W184" s="180"/>
      <c r="X184" s="180">
        <v>0</v>
      </c>
      <c r="Y184" s="180">
        <v>0</v>
      </c>
      <c r="Z184" s="180">
        <v>0</v>
      </c>
      <c r="AA184" s="180">
        <v>0</v>
      </c>
      <c r="AB184" s="180">
        <v>0</v>
      </c>
      <c r="AC184" s="180">
        <v>0</v>
      </c>
      <c r="AD184" s="180">
        <v>0</v>
      </c>
      <c r="AE184" s="180">
        <v>0</v>
      </c>
      <c r="AF184" s="180">
        <v>0</v>
      </c>
      <c r="AG184" s="180">
        <v>0</v>
      </c>
      <c r="AH184" s="180">
        <v>0</v>
      </c>
      <c r="AI184" s="180">
        <v>0</v>
      </c>
      <c r="AJ184" s="180">
        <v>0</v>
      </c>
      <c r="AK184" s="180">
        <v>0</v>
      </c>
      <c r="AL184" s="180">
        <v>0</v>
      </c>
      <c r="AM184" s="180">
        <v>0</v>
      </c>
      <c r="AN184" s="180">
        <v>0</v>
      </c>
      <c r="AO184" s="180">
        <v>0</v>
      </c>
      <c r="AP184" s="180">
        <v>0</v>
      </c>
      <c r="AQ184" s="180">
        <v>0</v>
      </c>
      <c r="AR184" s="180">
        <v>0</v>
      </c>
      <c r="AS184" s="180">
        <v>0</v>
      </c>
      <c r="AT184" s="180">
        <v>0</v>
      </c>
      <c r="AU184" s="180">
        <v>0</v>
      </c>
      <c r="AV184" s="180">
        <v>0</v>
      </c>
      <c r="AW184" s="180">
        <v>0</v>
      </c>
      <c r="AX184" s="180">
        <v>0</v>
      </c>
      <c r="AY184" s="180">
        <v>0</v>
      </c>
      <c r="AZ184" s="180">
        <v>0</v>
      </c>
      <c r="BA184" s="180">
        <v>0</v>
      </c>
      <c r="BB184" s="180">
        <v>0</v>
      </c>
      <c r="BC184" s="180">
        <v>0</v>
      </c>
      <c r="BD184" s="180">
        <v>0</v>
      </c>
      <c r="BE184" s="180">
        <v>0</v>
      </c>
      <c r="BF184" s="180">
        <v>0</v>
      </c>
      <c r="BG184" s="180"/>
      <c r="BH184" s="180">
        <v>0</v>
      </c>
      <c r="BI184" s="180">
        <v>0</v>
      </c>
      <c r="BJ184" s="180">
        <v>0</v>
      </c>
      <c r="BK184" s="180">
        <v>0</v>
      </c>
      <c r="BL184" s="180">
        <v>0</v>
      </c>
      <c r="BM184" s="180">
        <v>0</v>
      </c>
      <c r="BN184" s="180">
        <v>0</v>
      </c>
      <c r="BO184" s="180">
        <v>0</v>
      </c>
      <c r="BP184" s="180"/>
      <c r="BQ184" s="180">
        <v>0</v>
      </c>
      <c r="BR184" s="180"/>
      <c r="BS184" s="180">
        <v>0</v>
      </c>
      <c r="BT184" s="180">
        <v>0</v>
      </c>
      <c r="BU184" s="180"/>
      <c r="BV184" s="180">
        <v>0</v>
      </c>
      <c r="BW184" s="180"/>
      <c r="BX184" s="180"/>
      <c r="BY184" s="180"/>
      <c r="BZ184" s="180"/>
      <c r="CA184" s="180"/>
      <c r="CB184" s="180"/>
      <c r="CC184" s="180"/>
      <c r="CD184" s="180"/>
      <c r="CE184" s="180"/>
      <c r="CF184" s="180"/>
      <c r="CG184" s="180"/>
      <c r="CH184" s="180"/>
      <c r="CI184" s="180"/>
      <c r="CJ184" s="180"/>
      <c r="CK184" s="180"/>
      <c r="CL184" s="180"/>
      <c r="CM184" s="180"/>
      <c r="CN184" s="180"/>
      <c r="CO184" s="180"/>
      <c r="CP184" s="180"/>
      <c r="CQ184" s="180"/>
      <c r="CR184" s="180"/>
      <c r="CS184" s="180"/>
      <c r="CT184" s="180"/>
      <c r="CU184" s="180"/>
    </row>
    <row r="185" spans="1:99" x14ac:dyDescent="0.3">
      <c r="A185" s="155">
        <v>641</v>
      </c>
      <c r="B185" s="180" t="s">
        <v>1669</v>
      </c>
      <c r="C185" s="180"/>
      <c r="D185" s="180">
        <v>0</v>
      </c>
      <c r="E185" s="180">
        <v>0</v>
      </c>
      <c r="F185" s="180"/>
      <c r="G185" s="180"/>
      <c r="H185" s="180">
        <v>0</v>
      </c>
      <c r="I185" s="180">
        <v>0</v>
      </c>
      <c r="J185" s="180"/>
      <c r="K185" s="180">
        <v>0</v>
      </c>
      <c r="L185" s="180">
        <v>5000</v>
      </c>
      <c r="M185" s="180">
        <v>0</v>
      </c>
      <c r="N185" s="180">
        <v>0</v>
      </c>
      <c r="O185" s="180">
        <v>0</v>
      </c>
      <c r="P185" s="180"/>
      <c r="Q185" s="180">
        <v>0</v>
      </c>
      <c r="R185" s="180">
        <v>0</v>
      </c>
      <c r="S185" s="180">
        <v>0</v>
      </c>
      <c r="T185" s="180">
        <v>0</v>
      </c>
      <c r="U185" s="180"/>
      <c r="V185" s="180"/>
      <c r="W185" s="180"/>
      <c r="X185" s="180">
        <v>0</v>
      </c>
      <c r="Y185" s="180">
        <v>0</v>
      </c>
      <c r="Z185" s="180">
        <v>202005</v>
      </c>
      <c r="AA185" s="180">
        <v>0</v>
      </c>
      <c r="AB185" s="180">
        <v>0</v>
      </c>
      <c r="AC185" s="180">
        <v>0</v>
      </c>
      <c r="AD185" s="180">
        <v>0</v>
      </c>
      <c r="AE185" s="180">
        <v>0</v>
      </c>
      <c r="AF185" s="180">
        <v>0</v>
      </c>
      <c r="AG185" s="180">
        <v>0</v>
      </c>
      <c r="AH185" s="180">
        <v>0</v>
      </c>
      <c r="AI185" s="180">
        <v>0</v>
      </c>
      <c r="AJ185" s="180">
        <v>0</v>
      </c>
      <c r="AK185" s="180">
        <v>0</v>
      </c>
      <c r="AL185" s="180">
        <v>0</v>
      </c>
      <c r="AM185" s="180">
        <v>0</v>
      </c>
      <c r="AN185" s="180">
        <v>0</v>
      </c>
      <c r="AO185" s="180">
        <v>0</v>
      </c>
      <c r="AP185" s="180">
        <v>0</v>
      </c>
      <c r="AQ185" s="180">
        <v>0</v>
      </c>
      <c r="AR185" s="180">
        <v>0</v>
      </c>
      <c r="AS185" s="180">
        <v>0</v>
      </c>
      <c r="AT185" s="180">
        <v>0</v>
      </c>
      <c r="AU185" s="180">
        <v>0</v>
      </c>
      <c r="AV185" s="180">
        <v>0</v>
      </c>
      <c r="AW185" s="180">
        <v>0</v>
      </c>
      <c r="AX185" s="180">
        <v>0</v>
      </c>
      <c r="AY185" s="180">
        <v>0</v>
      </c>
      <c r="AZ185" s="180">
        <v>5527</v>
      </c>
      <c r="BA185" s="180">
        <v>0</v>
      </c>
      <c r="BB185" s="180">
        <v>0</v>
      </c>
      <c r="BC185" s="180">
        <v>0</v>
      </c>
      <c r="BD185" s="180">
        <v>0</v>
      </c>
      <c r="BE185" s="180">
        <v>0</v>
      </c>
      <c r="BF185" s="180">
        <v>16198</v>
      </c>
      <c r="BG185" s="180"/>
      <c r="BH185" s="180">
        <v>0</v>
      </c>
      <c r="BI185" s="180">
        <v>0</v>
      </c>
      <c r="BJ185" s="180">
        <v>24081</v>
      </c>
      <c r="BK185" s="180">
        <v>0</v>
      </c>
      <c r="BL185" s="180">
        <v>0</v>
      </c>
      <c r="BM185" s="180">
        <v>0</v>
      </c>
      <c r="BN185" s="180">
        <v>2102</v>
      </c>
      <c r="BO185" s="180">
        <v>0</v>
      </c>
      <c r="BP185" s="180"/>
      <c r="BQ185" s="180">
        <v>0</v>
      </c>
      <c r="BR185" s="180"/>
      <c r="BS185" s="180">
        <v>0</v>
      </c>
      <c r="BT185" s="180">
        <v>0</v>
      </c>
      <c r="BU185" s="180"/>
      <c r="BV185" s="180">
        <v>0</v>
      </c>
      <c r="BW185" s="180"/>
      <c r="BX185" s="180"/>
      <c r="BY185" s="180"/>
      <c r="BZ185" s="180"/>
      <c r="CA185" s="180"/>
      <c r="CB185" s="180"/>
      <c r="CC185" s="180"/>
      <c r="CD185" s="180"/>
      <c r="CE185" s="180"/>
      <c r="CF185" s="180"/>
      <c r="CG185" s="180"/>
      <c r="CH185" s="180"/>
      <c r="CI185" s="180"/>
      <c r="CJ185" s="180"/>
      <c r="CK185" s="180"/>
      <c r="CL185" s="180"/>
      <c r="CM185" s="180"/>
      <c r="CN185" s="180"/>
      <c r="CO185" s="180"/>
      <c r="CP185" s="180"/>
      <c r="CQ185" s="180"/>
      <c r="CR185" s="180"/>
      <c r="CS185" s="180"/>
      <c r="CT185" s="180"/>
      <c r="CU185" s="180"/>
    </row>
    <row r="186" spans="1:99" x14ac:dyDescent="0.3">
      <c r="A186" s="155">
        <v>642</v>
      </c>
      <c r="B186" s="180" t="s">
        <v>1670</v>
      </c>
      <c r="C186" s="180"/>
      <c r="D186" s="180">
        <v>0</v>
      </c>
      <c r="E186" s="180">
        <v>0</v>
      </c>
      <c r="F186" s="180"/>
      <c r="G186" s="180"/>
      <c r="H186" s="180">
        <v>0</v>
      </c>
      <c r="I186" s="180">
        <v>0</v>
      </c>
      <c r="J186" s="180"/>
      <c r="K186" s="180">
        <v>0</v>
      </c>
      <c r="L186" s="180">
        <v>0</v>
      </c>
      <c r="M186" s="180">
        <v>0</v>
      </c>
      <c r="N186" s="180">
        <v>0</v>
      </c>
      <c r="O186" s="180">
        <v>0</v>
      </c>
      <c r="P186" s="180"/>
      <c r="Q186" s="180">
        <v>0</v>
      </c>
      <c r="R186" s="180">
        <v>0</v>
      </c>
      <c r="S186" s="180">
        <v>0</v>
      </c>
      <c r="T186" s="180">
        <v>0</v>
      </c>
      <c r="U186" s="180"/>
      <c r="V186" s="180"/>
      <c r="W186" s="180"/>
      <c r="X186" s="180">
        <v>0</v>
      </c>
      <c r="Y186" s="180">
        <v>0</v>
      </c>
      <c r="Z186" s="180">
        <v>0</v>
      </c>
      <c r="AA186" s="180">
        <v>0</v>
      </c>
      <c r="AB186" s="180">
        <v>0</v>
      </c>
      <c r="AC186" s="180">
        <v>0</v>
      </c>
      <c r="AD186" s="180">
        <v>0</v>
      </c>
      <c r="AE186" s="180">
        <v>0</v>
      </c>
      <c r="AF186" s="180">
        <v>0</v>
      </c>
      <c r="AG186" s="180">
        <v>0</v>
      </c>
      <c r="AH186" s="180">
        <v>0</v>
      </c>
      <c r="AI186" s="180">
        <v>0</v>
      </c>
      <c r="AJ186" s="180">
        <v>0</v>
      </c>
      <c r="AK186" s="180">
        <v>0</v>
      </c>
      <c r="AL186" s="180">
        <v>0</v>
      </c>
      <c r="AM186" s="180">
        <v>0</v>
      </c>
      <c r="AN186" s="180">
        <v>0</v>
      </c>
      <c r="AO186" s="180">
        <v>0</v>
      </c>
      <c r="AP186" s="180">
        <v>0</v>
      </c>
      <c r="AQ186" s="180">
        <v>0</v>
      </c>
      <c r="AR186" s="180">
        <v>0</v>
      </c>
      <c r="AS186" s="180">
        <v>0</v>
      </c>
      <c r="AT186" s="180">
        <v>0</v>
      </c>
      <c r="AU186" s="180">
        <v>0</v>
      </c>
      <c r="AV186" s="180">
        <v>0</v>
      </c>
      <c r="AW186" s="180">
        <v>0</v>
      </c>
      <c r="AX186" s="180">
        <v>0</v>
      </c>
      <c r="AY186" s="180">
        <v>0</v>
      </c>
      <c r="AZ186" s="180">
        <v>0</v>
      </c>
      <c r="BA186" s="180">
        <v>0</v>
      </c>
      <c r="BB186" s="180">
        <v>0</v>
      </c>
      <c r="BC186" s="180">
        <v>0</v>
      </c>
      <c r="BD186" s="180">
        <v>0</v>
      </c>
      <c r="BE186" s="180">
        <v>0</v>
      </c>
      <c r="BF186" s="180">
        <v>0</v>
      </c>
      <c r="BG186" s="180"/>
      <c r="BH186" s="180">
        <v>0</v>
      </c>
      <c r="BI186" s="180">
        <v>0</v>
      </c>
      <c r="BJ186" s="180">
        <v>0</v>
      </c>
      <c r="BK186" s="180">
        <v>0</v>
      </c>
      <c r="BL186" s="180">
        <v>0</v>
      </c>
      <c r="BM186" s="180">
        <v>0</v>
      </c>
      <c r="BN186" s="180">
        <v>0</v>
      </c>
      <c r="BO186" s="180">
        <v>0</v>
      </c>
      <c r="BP186" s="180"/>
      <c r="BQ186" s="180">
        <v>0</v>
      </c>
      <c r="BR186" s="180"/>
      <c r="BS186" s="180">
        <v>0</v>
      </c>
      <c r="BT186" s="180">
        <v>0</v>
      </c>
      <c r="BU186" s="180"/>
      <c r="BV186" s="180">
        <v>0</v>
      </c>
      <c r="BW186" s="180"/>
      <c r="BX186" s="180"/>
      <c r="BY186" s="180"/>
      <c r="BZ186" s="180"/>
      <c r="CA186" s="180"/>
      <c r="CB186" s="180"/>
      <c r="CC186" s="180"/>
      <c r="CD186" s="180"/>
      <c r="CE186" s="180"/>
      <c r="CF186" s="180"/>
      <c r="CG186" s="180"/>
      <c r="CH186" s="180"/>
      <c r="CI186" s="180"/>
      <c r="CJ186" s="180"/>
      <c r="CK186" s="180"/>
      <c r="CL186" s="180"/>
      <c r="CM186" s="180"/>
      <c r="CN186" s="180"/>
      <c r="CO186" s="180"/>
      <c r="CP186" s="180"/>
      <c r="CQ186" s="180"/>
      <c r="CR186" s="180"/>
      <c r="CS186" s="180"/>
      <c r="CT186" s="180"/>
      <c r="CU186" s="180"/>
    </row>
    <row r="187" spans="1:99" x14ac:dyDescent="0.3">
      <c r="A187" s="155">
        <v>643</v>
      </c>
      <c r="B187" s="180" t="s">
        <v>1671</v>
      </c>
      <c r="C187" s="180"/>
      <c r="D187" s="180">
        <v>0</v>
      </c>
      <c r="E187" s="180">
        <v>0</v>
      </c>
      <c r="F187" s="180"/>
      <c r="G187" s="180"/>
      <c r="H187" s="180">
        <v>0</v>
      </c>
      <c r="I187" s="180">
        <v>0</v>
      </c>
      <c r="J187" s="180"/>
      <c r="K187" s="180">
        <v>0</v>
      </c>
      <c r="L187" s="180">
        <v>0</v>
      </c>
      <c r="M187" s="180">
        <v>0</v>
      </c>
      <c r="N187" s="180">
        <v>0</v>
      </c>
      <c r="O187" s="180">
        <v>0</v>
      </c>
      <c r="P187" s="180"/>
      <c r="Q187" s="180">
        <v>0</v>
      </c>
      <c r="R187" s="180">
        <v>0</v>
      </c>
      <c r="S187" s="180">
        <v>0</v>
      </c>
      <c r="T187" s="180">
        <v>0</v>
      </c>
      <c r="U187" s="180"/>
      <c r="V187" s="180"/>
      <c r="W187" s="180"/>
      <c r="X187" s="180">
        <v>0</v>
      </c>
      <c r="Y187" s="180">
        <v>0</v>
      </c>
      <c r="Z187" s="180">
        <v>0</v>
      </c>
      <c r="AA187" s="180">
        <v>0</v>
      </c>
      <c r="AB187" s="180">
        <v>0</v>
      </c>
      <c r="AC187" s="180">
        <v>0</v>
      </c>
      <c r="AD187" s="180">
        <v>0</v>
      </c>
      <c r="AE187" s="180">
        <v>0</v>
      </c>
      <c r="AF187" s="180">
        <v>0</v>
      </c>
      <c r="AG187" s="180">
        <v>0</v>
      </c>
      <c r="AH187" s="180">
        <v>0</v>
      </c>
      <c r="AI187" s="180">
        <v>0</v>
      </c>
      <c r="AJ187" s="180">
        <v>0</v>
      </c>
      <c r="AK187" s="180">
        <v>0</v>
      </c>
      <c r="AL187" s="180">
        <v>0</v>
      </c>
      <c r="AM187" s="180">
        <v>0</v>
      </c>
      <c r="AN187" s="180">
        <v>0</v>
      </c>
      <c r="AO187" s="180">
        <v>0</v>
      </c>
      <c r="AP187" s="180">
        <v>0</v>
      </c>
      <c r="AQ187" s="180">
        <v>0</v>
      </c>
      <c r="AR187" s="180">
        <v>0</v>
      </c>
      <c r="AS187" s="180">
        <v>0</v>
      </c>
      <c r="AT187" s="180">
        <v>0</v>
      </c>
      <c r="AU187" s="180">
        <v>0</v>
      </c>
      <c r="AV187" s="180">
        <v>0</v>
      </c>
      <c r="AW187" s="180">
        <v>0</v>
      </c>
      <c r="AX187" s="180">
        <v>0</v>
      </c>
      <c r="AY187" s="180">
        <v>0</v>
      </c>
      <c r="AZ187" s="180">
        <v>0</v>
      </c>
      <c r="BA187" s="180">
        <v>0</v>
      </c>
      <c r="BB187" s="180">
        <v>0</v>
      </c>
      <c r="BC187" s="180">
        <v>0</v>
      </c>
      <c r="BD187" s="180">
        <v>0</v>
      </c>
      <c r="BE187" s="180">
        <v>201608</v>
      </c>
      <c r="BF187" s="180">
        <v>548122</v>
      </c>
      <c r="BG187" s="180"/>
      <c r="BH187" s="180">
        <v>0</v>
      </c>
      <c r="BI187" s="180">
        <v>0</v>
      </c>
      <c r="BJ187" s="180">
        <v>0</v>
      </c>
      <c r="BK187" s="180">
        <v>0</v>
      </c>
      <c r="BL187" s="180">
        <v>0</v>
      </c>
      <c r="BM187" s="180">
        <v>0</v>
      </c>
      <c r="BN187" s="180">
        <v>142102</v>
      </c>
      <c r="BO187" s="180">
        <v>0</v>
      </c>
      <c r="BP187" s="180"/>
      <c r="BQ187" s="180">
        <v>0</v>
      </c>
      <c r="BR187" s="180"/>
      <c r="BS187" s="180">
        <v>0</v>
      </c>
      <c r="BT187" s="180">
        <v>0</v>
      </c>
      <c r="BU187" s="180"/>
      <c r="BV187" s="180">
        <v>0</v>
      </c>
      <c r="BW187" s="180"/>
      <c r="BX187" s="180"/>
      <c r="BY187" s="180"/>
      <c r="BZ187" s="180"/>
      <c r="CA187" s="180"/>
      <c r="CB187" s="180"/>
      <c r="CC187" s="180"/>
      <c r="CD187" s="180"/>
      <c r="CE187" s="180"/>
      <c r="CF187" s="180"/>
      <c r="CG187" s="180"/>
      <c r="CH187" s="180"/>
      <c r="CI187" s="180"/>
      <c r="CJ187" s="180"/>
      <c r="CK187" s="180"/>
      <c r="CL187" s="180"/>
      <c r="CM187" s="180"/>
      <c r="CN187" s="180"/>
      <c r="CO187" s="180"/>
      <c r="CP187" s="180"/>
      <c r="CQ187" s="180"/>
      <c r="CR187" s="180"/>
      <c r="CS187" s="180"/>
      <c r="CT187" s="180"/>
      <c r="CU187" s="180"/>
    </row>
    <row r="188" spans="1:99" x14ac:dyDescent="0.3">
      <c r="A188" s="155">
        <v>644</v>
      </c>
      <c r="B188" s="180" t="s">
        <v>1672</v>
      </c>
      <c r="C188" s="180"/>
      <c r="D188" s="180">
        <v>0</v>
      </c>
      <c r="E188" s="180">
        <v>0</v>
      </c>
      <c r="F188" s="180"/>
      <c r="G188" s="180"/>
      <c r="H188" s="180">
        <v>0</v>
      </c>
      <c r="I188" s="180">
        <v>0</v>
      </c>
      <c r="J188" s="180"/>
      <c r="K188" s="180">
        <v>0</v>
      </c>
      <c r="L188" s="180">
        <v>0</v>
      </c>
      <c r="M188" s="180">
        <v>0</v>
      </c>
      <c r="N188" s="180">
        <v>0</v>
      </c>
      <c r="O188" s="180">
        <v>0</v>
      </c>
      <c r="P188" s="180"/>
      <c r="Q188" s="180">
        <v>0</v>
      </c>
      <c r="R188" s="180">
        <v>0</v>
      </c>
      <c r="S188" s="180">
        <v>0</v>
      </c>
      <c r="T188" s="180">
        <v>0</v>
      </c>
      <c r="U188" s="180"/>
      <c r="V188" s="180"/>
      <c r="W188" s="180"/>
      <c r="X188" s="180">
        <v>0</v>
      </c>
      <c r="Y188" s="180">
        <v>0</v>
      </c>
      <c r="Z188" s="180">
        <v>0</v>
      </c>
      <c r="AA188" s="180">
        <v>0</v>
      </c>
      <c r="AB188" s="180">
        <v>0</v>
      </c>
      <c r="AC188" s="180">
        <v>0</v>
      </c>
      <c r="AD188" s="180">
        <v>0</v>
      </c>
      <c r="AE188" s="180">
        <v>0</v>
      </c>
      <c r="AF188" s="180">
        <v>0</v>
      </c>
      <c r="AG188" s="180">
        <v>0</v>
      </c>
      <c r="AH188" s="180">
        <v>0</v>
      </c>
      <c r="AI188" s="180">
        <v>0</v>
      </c>
      <c r="AJ188" s="180">
        <v>0</v>
      </c>
      <c r="AK188" s="180">
        <v>0</v>
      </c>
      <c r="AL188" s="180">
        <v>0</v>
      </c>
      <c r="AM188" s="180">
        <v>0</v>
      </c>
      <c r="AN188" s="180">
        <v>0</v>
      </c>
      <c r="AO188" s="180">
        <v>0</v>
      </c>
      <c r="AP188" s="180">
        <v>0</v>
      </c>
      <c r="AQ188" s="180">
        <v>0</v>
      </c>
      <c r="AR188" s="180">
        <v>0</v>
      </c>
      <c r="AS188" s="180">
        <v>0</v>
      </c>
      <c r="AT188" s="180">
        <v>0</v>
      </c>
      <c r="AU188" s="180">
        <v>0</v>
      </c>
      <c r="AV188" s="180">
        <v>0</v>
      </c>
      <c r="AW188" s="180">
        <v>0</v>
      </c>
      <c r="AX188" s="180">
        <v>0</v>
      </c>
      <c r="AY188" s="180">
        <v>0</v>
      </c>
      <c r="AZ188" s="180">
        <v>0</v>
      </c>
      <c r="BA188" s="180">
        <v>0</v>
      </c>
      <c r="BB188" s="180">
        <v>0</v>
      </c>
      <c r="BC188" s="180">
        <v>0</v>
      </c>
      <c r="BD188" s="180">
        <v>0</v>
      </c>
      <c r="BE188" s="180">
        <v>0</v>
      </c>
      <c r="BF188" s="180">
        <v>0</v>
      </c>
      <c r="BG188" s="180"/>
      <c r="BH188" s="180">
        <v>0</v>
      </c>
      <c r="BI188" s="180">
        <v>0</v>
      </c>
      <c r="BJ188" s="180">
        <v>0</v>
      </c>
      <c r="BK188" s="180">
        <v>0</v>
      </c>
      <c r="BL188" s="180">
        <v>0</v>
      </c>
      <c r="BM188" s="180">
        <v>0</v>
      </c>
      <c r="BN188" s="180">
        <v>0</v>
      </c>
      <c r="BO188" s="180">
        <v>0</v>
      </c>
      <c r="BP188" s="180"/>
      <c r="BQ188" s="180">
        <v>0</v>
      </c>
      <c r="BR188" s="180"/>
      <c r="BS188" s="180">
        <v>0</v>
      </c>
      <c r="BT188" s="180">
        <v>0</v>
      </c>
      <c r="BU188" s="180"/>
      <c r="BV188" s="180">
        <v>0</v>
      </c>
      <c r="BW188" s="180"/>
      <c r="BX188" s="180"/>
      <c r="BY188" s="180"/>
      <c r="BZ188" s="180"/>
      <c r="CA188" s="180"/>
      <c r="CB188" s="180"/>
      <c r="CC188" s="180"/>
      <c r="CD188" s="180"/>
      <c r="CE188" s="180"/>
      <c r="CF188" s="180"/>
      <c r="CG188" s="180"/>
      <c r="CH188" s="180"/>
      <c r="CI188" s="180"/>
      <c r="CJ188" s="180"/>
      <c r="CK188" s="180"/>
      <c r="CL188" s="180"/>
      <c r="CM188" s="180"/>
      <c r="CN188" s="180"/>
      <c r="CO188" s="180"/>
      <c r="CP188" s="180"/>
      <c r="CQ188" s="180"/>
      <c r="CR188" s="180"/>
      <c r="CS188" s="180"/>
      <c r="CT188" s="180"/>
      <c r="CU188" s="180"/>
    </row>
    <row r="189" spans="1:99" s="562" customFormat="1" x14ac:dyDescent="0.3">
      <c r="A189" s="561">
        <v>645</v>
      </c>
      <c r="B189" s="562" t="s">
        <v>386</v>
      </c>
      <c r="D189" s="562">
        <v>0</v>
      </c>
      <c r="E189" s="562">
        <v>224547055</v>
      </c>
      <c r="H189" s="562">
        <v>0</v>
      </c>
      <c r="I189" s="562">
        <v>0</v>
      </c>
      <c r="K189" s="562">
        <v>0</v>
      </c>
      <c r="L189" s="562">
        <v>0</v>
      </c>
      <c r="M189" s="562">
        <v>0</v>
      </c>
      <c r="N189" s="562">
        <v>0</v>
      </c>
      <c r="O189" s="562">
        <v>0</v>
      </c>
      <c r="Q189" s="562">
        <v>87061</v>
      </c>
      <c r="R189" s="562">
        <v>0</v>
      </c>
      <c r="S189" s="562">
        <v>222803</v>
      </c>
      <c r="T189" s="562">
        <v>1283454</v>
      </c>
      <c r="X189" s="562">
        <v>602900</v>
      </c>
      <c r="Y189" s="562">
        <v>20000</v>
      </c>
      <c r="Z189" s="562">
        <v>3700000</v>
      </c>
      <c r="AA189" s="562">
        <v>793000</v>
      </c>
      <c r="AB189" s="562">
        <v>0</v>
      </c>
      <c r="AC189" s="562">
        <v>0</v>
      </c>
      <c r="AD189" s="562">
        <v>0</v>
      </c>
      <c r="AE189" s="562">
        <v>0</v>
      </c>
      <c r="AF189" s="562">
        <v>0</v>
      </c>
      <c r="AG189" s="562">
        <v>0</v>
      </c>
      <c r="AH189" s="562">
        <v>0</v>
      </c>
      <c r="AI189" s="562">
        <v>0</v>
      </c>
      <c r="AJ189" s="562">
        <v>147849</v>
      </c>
      <c r="AK189" s="562">
        <v>15023</v>
      </c>
      <c r="AL189" s="562">
        <v>99050</v>
      </c>
      <c r="AM189" s="562">
        <v>504600</v>
      </c>
      <c r="AN189" s="562">
        <v>0</v>
      </c>
      <c r="AO189" s="562">
        <v>3134443</v>
      </c>
      <c r="AP189" s="562">
        <v>0</v>
      </c>
      <c r="AQ189" s="562">
        <v>23</v>
      </c>
      <c r="AR189" s="562">
        <v>0</v>
      </c>
      <c r="AS189" s="562">
        <v>1831642</v>
      </c>
      <c r="AT189" s="562">
        <v>75000</v>
      </c>
      <c r="AU189" s="562">
        <v>0</v>
      </c>
      <c r="AV189" s="562">
        <v>0</v>
      </c>
      <c r="AW189" s="562">
        <v>0</v>
      </c>
      <c r="AX189" s="562">
        <v>0</v>
      </c>
      <c r="AY189" s="562">
        <v>0</v>
      </c>
      <c r="AZ189" s="562">
        <v>479255</v>
      </c>
      <c r="BA189" s="562">
        <v>120888</v>
      </c>
      <c r="BB189" s="562">
        <v>15098</v>
      </c>
      <c r="BC189" s="562">
        <v>0</v>
      </c>
      <c r="BD189" s="562">
        <v>0</v>
      </c>
      <c r="BE189" s="562">
        <v>0</v>
      </c>
      <c r="BF189" s="562">
        <v>92834</v>
      </c>
      <c r="BH189" s="562">
        <v>0</v>
      </c>
      <c r="BI189" s="562">
        <v>58800</v>
      </c>
      <c r="BJ189" s="562">
        <v>202788</v>
      </c>
      <c r="BK189" s="562">
        <v>0</v>
      </c>
      <c r="BL189" s="562">
        <v>3856359</v>
      </c>
      <c r="BM189" s="562">
        <v>365309</v>
      </c>
      <c r="BN189" s="562">
        <v>0</v>
      </c>
      <c r="BO189" s="562">
        <v>100000</v>
      </c>
      <c r="BQ189" s="562">
        <v>190259</v>
      </c>
      <c r="BS189" s="562">
        <v>1037680</v>
      </c>
      <c r="BT189" s="562">
        <v>585172</v>
      </c>
      <c r="BV189" s="562">
        <v>650650</v>
      </c>
    </row>
    <row r="190" spans="1:99" s="562" customFormat="1" x14ac:dyDescent="0.3">
      <c r="A190" s="561">
        <v>646</v>
      </c>
      <c r="B190" s="562" t="s">
        <v>361</v>
      </c>
      <c r="D190" s="562">
        <v>8443630</v>
      </c>
      <c r="E190" s="562">
        <v>107715422</v>
      </c>
      <c r="H190" s="562">
        <v>1597198</v>
      </c>
      <c r="I190" s="562">
        <v>74302</v>
      </c>
      <c r="K190" s="562">
        <v>0</v>
      </c>
      <c r="L190" s="562">
        <v>1754810</v>
      </c>
      <c r="M190" s="562">
        <v>6599030</v>
      </c>
      <c r="N190" s="562">
        <v>842044</v>
      </c>
      <c r="O190" s="562">
        <v>1166279</v>
      </c>
      <c r="Q190" s="562">
        <v>683827</v>
      </c>
      <c r="R190" s="562">
        <v>1200023</v>
      </c>
      <c r="S190" s="562">
        <v>979555</v>
      </c>
      <c r="T190" s="562">
        <v>5152010</v>
      </c>
      <c r="X190" s="562">
        <v>4240853</v>
      </c>
      <c r="Y190" s="562">
        <v>1700844</v>
      </c>
      <c r="Z190" s="562">
        <v>20542970</v>
      </c>
      <c r="AA190" s="562">
        <v>7082449</v>
      </c>
      <c r="AB190" s="562">
        <v>224181</v>
      </c>
      <c r="AC190" s="562">
        <v>521974</v>
      </c>
      <c r="AD190" s="562">
        <v>1009257</v>
      </c>
      <c r="AE190" s="562">
        <v>2188234</v>
      </c>
      <c r="AF190" s="562">
        <v>459880</v>
      </c>
      <c r="AG190" s="562">
        <v>265503</v>
      </c>
      <c r="AH190" s="562">
        <v>1596052</v>
      </c>
      <c r="AI190" s="562">
        <v>292298</v>
      </c>
      <c r="AJ190" s="562">
        <v>3368191</v>
      </c>
      <c r="AK190" s="562">
        <v>621570</v>
      </c>
      <c r="AL190" s="562">
        <v>708711</v>
      </c>
      <c r="AM190" s="562">
        <v>1201492</v>
      </c>
      <c r="AN190" s="562">
        <v>674068</v>
      </c>
      <c r="AO190" s="562">
        <v>12734112</v>
      </c>
      <c r="AP190" s="562">
        <v>1389153</v>
      </c>
      <c r="AQ190" s="562">
        <v>686944</v>
      </c>
      <c r="AR190" s="562">
        <v>690115</v>
      </c>
      <c r="AS190" s="562">
        <v>16283077</v>
      </c>
      <c r="AT190" s="562">
        <v>311060</v>
      </c>
      <c r="AU190" s="562">
        <v>6287340</v>
      </c>
      <c r="AV190" s="562">
        <v>875079</v>
      </c>
      <c r="AW190" s="562">
        <v>418816</v>
      </c>
      <c r="AX190" s="562">
        <v>110695</v>
      </c>
      <c r="AY190" s="562">
        <v>479542</v>
      </c>
      <c r="AZ190" s="562">
        <v>4194633</v>
      </c>
      <c r="BA190" s="562">
        <v>1014902</v>
      </c>
      <c r="BB190" s="562">
        <v>151615</v>
      </c>
      <c r="BC190" s="562">
        <v>1396400</v>
      </c>
      <c r="BD190" s="562">
        <v>0</v>
      </c>
      <c r="BE190" s="562">
        <v>1039928</v>
      </c>
      <c r="BF190" s="562">
        <v>8491108</v>
      </c>
      <c r="BH190" s="562">
        <v>275335</v>
      </c>
      <c r="BI190" s="562">
        <v>400810</v>
      </c>
      <c r="BJ190" s="562">
        <v>11389754</v>
      </c>
      <c r="BK190" s="562">
        <v>1521223</v>
      </c>
      <c r="BL190" s="562">
        <v>8411276</v>
      </c>
      <c r="BM190" s="562">
        <v>6557121</v>
      </c>
      <c r="BN190" s="562">
        <v>6154275</v>
      </c>
      <c r="BO190" s="562">
        <v>2633650</v>
      </c>
      <c r="BQ190" s="562">
        <v>2140008</v>
      </c>
      <c r="BS190" s="562">
        <v>810426</v>
      </c>
      <c r="BT190" s="562">
        <v>1208138</v>
      </c>
      <c r="BV190" s="562">
        <v>3612930</v>
      </c>
    </row>
    <row r="191" spans="1:99" x14ac:dyDescent="0.3">
      <c r="A191" s="155">
        <v>647</v>
      </c>
      <c r="B191" s="180" t="s">
        <v>968</v>
      </c>
      <c r="C191" s="180"/>
      <c r="D191" s="180">
        <v>0</v>
      </c>
      <c r="E191" s="180">
        <v>157121719</v>
      </c>
      <c r="F191" s="180"/>
      <c r="G191" s="180"/>
      <c r="H191" s="180">
        <v>0</v>
      </c>
      <c r="I191" s="180">
        <v>0</v>
      </c>
      <c r="J191" s="180"/>
      <c r="K191" s="180">
        <v>0</v>
      </c>
      <c r="L191" s="180">
        <v>0</v>
      </c>
      <c r="M191" s="180">
        <v>0</v>
      </c>
      <c r="N191" s="180">
        <v>0</v>
      </c>
      <c r="O191" s="180">
        <v>0</v>
      </c>
      <c r="P191" s="180"/>
      <c r="Q191" s="180">
        <v>0</v>
      </c>
      <c r="R191" s="180">
        <v>0</v>
      </c>
      <c r="S191" s="180">
        <v>0</v>
      </c>
      <c r="T191" s="180">
        <v>0</v>
      </c>
      <c r="U191" s="180"/>
      <c r="V191" s="180"/>
      <c r="W191" s="180"/>
      <c r="X191" s="180">
        <v>0</v>
      </c>
      <c r="Y191" s="180">
        <v>0</v>
      </c>
      <c r="Z191" s="180">
        <v>0</v>
      </c>
      <c r="AA191" s="180">
        <v>0</v>
      </c>
      <c r="AB191" s="180">
        <v>0</v>
      </c>
      <c r="AC191" s="180">
        <v>0</v>
      </c>
      <c r="AD191" s="180">
        <v>0</v>
      </c>
      <c r="AE191" s="180">
        <v>0</v>
      </c>
      <c r="AF191" s="180">
        <v>0</v>
      </c>
      <c r="AG191" s="180">
        <v>0</v>
      </c>
      <c r="AH191" s="180">
        <v>0</v>
      </c>
      <c r="AI191" s="180">
        <v>0</v>
      </c>
      <c r="AJ191" s="180">
        <v>0</v>
      </c>
      <c r="AK191" s="180">
        <v>0</v>
      </c>
      <c r="AL191" s="180">
        <v>0</v>
      </c>
      <c r="AM191" s="180">
        <v>0</v>
      </c>
      <c r="AN191" s="180">
        <v>0</v>
      </c>
      <c r="AO191" s="180">
        <v>0</v>
      </c>
      <c r="AP191" s="180">
        <v>0</v>
      </c>
      <c r="AQ191" s="180">
        <v>0</v>
      </c>
      <c r="AR191" s="180">
        <v>0</v>
      </c>
      <c r="AS191" s="180">
        <v>0</v>
      </c>
      <c r="AT191" s="180">
        <v>0</v>
      </c>
      <c r="AU191" s="180">
        <v>0</v>
      </c>
      <c r="AV191" s="180">
        <v>0</v>
      </c>
      <c r="AW191" s="180">
        <v>0</v>
      </c>
      <c r="AX191" s="180">
        <v>0</v>
      </c>
      <c r="AY191" s="180">
        <v>0</v>
      </c>
      <c r="AZ191" s="180">
        <v>0</v>
      </c>
      <c r="BA191" s="180">
        <v>0</v>
      </c>
      <c r="BB191" s="180">
        <v>0</v>
      </c>
      <c r="BC191" s="180">
        <v>0</v>
      </c>
      <c r="BD191" s="180">
        <v>0</v>
      </c>
      <c r="BE191" s="180">
        <v>0</v>
      </c>
      <c r="BF191" s="180">
        <v>0</v>
      </c>
      <c r="BG191" s="180"/>
      <c r="BH191" s="180">
        <v>0</v>
      </c>
      <c r="BI191" s="180">
        <v>0</v>
      </c>
      <c r="BJ191" s="180">
        <v>0</v>
      </c>
      <c r="BK191" s="180">
        <v>0</v>
      </c>
      <c r="BL191" s="180">
        <v>0</v>
      </c>
      <c r="BM191" s="180">
        <v>0</v>
      </c>
      <c r="BN191" s="180">
        <v>0</v>
      </c>
      <c r="BO191" s="180">
        <v>0</v>
      </c>
      <c r="BP191" s="180"/>
      <c r="BQ191" s="180">
        <v>0</v>
      </c>
      <c r="BR191" s="180"/>
      <c r="BS191" s="180">
        <v>0</v>
      </c>
      <c r="BT191" s="180">
        <v>0</v>
      </c>
      <c r="BU191" s="180"/>
      <c r="BV191" s="180">
        <v>0</v>
      </c>
      <c r="BW191" s="180"/>
      <c r="BX191" s="180"/>
      <c r="BY191" s="180"/>
      <c r="BZ191" s="180"/>
      <c r="CA191" s="180"/>
      <c r="CB191" s="180"/>
      <c r="CC191" s="180"/>
      <c r="CD191" s="180"/>
      <c r="CE191" s="180"/>
      <c r="CF191" s="180"/>
      <c r="CG191" s="180"/>
      <c r="CH191" s="180"/>
      <c r="CI191" s="180"/>
      <c r="CJ191" s="180"/>
      <c r="CK191" s="180"/>
      <c r="CL191" s="180"/>
      <c r="CM191" s="180"/>
      <c r="CN191" s="180"/>
      <c r="CO191" s="180"/>
      <c r="CP191" s="180"/>
      <c r="CQ191" s="180"/>
      <c r="CR191" s="180"/>
      <c r="CS191" s="180"/>
      <c r="CT191" s="180"/>
      <c r="CU191" s="180"/>
    </row>
    <row r="192" spans="1:99" x14ac:dyDescent="0.3">
      <c r="A192" s="155">
        <v>648</v>
      </c>
      <c r="B192" s="180" t="s">
        <v>608</v>
      </c>
      <c r="C192" s="180"/>
      <c r="D192" s="180">
        <v>0.48</v>
      </c>
      <c r="E192" s="180">
        <v>0.373</v>
      </c>
      <c r="F192" s="180"/>
      <c r="G192" s="180"/>
      <c r="H192" s="180">
        <v>0.5</v>
      </c>
      <c r="I192" s="180">
        <v>5.0000000000000001E-3</v>
      </c>
      <c r="J192" s="180"/>
      <c r="K192" s="180">
        <v>0</v>
      </c>
      <c r="L192" s="180">
        <v>0.64</v>
      </c>
      <c r="M192" s="180">
        <v>7.4000000000000003E-3</v>
      </c>
      <c r="N192" s="180">
        <v>1E-3</v>
      </c>
      <c r="O192" s="180">
        <v>0.55000000000000004</v>
      </c>
      <c r="P192" s="180"/>
      <c r="Q192" s="180">
        <v>0.22</v>
      </c>
      <c r="R192" s="180">
        <v>0.4</v>
      </c>
      <c r="S192" s="180">
        <v>0.26</v>
      </c>
      <c r="T192" s="180">
        <v>0.66100000000000003</v>
      </c>
      <c r="U192" s="180"/>
      <c r="V192" s="180"/>
      <c r="W192" s="180"/>
      <c r="X192" s="180">
        <v>0.57999999999999996</v>
      </c>
      <c r="Y192" s="180">
        <v>0.46</v>
      </c>
      <c r="Z192" s="180">
        <v>0.68500000000000005</v>
      </c>
      <c r="AA192" s="180">
        <v>0.46</v>
      </c>
      <c r="AB192" s="180">
        <v>0.4</v>
      </c>
      <c r="AC192" s="180">
        <v>0</v>
      </c>
      <c r="AD192" s="180">
        <v>0.75</v>
      </c>
      <c r="AE192" s="180">
        <v>0.64</v>
      </c>
      <c r="AF192" s="180">
        <v>0.44</v>
      </c>
      <c r="AG192" s="180">
        <v>0.79</v>
      </c>
      <c r="AH192" s="180">
        <v>0</v>
      </c>
      <c r="AI192" s="180">
        <v>2.5000000000000001E-3</v>
      </c>
      <c r="AJ192" s="180">
        <v>0.31</v>
      </c>
      <c r="AK192" s="180">
        <v>0.28000000000000003</v>
      </c>
      <c r="AL192" s="180">
        <v>0.12</v>
      </c>
      <c r="AM192" s="180">
        <v>0.54</v>
      </c>
      <c r="AN192" s="180">
        <v>0</v>
      </c>
      <c r="AO192" s="180">
        <v>0.71960000000000002</v>
      </c>
      <c r="AP192" s="180">
        <v>0</v>
      </c>
      <c r="AQ192" s="180">
        <v>0.25</v>
      </c>
      <c r="AR192" s="180">
        <v>0.35</v>
      </c>
      <c r="AS192" s="180">
        <v>0.62</v>
      </c>
      <c r="AT192" s="180">
        <v>0.57999999999999996</v>
      </c>
      <c r="AU192" s="180">
        <v>0.2</v>
      </c>
      <c r="AV192" s="180">
        <v>0.78500000000000003</v>
      </c>
      <c r="AW192" s="180">
        <v>0.5</v>
      </c>
      <c r="AX192" s="180">
        <v>0.44</v>
      </c>
      <c r="AY192" s="180">
        <v>0.27500000000000002</v>
      </c>
      <c r="AZ192" s="180">
        <v>0.57999999999999996</v>
      </c>
      <c r="BA192" s="180">
        <v>0.51</v>
      </c>
      <c r="BB192" s="180">
        <v>0.54</v>
      </c>
      <c r="BC192" s="180">
        <v>0.35</v>
      </c>
      <c r="BD192" s="180">
        <v>0.35249999999999998</v>
      </c>
      <c r="BE192" s="180">
        <v>0.55000000000000004</v>
      </c>
      <c r="BF192" s="180">
        <v>0.51749999999999996</v>
      </c>
      <c r="BG192" s="180"/>
      <c r="BH192" s="180">
        <v>0.45</v>
      </c>
      <c r="BI192" s="180">
        <v>0.5</v>
      </c>
      <c r="BJ192" s="180">
        <v>0.56999999999999995</v>
      </c>
      <c r="BK192" s="180">
        <v>0</v>
      </c>
      <c r="BL192" s="180">
        <v>0</v>
      </c>
      <c r="BM192" s="180">
        <v>0.23580000000000001</v>
      </c>
      <c r="BN192" s="180">
        <v>0.29559999999999997</v>
      </c>
      <c r="BO192" s="180">
        <v>0.39</v>
      </c>
      <c r="BP192" s="180"/>
      <c r="BQ192" s="180">
        <v>0.65</v>
      </c>
      <c r="BR192" s="180"/>
      <c r="BS192" s="180">
        <v>0.59299999999999997</v>
      </c>
      <c r="BT192" s="180">
        <v>0</v>
      </c>
      <c r="BU192" s="180"/>
      <c r="BV192" s="180">
        <v>0.51</v>
      </c>
      <c r="BW192" s="180"/>
      <c r="BX192" s="180"/>
      <c r="BY192" s="180"/>
      <c r="BZ192" s="180"/>
      <c r="CA192" s="180"/>
      <c r="CB192" s="180"/>
      <c r="CC192" s="180"/>
      <c r="CD192" s="180"/>
      <c r="CE192" s="180"/>
      <c r="CF192" s="180"/>
      <c r="CG192" s="180"/>
      <c r="CH192" s="180"/>
      <c r="CI192" s="180"/>
      <c r="CJ192" s="180"/>
      <c r="CK192" s="180"/>
      <c r="CL192" s="180"/>
      <c r="CM192" s="180"/>
      <c r="CN192" s="180"/>
      <c r="CO192" s="180"/>
      <c r="CP192" s="180"/>
      <c r="CQ192" s="180"/>
      <c r="CR192" s="180"/>
      <c r="CS192" s="180"/>
      <c r="CT192" s="180"/>
      <c r="CU192" s="180"/>
    </row>
    <row r="193" spans="1:99" x14ac:dyDescent="0.3">
      <c r="A193" s="155">
        <v>654</v>
      </c>
      <c r="B193" s="180" t="s">
        <v>416</v>
      </c>
      <c r="C193" s="180"/>
      <c r="D193" s="180">
        <v>7141454</v>
      </c>
      <c r="E193" s="180">
        <v>541517208</v>
      </c>
      <c r="F193" s="180"/>
      <c r="G193" s="180"/>
      <c r="H193" s="180">
        <v>2364317</v>
      </c>
      <c r="I193" s="180">
        <v>0</v>
      </c>
      <c r="J193" s="180"/>
      <c r="K193" s="180">
        <v>0</v>
      </c>
      <c r="L193" s="180">
        <v>737891</v>
      </c>
      <c r="M193" s="180">
        <v>11819017</v>
      </c>
      <c r="N193" s="180">
        <v>0</v>
      </c>
      <c r="O193" s="180">
        <v>587431</v>
      </c>
      <c r="P193" s="180"/>
      <c r="Q193" s="180">
        <v>0</v>
      </c>
      <c r="R193" s="180">
        <v>0</v>
      </c>
      <c r="S193" s="180">
        <v>2055017</v>
      </c>
      <c r="T193" s="180">
        <v>0</v>
      </c>
      <c r="U193" s="180"/>
      <c r="V193" s="180"/>
      <c r="W193" s="180"/>
      <c r="X193" s="180">
        <v>4746219</v>
      </c>
      <c r="Y193" s="180">
        <v>0</v>
      </c>
      <c r="Z193" s="180">
        <v>20421345</v>
      </c>
      <c r="AA193" s="180">
        <v>0</v>
      </c>
      <c r="AB193" s="180">
        <v>71681</v>
      </c>
      <c r="AC193" s="180">
        <v>318529</v>
      </c>
      <c r="AD193" s="180">
        <v>1076743</v>
      </c>
      <c r="AE193" s="180">
        <v>806910</v>
      </c>
      <c r="AF193" s="180">
        <v>542827</v>
      </c>
      <c r="AG193" s="180">
        <v>223253</v>
      </c>
      <c r="AH193" s="180">
        <v>5584229</v>
      </c>
      <c r="AI193" s="180">
        <v>0</v>
      </c>
      <c r="AJ193" s="180">
        <v>0</v>
      </c>
      <c r="AK193" s="180">
        <v>0</v>
      </c>
      <c r="AL193" s="180">
        <v>1050637</v>
      </c>
      <c r="AM193" s="180">
        <v>1128139</v>
      </c>
      <c r="AN193" s="180">
        <v>431765</v>
      </c>
      <c r="AO193" s="180">
        <v>48972015</v>
      </c>
      <c r="AP193" s="180">
        <v>951787</v>
      </c>
      <c r="AQ193" s="180">
        <v>0</v>
      </c>
      <c r="AR193" s="180">
        <v>90986</v>
      </c>
      <c r="AS193" s="180">
        <v>20587803</v>
      </c>
      <c r="AT193" s="180">
        <v>816539</v>
      </c>
      <c r="AU193" s="180">
        <v>5147848</v>
      </c>
      <c r="AV193" s="180">
        <v>845712</v>
      </c>
      <c r="AW193" s="180">
        <v>1144425</v>
      </c>
      <c r="AX193" s="180">
        <v>0</v>
      </c>
      <c r="AY193" s="180">
        <v>15684</v>
      </c>
      <c r="AZ193" s="180">
        <v>7063150</v>
      </c>
      <c r="BA193" s="180">
        <v>330695</v>
      </c>
      <c r="BB193" s="180">
        <v>797053</v>
      </c>
      <c r="BC193" s="180">
        <v>588004</v>
      </c>
      <c r="BD193" s="180">
        <v>7893739</v>
      </c>
      <c r="BE193" s="180">
        <v>678277</v>
      </c>
      <c r="BF193" s="180">
        <v>14501268</v>
      </c>
      <c r="BG193" s="180"/>
      <c r="BH193" s="180">
        <v>0</v>
      </c>
      <c r="BI193" s="180">
        <v>925718</v>
      </c>
      <c r="BJ193" s="180">
        <v>15813950</v>
      </c>
      <c r="BK193" s="180">
        <v>1255946</v>
      </c>
      <c r="BL193" s="180">
        <v>19885379</v>
      </c>
      <c r="BM193" s="180">
        <v>0</v>
      </c>
      <c r="BN193" s="180">
        <v>8624430</v>
      </c>
      <c r="BO193" s="180">
        <v>8590355</v>
      </c>
      <c r="BP193" s="180"/>
      <c r="BQ193" s="180">
        <v>0</v>
      </c>
      <c r="BR193" s="180"/>
      <c r="BS193" s="180">
        <v>907799</v>
      </c>
      <c r="BT193" s="180">
        <v>678165</v>
      </c>
      <c r="BU193" s="180"/>
      <c r="BV193" s="180">
        <v>436821</v>
      </c>
      <c r="BW193" s="180"/>
      <c r="BX193" s="180"/>
      <c r="BY193" s="180"/>
      <c r="BZ193" s="180"/>
      <c r="CA193" s="180"/>
      <c r="CB193" s="180"/>
      <c r="CC193" s="180"/>
      <c r="CD193" s="180"/>
      <c r="CE193" s="180"/>
      <c r="CF193" s="180"/>
      <c r="CG193" s="180"/>
      <c r="CH193" s="180"/>
      <c r="CI193" s="180"/>
      <c r="CJ193" s="180"/>
      <c r="CK193" s="180"/>
      <c r="CL193" s="180"/>
      <c r="CM193" s="180"/>
      <c r="CN193" s="180"/>
      <c r="CO193" s="180"/>
      <c r="CP193" s="180"/>
      <c r="CQ193" s="180"/>
      <c r="CR193" s="180"/>
      <c r="CS193" s="180"/>
      <c r="CT193" s="180"/>
      <c r="CU193" s="180"/>
    </row>
    <row r="194" spans="1:99" x14ac:dyDescent="0.3">
      <c r="A194" s="155">
        <v>655</v>
      </c>
      <c r="B194" s="180" t="s">
        <v>969</v>
      </c>
      <c r="C194" s="180"/>
      <c r="D194" s="180">
        <v>69375</v>
      </c>
      <c r="E194" s="180">
        <v>0</v>
      </c>
      <c r="F194" s="180"/>
      <c r="G194" s="180"/>
      <c r="H194" s="180">
        <v>961532</v>
      </c>
      <c r="I194" s="180">
        <v>0</v>
      </c>
      <c r="J194" s="180"/>
      <c r="K194" s="180">
        <v>0</v>
      </c>
      <c r="L194" s="180">
        <v>3335</v>
      </c>
      <c r="M194" s="180">
        <v>1745809</v>
      </c>
      <c r="N194" s="180">
        <v>0</v>
      </c>
      <c r="O194" s="180">
        <v>24550</v>
      </c>
      <c r="P194" s="180"/>
      <c r="Q194" s="180">
        <v>0</v>
      </c>
      <c r="R194" s="180">
        <v>0</v>
      </c>
      <c r="S194" s="180">
        <v>0</v>
      </c>
      <c r="T194" s="180">
        <v>0</v>
      </c>
      <c r="U194" s="180"/>
      <c r="V194" s="180"/>
      <c r="W194" s="180"/>
      <c r="X194" s="180">
        <v>0</v>
      </c>
      <c r="Y194" s="180">
        <v>0</v>
      </c>
      <c r="Z194" s="180">
        <v>1278194</v>
      </c>
      <c r="AA194" s="180">
        <v>0</v>
      </c>
      <c r="AB194" s="180">
        <v>14175</v>
      </c>
      <c r="AC194" s="180">
        <v>72737</v>
      </c>
      <c r="AD194" s="180">
        <v>97955</v>
      </c>
      <c r="AE194" s="180">
        <v>262037</v>
      </c>
      <c r="AF194" s="180">
        <v>80469</v>
      </c>
      <c r="AG194" s="180">
        <v>0</v>
      </c>
      <c r="AH194" s="180">
        <v>3074841</v>
      </c>
      <c r="AI194" s="180">
        <v>0</v>
      </c>
      <c r="AJ194" s="180">
        <v>0</v>
      </c>
      <c r="AK194" s="180">
        <v>0</v>
      </c>
      <c r="AL194" s="180">
        <v>0</v>
      </c>
      <c r="AM194" s="180">
        <v>0</v>
      </c>
      <c r="AN194" s="180">
        <v>20211</v>
      </c>
      <c r="AO194" s="180">
        <v>7993332</v>
      </c>
      <c r="AP194" s="180">
        <v>255067</v>
      </c>
      <c r="AQ194" s="180">
        <v>0</v>
      </c>
      <c r="AR194" s="180">
        <v>17080</v>
      </c>
      <c r="AS194" s="180">
        <v>731032</v>
      </c>
      <c r="AT194" s="180">
        <v>101434</v>
      </c>
      <c r="AU194" s="180">
        <v>103142</v>
      </c>
      <c r="AV194" s="180">
        <v>26585</v>
      </c>
      <c r="AW194" s="180">
        <v>263793</v>
      </c>
      <c r="AX194" s="180">
        <v>0</v>
      </c>
      <c r="AY194" s="180">
        <v>0</v>
      </c>
      <c r="AZ194" s="180">
        <v>98460</v>
      </c>
      <c r="BA194" s="180">
        <v>0</v>
      </c>
      <c r="BB194" s="180">
        <v>8561</v>
      </c>
      <c r="BC194" s="180">
        <v>5935</v>
      </c>
      <c r="BD194" s="180">
        <v>150503</v>
      </c>
      <c r="BE194" s="180">
        <v>134240</v>
      </c>
      <c r="BF194" s="180">
        <v>0</v>
      </c>
      <c r="BG194" s="180"/>
      <c r="BH194" s="180">
        <v>0</v>
      </c>
      <c r="BI194" s="180">
        <v>25956</v>
      </c>
      <c r="BJ194" s="180">
        <v>219640</v>
      </c>
      <c r="BK194" s="180">
        <v>75312</v>
      </c>
      <c r="BL194" s="180">
        <v>1753372</v>
      </c>
      <c r="BM194" s="180">
        <v>0</v>
      </c>
      <c r="BN194" s="180">
        <v>3669094</v>
      </c>
      <c r="BO194" s="180">
        <v>7023812</v>
      </c>
      <c r="BP194" s="180"/>
      <c r="BQ194" s="180">
        <v>0</v>
      </c>
      <c r="BR194" s="180"/>
      <c r="BS194" s="180">
        <v>60000</v>
      </c>
      <c r="BT194" s="180">
        <v>43932</v>
      </c>
      <c r="BU194" s="180"/>
      <c r="BV194" s="180">
        <v>57103</v>
      </c>
      <c r="BW194" s="180"/>
      <c r="BX194" s="180"/>
      <c r="BY194" s="180"/>
      <c r="BZ194" s="180"/>
      <c r="CA194" s="180"/>
      <c r="CB194" s="180"/>
      <c r="CC194" s="180"/>
      <c r="CD194" s="180"/>
      <c r="CE194" s="180"/>
      <c r="CF194" s="180"/>
      <c r="CG194" s="180"/>
      <c r="CH194" s="180"/>
      <c r="CI194" s="180"/>
      <c r="CJ194" s="180"/>
      <c r="CK194" s="180"/>
      <c r="CL194" s="180"/>
      <c r="CM194" s="180"/>
      <c r="CN194" s="180"/>
      <c r="CO194" s="180"/>
      <c r="CP194" s="180"/>
      <c r="CQ194" s="180"/>
      <c r="CR194" s="180"/>
      <c r="CS194" s="180"/>
      <c r="CT194" s="180"/>
      <c r="CU194" s="180"/>
    </row>
    <row r="195" spans="1:99" x14ac:dyDescent="0.3">
      <c r="A195" s="155">
        <v>656</v>
      </c>
      <c r="B195" s="180" t="s">
        <v>422</v>
      </c>
      <c r="C195" s="180"/>
      <c r="D195" s="180">
        <v>2</v>
      </c>
      <c r="E195" s="180">
        <v>1</v>
      </c>
      <c r="F195" s="180"/>
      <c r="G195" s="180"/>
      <c r="H195" s="180">
        <v>2</v>
      </c>
      <c r="I195" s="180">
        <v>0</v>
      </c>
      <c r="J195" s="180"/>
      <c r="K195" s="180">
        <v>2</v>
      </c>
      <c r="L195" s="180">
        <v>2</v>
      </c>
      <c r="M195" s="180">
        <v>2</v>
      </c>
      <c r="N195" s="180">
        <v>2</v>
      </c>
      <c r="O195" s="180">
        <v>0</v>
      </c>
      <c r="P195" s="180"/>
      <c r="Q195" s="180">
        <v>0</v>
      </c>
      <c r="R195" s="180">
        <v>0</v>
      </c>
      <c r="S195" s="180">
        <v>0</v>
      </c>
      <c r="T195" s="180">
        <v>0</v>
      </c>
      <c r="U195" s="180"/>
      <c r="V195" s="180"/>
      <c r="W195" s="180"/>
      <c r="X195" s="180">
        <v>2</v>
      </c>
      <c r="Y195" s="180">
        <v>0</v>
      </c>
      <c r="Z195" s="180">
        <v>2</v>
      </c>
      <c r="AA195" s="180">
        <v>2</v>
      </c>
      <c r="AB195" s="180">
        <v>2</v>
      </c>
      <c r="AC195" s="180">
        <v>2</v>
      </c>
      <c r="AD195" s="180">
        <v>0</v>
      </c>
      <c r="AE195" s="180">
        <v>2</v>
      </c>
      <c r="AF195" s="180">
        <v>0</v>
      </c>
      <c r="AG195" s="180">
        <v>2</v>
      </c>
      <c r="AH195" s="180">
        <v>2</v>
      </c>
      <c r="AI195" s="180">
        <v>0</v>
      </c>
      <c r="AJ195" s="180">
        <v>0</v>
      </c>
      <c r="AK195" s="180">
        <v>0</v>
      </c>
      <c r="AL195" s="180">
        <v>0</v>
      </c>
      <c r="AM195" s="180">
        <v>2</v>
      </c>
      <c r="AN195" s="180">
        <v>2</v>
      </c>
      <c r="AO195" s="180">
        <v>0</v>
      </c>
      <c r="AP195" s="180">
        <v>0</v>
      </c>
      <c r="AQ195" s="180">
        <v>2</v>
      </c>
      <c r="AR195" s="180">
        <v>2</v>
      </c>
      <c r="AS195" s="180">
        <v>2</v>
      </c>
      <c r="AT195" s="180">
        <v>0</v>
      </c>
      <c r="AU195" s="180">
        <v>0</v>
      </c>
      <c r="AV195" s="180">
        <v>0</v>
      </c>
      <c r="AW195" s="180">
        <v>0</v>
      </c>
      <c r="AX195" s="180">
        <v>0</v>
      </c>
      <c r="AY195" s="180">
        <v>2</v>
      </c>
      <c r="AZ195" s="180">
        <v>2</v>
      </c>
      <c r="BA195" s="180">
        <v>2</v>
      </c>
      <c r="BB195" s="180">
        <v>2</v>
      </c>
      <c r="BC195" s="180">
        <v>0</v>
      </c>
      <c r="BD195" s="180">
        <v>2</v>
      </c>
      <c r="BE195" s="180">
        <v>2</v>
      </c>
      <c r="BF195" s="180">
        <v>2</v>
      </c>
      <c r="BG195" s="180"/>
      <c r="BH195" s="180">
        <v>2</v>
      </c>
      <c r="BI195" s="180">
        <v>0</v>
      </c>
      <c r="BJ195" s="180">
        <v>0</v>
      </c>
      <c r="BK195" s="180">
        <v>2</v>
      </c>
      <c r="BL195" s="180">
        <v>2</v>
      </c>
      <c r="BM195" s="180">
        <v>0</v>
      </c>
      <c r="BN195" s="180">
        <v>2</v>
      </c>
      <c r="BO195" s="180">
        <v>2</v>
      </c>
      <c r="BP195" s="180"/>
      <c r="BQ195" s="180">
        <v>0</v>
      </c>
      <c r="BR195" s="180"/>
      <c r="BS195" s="180">
        <v>2</v>
      </c>
      <c r="BT195" s="180">
        <v>2</v>
      </c>
      <c r="BU195" s="180"/>
      <c r="BV195" s="180">
        <v>2</v>
      </c>
      <c r="BW195" s="180"/>
      <c r="BX195" s="180"/>
      <c r="BY195" s="180"/>
      <c r="BZ195" s="180"/>
      <c r="CA195" s="180"/>
      <c r="CB195" s="180"/>
      <c r="CC195" s="180"/>
      <c r="CD195" s="180"/>
      <c r="CE195" s="180"/>
      <c r="CF195" s="180"/>
      <c r="CG195" s="180"/>
      <c r="CH195" s="180"/>
      <c r="CI195" s="180"/>
      <c r="CJ195" s="180"/>
      <c r="CK195" s="180"/>
      <c r="CL195" s="180"/>
      <c r="CM195" s="180"/>
      <c r="CN195" s="180"/>
      <c r="CO195" s="180"/>
      <c r="CP195" s="180"/>
      <c r="CQ195" s="180"/>
      <c r="CR195" s="180"/>
      <c r="CS195" s="180"/>
      <c r="CT195" s="180"/>
      <c r="CU195" s="180"/>
    </row>
    <row r="196" spans="1:99" x14ac:dyDescent="0.3">
      <c r="A196" s="155">
        <v>657</v>
      </c>
      <c r="B196" s="180" t="s">
        <v>970</v>
      </c>
      <c r="C196" s="180"/>
      <c r="D196" s="180">
        <v>0</v>
      </c>
      <c r="E196" s="180">
        <v>0</v>
      </c>
      <c r="F196" s="180"/>
      <c r="G196" s="180"/>
      <c r="H196" s="180">
        <v>0</v>
      </c>
      <c r="I196" s="180">
        <v>0</v>
      </c>
      <c r="J196" s="180"/>
      <c r="K196" s="180">
        <v>0</v>
      </c>
      <c r="L196" s="180">
        <v>1685835</v>
      </c>
      <c r="M196" s="180">
        <v>0</v>
      </c>
      <c r="N196" s="180">
        <v>0</v>
      </c>
      <c r="O196" s="180">
        <v>0</v>
      </c>
      <c r="P196" s="180"/>
      <c r="Q196" s="180">
        <v>0</v>
      </c>
      <c r="R196" s="180">
        <v>0</v>
      </c>
      <c r="S196" s="180">
        <v>0</v>
      </c>
      <c r="T196" s="180">
        <v>0</v>
      </c>
      <c r="U196" s="180"/>
      <c r="V196" s="180"/>
      <c r="W196" s="180"/>
      <c r="X196" s="180">
        <v>0</v>
      </c>
      <c r="Y196" s="180">
        <v>0</v>
      </c>
      <c r="Z196" s="180">
        <v>55210572</v>
      </c>
      <c r="AA196" s="180">
        <v>0</v>
      </c>
      <c r="AB196" s="180">
        <v>0</v>
      </c>
      <c r="AC196" s="180">
        <v>0</v>
      </c>
      <c r="AD196" s="180">
        <v>0</v>
      </c>
      <c r="AE196" s="180">
        <v>0</v>
      </c>
      <c r="AF196" s="180">
        <v>0</v>
      </c>
      <c r="AG196" s="180">
        <v>0</v>
      </c>
      <c r="AH196" s="180">
        <v>0</v>
      </c>
      <c r="AI196" s="180">
        <v>0</v>
      </c>
      <c r="AJ196" s="180">
        <v>0</v>
      </c>
      <c r="AK196" s="180">
        <v>0</v>
      </c>
      <c r="AL196" s="180">
        <v>0</v>
      </c>
      <c r="AM196" s="180">
        <v>0</v>
      </c>
      <c r="AN196" s="180">
        <v>0</v>
      </c>
      <c r="AO196" s="180">
        <v>0</v>
      </c>
      <c r="AP196" s="180">
        <v>0</v>
      </c>
      <c r="AQ196" s="180">
        <v>0</v>
      </c>
      <c r="AR196" s="180">
        <v>0</v>
      </c>
      <c r="AS196" s="180">
        <v>0</v>
      </c>
      <c r="AT196" s="180">
        <v>0</v>
      </c>
      <c r="AU196" s="180">
        <v>0</v>
      </c>
      <c r="AV196" s="180">
        <v>2406527</v>
      </c>
      <c r="AW196" s="180">
        <v>0</v>
      </c>
      <c r="AX196" s="180">
        <v>0</v>
      </c>
      <c r="AY196" s="180">
        <v>0</v>
      </c>
      <c r="AZ196" s="180">
        <v>4103285</v>
      </c>
      <c r="BA196" s="180">
        <v>0</v>
      </c>
      <c r="BB196" s="180">
        <v>0</v>
      </c>
      <c r="BC196" s="180">
        <v>0</v>
      </c>
      <c r="BD196" s="180">
        <v>0</v>
      </c>
      <c r="BE196" s="180">
        <v>2863363</v>
      </c>
      <c r="BF196" s="180">
        <v>12222989</v>
      </c>
      <c r="BG196" s="180"/>
      <c r="BH196" s="180">
        <v>0</v>
      </c>
      <c r="BI196" s="180">
        <v>0</v>
      </c>
      <c r="BJ196" s="180">
        <v>15217825</v>
      </c>
      <c r="BK196" s="180">
        <v>0</v>
      </c>
      <c r="BL196" s="180">
        <v>0</v>
      </c>
      <c r="BM196" s="180">
        <v>0</v>
      </c>
      <c r="BN196" s="180">
        <v>8429608</v>
      </c>
      <c r="BO196" s="180">
        <v>0</v>
      </c>
      <c r="BP196" s="180"/>
      <c r="BQ196" s="180">
        <v>0</v>
      </c>
      <c r="BR196" s="180"/>
      <c r="BS196" s="180">
        <v>0</v>
      </c>
      <c r="BT196" s="180">
        <v>0</v>
      </c>
      <c r="BU196" s="180"/>
      <c r="BV196" s="180">
        <v>0</v>
      </c>
      <c r="BW196" s="180"/>
      <c r="BX196" s="180"/>
      <c r="BY196" s="180"/>
      <c r="BZ196" s="180"/>
      <c r="CA196" s="180"/>
      <c r="CB196" s="180"/>
      <c r="CC196" s="180"/>
      <c r="CD196" s="180"/>
      <c r="CE196" s="180"/>
      <c r="CF196" s="180"/>
      <c r="CG196" s="180"/>
      <c r="CH196" s="180"/>
      <c r="CI196" s="180"/>
      <c r="CJ196" s="180"/>
      <c r="CK196" s="180"/>
      <c r="CL196" s="180"/>
      <c r="CM196" s="180"/>
      <c r="CN196" s="180"/>
      <c r="CO196" s="180"/>
      <c r="CP196" s="180"/>
      <c r="CQ196" s="180"/>
      <c r="CR196" s="180"/>
      <c r="CS196" s="180"/>
      <c r="CT196" s="180"/>
      <c r="CU196" s="180"/>
    </row>
    <row r="197" spans="1:99" x14ac:dyDescent="0.3">
      <c r="A197" s="155">
        <v>658</v>
      </c>
      <c r="B197" s="180" t="s">
        <v>971</v>
      </c>
      <c r="C197" s="180"/>
      <c r="D197" s="180">
        <v>0</v>
      </c>
      <c r="E197" s="180">
        <v>0</v>
      </c>
      <c r="F197" s="180"/>
      <c r="G197" s="180"/>
      <c r="H197" s="180">
        <v>0</v>
      </c>
      <c r="I197" s="180">
        <v>0</v>
      </c>
      <c r="J197" s="180"/>
      <c r="K197" s="180">
        <v>0</v>
      </c>
      <c r="L197" s="180">
        <v>322504</v>
      </c>
      <c r="M197" s="180">
        <v>0</v>
      </c>
      <c r="N197" s="180">
        <v>0</v>
      </c>
      <c r="O197" s="180">
        <v>0</v>
      </c>
      <c r="P197" s="180"/>
      <c r="Q197" s="180">
        <v>0</v>
      </c>
      <c r="R197" s="180">
        <v>0</v>
      </c>
      <c r="S197" s="180">
        <v>0</v>
      </c>
      <c r="T197" s="180">
        <v>0</v>
      </c>
      <c r="U197" s="180"/>
      <c r="V197" s="180"/>
      <c r="W197" s="180"/>
      <c r="X197" s="180">
        <v>0</v>
      </c>
      <c r="Y197" s="180">
        <v>0</v>
      </c>
      <c r="Z197" s="180">
        <v>6049095</v>
      </c>
      <c r="AA197" s="180">
        <v>0</v>
      </c>
      <c r="AB197" s="180">
        <v>0</v>
      </c>
      <c r="AC197" s="180">
        <v>0</v>
      </c>
      <c r="AD197" s="180">
        <v>0</v>
      </c>
      <c r="AE197" s="180">
        <v>0</v>
      </c>
      <c r="AF197" s="180">
        <v>0</v>
      </c>
      <c r="AG197" s="180">
        <v>0</v>
      </c>
      <c r="AH197" s="180">
        <v>0</v>
      </c>
      <c r="AI197" s="180">
        <v>0</v>
      </c>
      <c r="AJ197" s="180">
        <v>0</v>
      </c>
      <c r="AK197" s="180">
        <v>0</v>
      </c>
      <c r="AL197" s="180">
        <v>0</v>
      </c>
      <c r="AM197" s="180">
        <v>0</v>
      </c>
      <c r="AN197" s="180">
        <v>0</v>
      </c>
      <c r="AO197" s="180">
        <v>0</v>
      </c>
      <c r="AP197" s="180">
        <v>0</v>
      </c>
      <c r="AQ197" s="180">
        <v>0</v>
      </c>
      <c r="AR197" s="180">
        <v>0</v>
      </c>
      <c r="AS197" s="180">
        <v>0</v>
      </c>
      <c r="AT197" s="180">
        <v>0</v>
      </c>
      <c r="AU197" s="180">
        <v>0</v>
      </c>
      <c r="AV197" s="180">
        <v>80713</v>
      </c>
      <c r="AW197" s="180">
        <v>0</v>
      </c>
      <c r="AX197" s="180">
        <v>0</v>
      </c>
      <c r="AY197" s="180">
        <v>0</v>
      </c>
      <c r="AZ197" s="180">
        <v>0</v>
      </c>
      <c r="BA197" s="180">
        <v>0</v>
      </c>
      <c r="BB197" s="180">
        <v>0</v>
      </c>
      <c r="BC197" s="180">
        <v>0</v>
      </c>
      <c r="BD197" s="180">
        <v>0</v>
      </c>
      <c r="BE197" s="180">
        <v>201608</v>
      </c>
      <c r="BF197" s="180">
        <v>0</v>
      </c>
      <c r="BG197" s="180"/>
      <c r="BH197" s="180">
        <v>0</v>
      </c>
      <c r="BI197" s="180">
        <v>0</v>
      </c>
      <c r="BJ197" s="180">
        <v>0</v>
      </c>
      <c r="BK197" s="180">
        <v>0</v>
      </c>
      <c r="BL197" s="180">
        <v>0</v>
      </c>
      <c r="BM197" s="180">
        <v>0</v>
      </c>
      <c r="BN197" s="180">
        <v>142102</v>
      </c>
      <c r="BO197" s="180">
        <v>0</v>
      </c>
      <c r="BP197" s="180"/>
      <c r="BQ197" s="180">
        <v>0</v>
      </c>
      <c r="BR197" s="180"/>
      <c r="BS197" s="180">
        <v>0</v>
      </c>
      <c r="BT197" s="180">
        <v>0</v>
      </c>
      <c r="BU197" s="180"/>
      <c r="BV197" s="180">
        <v>0</v>
      </c>
      <c r="BW197" s="180"/>
      <c r="BX197" s="180"/>
      <c r="BY197" s="180"/>
      <c r="BZ197" s="180"/>
      <c r="CA197" s="180"/>
      <c r="CB197" s="180"/>
      <c r="CC197" s="180"/>
      <c r="CD197" s="180"/>
      <c r="CE197" s="180"/>
      <c r="CF197" s="180"/>
      <c r="CG197" s="180"/>
      <c r="CH197" s="180"/>
      <c r="CI197" s="180"/>
      <c r="CJ197" s="180"/>
      <c r="CK197" s="180"/>
      <c r="CL197" s="180"/>
      <c r="CM197" s="180"/>
      <c r="CN197" s="180"/>
      <c r="CO197" s="180"/>
      <c r="CP197" s="180"/>
      <c r="CQ197" s="180"/>
      <c r="CR197" s="180"/>
      <c r="CS197" s="180"/>
      <c r="CT197" s="180"/>
      <c r="CU197" s="180"/>
    </row>
    <row r="198" spans="1:99" x14ac:dyDescent="0.3">
      <c r="A198" s="155">
        <v>659</v>
      </c>
      <c r="B198" s="180" t="s">
        <v>972</v>
      </c>
      <c r="C198" s="180"/>
      <c r="D198" s="180">
        <v>3206458</v>
      </c>
      <c r="E198" s="180">
        <v>268204292</v>
      </c>
      <c r="F198" s="180"/>
      <c r="G198" s="180"/>
      <c r="H198" s="180">
        <v>0</v>
      </c>
      <c r="I198" s="180">
        <v>0</v>
      </c>
      <c r="J198" s="180"/>
      <c r="K198" s="180">
        <v>0</v>
      </c>
      <c r="L198" s="180">
        <v>2816508</v>
      </c>
      <c r="M198" s="180">
        <v>8755845</v>
      </c>
      <c r="N198" s="180">
        <v>0</v>
      </c>
      <c r="O198" s="180">
        <v>0</v>
      </c>
      <c r="P198" s="180"/>
      <c r="Q198" s="180">
        <v>0</v>
      </c>
      <c r="R198" s="180">
        <v>0</v>
      </c>
      <c r="S198" s="180">
        <v>0</v>
      </c>
      <c r="T198" s="180">
        <v>6692290</v>
      </c>
      <c r="U198" s="180"/>
      <c r="V198" s="180"/>
      <c r="W198" s="180"/>
      <c r="X198" s="180">
        <v>5061308</v>
      </c>
      <c r="Y198" s="180">
        <v>0</v>
      </c>
      <c r="Z198" s="180">
        <v>50418123</v>
      </c>
      <c r="AA198" s="180">
        <v>1885695</v>
      </c>
      <c r="AB198" s="180">
        <v>0</v>
      </c>
      <c r="AC198" s="180">
        <v>0</v>
      </c>
      <c r="AD198" s="180">
        <v>474040</v>
      </c>
      <c r="AE198" s="180">
        <v>0</v>
      </c>
      <c r="AF198" s="180">
        <v>0</v>
      </c>
      <c r="AG198" s="180">
        <v>0</v>
      </c>
      <c r="AH198" s="180">
        <v>69543</v>
      </c>
      <c r="AI198" s="180">
        <v>0</v>
      </c>
      <c r="AJ198" s="180">
        <v>1130519</v>
      </c>
      <c r="AK198" s="180">
        <v>0</v>
      </c>
      <c r="AL198" s="180">
        <v>0</v>
      </c>
      <c r="AM198" s="180">
        <v>0</v>
      </c>
      <c r="AN198" s="180">
        <v>0</v>
      </c>
      <c r="AO198" s="180">
        <v>8833858</v>
      </c>
      <c r="AP198" s="180">
        <v>0</v>
      </c>
      <c r="AQ198" s="180">
        <v>0</v>
      </c>
      <c r="AR198" s="180">
        <v>0</v>
      </c>
      <c r="AS198" s="180">
        <v>49926191</v>
      </c>
      <c r="AT198" s="180">
        <v>0</v>
      </c>
      <c r="AU198" s="180">
        <v>0</v>
      </c>
      <c r="AV198" s="180">
        <v>0</v>
      </c>
      <c r="AW198" s="180">
        <v>0</v>
      </c>
      <c r="AX198" s="180">
        <v>0</v>
      </c>
      <c r="AY198" s="180">
        <v>0</v>
      </c>
      <c r="AZ198" s="180">
        <v>7660214</v>
      </c>
      <c r="BA198" s="180">
        <v>0</v>
      </c>
      <c r="BB198" s="180">
        <v>0</v>
      </c>
      <c r="BC198" s="180">
        <v>0</v>
      </c>
      <c r="BD198" s="180">
        <v>6326</v>
      </c>
      <c r="BE198" s="180">
        <v>0</v>
      </c>
      <c r="BF198" s="180">
        <v>21680458</v>
      </c>
      <c r="BG198" s="180"/>
      <c r="BH198" s="180">
        <v>0</v>
      </c>
      <c r="BI198" s="180">
        <v>0</v>
      </c>
      <c r="BJ198" s="180">
        <v>15397557</v>
      </c>
      <c r="BK198" s="180">
        <v>0</v>
      </c>
      <c r="BL198" s="180">
        <v>0</v>
      </c>
      <c r="BM198" s="180">
        <v>1947877</v>
      </c>
      <c r="BN198" s="180">
        <v>5873703</v>
      </c>
      <c r="BO198" s="180">
        <v>0</v>
      </c>
      <c r="BP198" s="180"/>
      <c r="BQ198" s="180">
        <v>0</v>
      </c>
      <c r="BR198" s="180"/>
      <c r="BS198" s="180">
        <v>1904128</v>
      </c>
      <c r="BT198" s="180">
        <v>0</v>
      </c>
      <c r="BU198" s="180"/>
      <c r="BV198" s="180">
        <v>0</v>
      </c>
      <c r="BW198" s="180"/>
      <c r="BX198" s="180"/>
      <c r="BY198" s="180"/>
      <c r="BZ198" s="180"/>
      <c r="CA198" s="180"/>
      <c r="CB198" s="180"/>
      <c r="CC198" s="180"/>
      <c r="CD198" s="180"/>
      <c r="CE198" s="180"/>
      <c r="CF198" s="180"/>
      <c r="CG198" s="180"/>
      <c r="CH198" s="180"/>
      <c r="CI198" s="180"/>
      <c r="CJ198" s="180"/>
      <c r="CK198" s="180"/>
      <c r="CL198" s="180"/>
      <c r="CM198" s="180"/>
      <c r="CN198" s="180"/>
      <c r="CO198" s="180"/>
      <c r="CP198" s="180"/>
      <c r="CQ198" s="180"/>
      <c r="CR198" s="180"/>
      <c r="CS198" s="180"/>
      <c r="CT198" s="180"/>
      <c r="CU198" s="180"/>
    </row>
    <row r="199" spans="1:99" x14ac:dyDescent="0.3">
      <c r="A199" s="155">
        <v>660</v>
      </c>
      <c r="B199" s="180" t="s">
        <v>973</v>
      </c>
      <c r="C199" s="180"/>
      <c r="D199" s="180">
        <v>0</v>
      </c>
      <c r="E199" s="180">
        <v>62570963</v>
      </c>
      <c r="F199" s="180"/>
      <c r="G199" s="180"/>
      <c r="H199" s="180">
        <v>0</v>
      </c>
      <c r="I199" s="180">
        <v>0</v>
      </c>
      <c r="J199" s="180"/>
      <c r="K199" s="180">
        <v>0</v>
      </c>
      <c r="L199" s="180">
        <v>0</v>
      </c>
      <c r="M199" s="180">
        <v>0</v>
      </c>
      <c r="N199" s="180">
        <v>0</v>
      </c>
      <c r="O199" s="180">
        <v>0</v>
      </c>
      <c r="P199" s="180"/>
      <c r="Q199" s="180">
        <v>0</v>
      </c>
      <c r="R199" s="180">
        <v>0</v>
      </c>
      <c r="S199" s="180">
        <v>0</v>
      </c>
      <c r="T199" s="180">
        <v>0</v>
      </c>
      <c r="U199" s="180"/>
      <c r="V199" s="180"/>
      <c r="W199" s="180"/>
      <c r="X199" s="180">
        <v>0</v>
      </c>
      <c r="Y199" s="180">
        <v>0</v>
      </c>
      <c r="Z199" s="180">
        <v>0</v>
      </c>
      <c r="AA199" s="180">
        <v>0</v>
      </c>
      <c r="AB199" s="180">
        <v>0</v>
      </c>
      <c r="AC199" s="180">
        <v>0</v>
      </c>
      <c r="AD199" s="180">
        <v>0</v>
      </c>
      <c r="AE199" s="180">
        <v>0</v>
      </c>
      <c r="AF199" s="180">
        <v>0</v>
      </c>
      <c r="AG199" s="180">
        <v>0</v>
      </c>
      <c r="AH199" s="180">
        <v>0</v>
      </c>
      <c r="AI199" s="180">
        <v>0</v>
      </c>
      <c r="AJ199" s="180">
        <v>0</v>
      </c>
      <c r="AK199" s="180">
        <v>0</v>
      </c>
      <c r="AL199" s="180">
        <v>0</v>
      </c>
      <c r="AM199" s="180">
        <v>0</v>
      </c>
      <c r="AN199" s="180">
        <v>0</v>
      </c>
      <c r="AO199" s="180">
        <v>0</v>
      </c>
      <c r="AP199" s="180">
        <v>0</v>
      </c>
      <c r="AQ199" s="180">
        <v>0</v>
      </c>
      <c r="AR199" s="180">
        <v>0</v>
      </c>
      <c r="AS199" s="180">
        <v>3767242</v>
      </c>
      <c r="AT199" s="180">
        <v>0</v>
      </c>
      <c r="AU199" s="180">
        <v>0</v>
      </c>
      <c r="AV199" s="180">
        <v>0</v>
      </c>
      <c r="AW199" s="180">
        <v>0</v>
      </c>
      <c r="AX199" s="180">
        <v>0</v>
      </c>
      <c r="AY199" s="180">
        <v>0</v>
      </c>
      <c r="AZ199" s="180">
        <v>0</v>
      </c>
      <c r="BA199" s="180">
        <v>0</v>
      </c>
      <c r="BB199" s="180">
        <v>0</v>
      </c>
      <c r="BC199" s="180">
        <v>0</v>
      </c>
      <c r="BD199" s="180">
        <v>0</v>
      </c>
      <c r="BE199" s="180">
        <v>0</v>
      </c>
      <c r="BF199" s="180">
        <v>0</v>
      </c>
      <c r="BG199" s="180"/>
      <c r="BH199" s="180">
        <v>0</v>
      </c>
      <c r="BI199" s="180">
        <v>0</v>
      </c>
      <c r="BJ199" s="180">
        <v>0</v>
      </c>
      <c r="BK199" s="180">
        <v>0</v>
      </c>
      <c r="BL199" s="180">
        <v>0</v>
      </c>
      <c r="BM199" s="180">
        <v>0</v>
      </c>
      <c r="BN199" s="180">
        <v>0</v>
      </c>
      <c r="BO199" s="180">
        <v>0</v>
      </c>
      <c r="BP199" s="180"/>
      <c r="BQ199" s="180">
        <v>0</v>
      </c>
      <c r="BR199" s="180"/>
      <c r="BS199" s="180">
        <v>0</v>
      </c>
      <c r="BT199" s="180">
        <v>0</v>
      </c>
      <c r="BU199" s="180"/>
      <c r="BV199" s="180">
        <v>0</v>
      </c>
      <c r="BW199" s="180"/>
      <c r="BX199" s="180"/>
      <c r="BY199" s="180"/>
      <c r="BZ199" s="180"/>
      <c r="CA199" s="180"/>
      <c r="CB199" s="180"/>
      <c r="CC199" s="180"/>
      <c r="CD199" s="180"/>
      <c r="CE199" s="180"/>
      <c r="CF199" s="180"/>
      <c r="CG199" s="180"/>
      <c r="CH199" s="180"/>
      <c r="CI199" s="180"/>
      <c r="CJ199" s="180"/>
      <c r="CK199" s="180"/>
      <c r="CL199" s="180"/>
      <c r="CM199" s="180"/>
      <c r="CN199" s="180"/>
      <c r="CO199" s="180"/>
      <c r="CP199" s="180"/>
      <c r="CQ199" s="180"/>
      <c r="CR199" s="180"/>
      <c r="CS199" s="180"/>
      <c r="CT199" s="180"/>
      <c r="CU199" s="180"/>
    </row>
    <row r="200" spans="1:99" s="562" customFormat="1" x14ac:dyDescent="0.3">
      <c r="A200" s="561">
        <v>661</v>
      </c>
      <c r="B200" s="562" t="s">
        <v>421</v>
      </c>
      <c r="D200" s="562">
        <v>0</v>
      </c>
      <c r="E200" s="562">
        <v>23.3</v>
      </c>
      <c r="H200" s="562">
        <v>0</v>
      </c>
      <c r="I200" s="562">
        <v>0</v>
      </c>
      <c r="K200" s="562">
        <v>0</v>
      </c>
      <c r="L200" s="562">
        <v>0</v>
      </c>
      <c r="M200" s="562">
        <v>0</v>
      </c>
      <c r="N200" s="562">
        <v>0</v>
      </c>
      <c r="O200" s="562">
        <v>0</v>
      </c>
      <c r="Q200" s="562">
        <v>0</v>
      </c>
      <c r="R200" s="562">
        <v>0</v>
      </c>
      <c r="S200" s="562">
        <v>0</v>
      </c>
      <c r="T200" s="562">
        <v>0</v>
      </c>
      <c r="X200" s="562">
        <v>0</v>
      </c>
      <c r="Y200" s="562">
        <v>0</v>
      </c>
      <c r="Z200" s="562">
        <v>0</v>
      </c>
      <c r="AA200" s="562">
        <v>0</v>
      </c>
      <c r="AB200" s="562">
        <v>0</v>
      </c>
      <c r="AC200" s="562">
        <v>0</v>
      </c>
      <c r="AD200" s="562">
        <v>0</v>
      </c>
      <c r="AE200" s="562">
        <v>0</v>
      </c>
      <c r="AF200" s="562">
        <v>0</v>
      </c>
      <c r="AG200" s="562">
        <v>0</v>
      </c>
      <c r="AH200" s="562">
        <v>0</v>
      </c>
      <c r="AI200" s="562">
        <v>0</v>
      </c>
      <c r="AJ200" s="562">
        <v>0</v>
      </c>
      <c r="AK200" s="562">
        <v>0</v>
      </c>
      <c r="AL200" s="562">
        <v>0</v>
      </c>
      <c r="AM200" s="562">
        <v>0</v>
      </c>
      <c r="AN200" s="562">
        <v>0</v>
      </c>
      <c r="AO200" s="562">
        <v>0</v>
      </c>
      <c r="AP200" s="562">
        <v>0</v>
      </c>
      <c r="AQ200" s="562">
        <v>0</v>
      </c>
      <c r="AR200" s="562">
        <v>0</v>
      </c>
      <c r="AS200" s="562">
        <v>7.6</v>
      </c>
      <c r="AT200" s="562">
        <v>0</v>
      </c>
      <c r="AU200" s="562">
        <v>0</v>
      </c>
      <c r="AV200" s="562">
        <v>0</v>
      </c>
      <c r="AW200" s="562">
        <v>0</v>
      </c>
      <c r="AX200" s="562">
        <v>0</v>
      </c>
      <c r="AY200" s="562">
        <v>0</v>
      </c>
      <c r="AZ200" s="562">
        <v>0</v>
      </c>
      <c r="BA200" s="562">
        <v>0</v>
      </c>
      <c r="BB200" s="562">
        <v>0</v>
      </c>
      <c r="BC200" s="562">
        <v>0</v>
      </c>
      <c r="BD200" s="562">
        <v>0</v>
      </c>
      <c r="BE200" s="562">
        <v>0</v>
      </c>
      <c r="BF200" s="562">
        <v>0</v>
      </c>
      <c r="BH200" s="562">
        <v>0</v>
      </c>
      <c r="BI200" s="562">
        <v>0</v>
      </c>
      <c r="BJ200" s="562">
        <v>0</v>
      </c>
      <c r="BK200" s="562">
        <v>0</v>
      </c>
      <c r="BL200" s="562">
        <v>0</v>
      </c>
      <c r="BM200" s="562">
        <v>0</v>
      </c>
      <c r="BN200" s="562">
        <v>0</v>
      </c>
      <c r="BO200" s="562">
        <v>0</v>
      </c>
      <c r="BQ200" s="562">
        <v>0</v>
      </c>
      <c r="BS200" s="562">
        <v>0</v>
      </c>
      <c r="BT200" s="562">
        <v>0</v>
      </c>
      <c r="BV200" s="562">
        <v>0</v>
      </c>
    </row>
    <row r="201" spans="1:99" s="555" customFormat="1" x14ac:dyDescent="0.3">
      <c r="A201" s="558">
        <v>662</v>
      </c>
      <c r="B201" s="555" t="s">
        <v>451</v>
      </c>
      <c r="D201" s="555">
        <v>0</v>
      </c>
      <c r="E201" s="555">
        <v>0</v>
      </c>
      <c r="L201" s="555">
        <v>0</v>
      </c>
      <c r="M201" s="555">
        <v>143015</v>
      </c>
      <c r="T201" s="555">
        <v>0</v>
      </c>
      <c r="Z201" s="555">
        <v>127979</v>
      </c>
      <c r="AH201" s="555">
        <v>0</v>
      </c>
      <c r="AM201" s="555">
        <v>0</v>
      </c>
      <c r="AO201" s="555">
        <v>0</v>
      </c>
      <c r="AS201" s="555">
        <v>0</v>
      </c>
      <c r="AZ201" s="555">
        <v>0</v>
      </c>
      <c r="BF201" s="555">
        <v>0</v>
      </c>
      <c r="BJ201" s="555">
        <v>0</v>
      </c>
      <c r="BN201" s="555">
        <v>0</v>
      </c>
      <c r="BV201" s="555">
        <v>0</v>
      </c>
    </row>
    <row r="202" spans="1:99" s="555" customFormat="1" x14ac:dyDescent="0.3">
      <c r="A202" s="558">
        <v>663</v>
      </c>
      <c r="B202" s="555" t="s">
        <v>974</v>
      </c>
      <c r="D202" s="555">
        <v>0</v>
      </c>
      <c r="E202" s="555">
        <v>23748938</v>
      </c>
      <c r="L202" s="555">
        <v>0</v>
      </c>
      <c r="M202" s="555">
        <v>24000</v>
      </c>
      <c r="T202" s="555">
        <v>0</v>
      </c>
      <c r="Z202" s="555">
        <v>3165708</v>
      </c>
      <c r="AH202" s="555">
        <v>0</v>
      </c>
      <c r="AM202" s="555">
        <v>0</v>
      </c>
      <c r="AO202" s="555">
        <v>99804</v>
      </c>
      <c r="AS202" s="555">
        <v>0</v>
      </c>
      <c r="AZ202" s="555">
        <v>0</v>
      </c>
      <c r="BF202" s="555">
        <v>98453</v>
      </c>
      <c r="BJ202" s="555">
        <v>0</v>
      </c>
      <c r="BN202" s="555">
        <v>0</v>
      </c>
      <c r="BV202" s="555">
        <v>0</v>
      </c>
    </row>
    <row r="203" spans="1:99" s="557" customFormat="1" x14ac:dyDescent="0.3">
      <c r="A203" s="556">
        <v>906</v>
      </c>
      <c r="B203" s="557" t="s">
        <v>975</v>
      </c>
      <c r="D203" s="557">
        <v>1</v>
      </c>
      <c r="E203" s="557">
        <v>1</v>
      </c>
      <c r="H203" s="557">
        <v>1</v>
      </c>
      <c r="I203" s="557">
        <v>1</v>
      </c>
      <c r="K203" s="557">
        <v>1</v>
      </c>
      <c r="L203" s="557">
        <v>1</v>
      </c>
      <c r="M203" s="557">
        <v>1</v>
      </c>
      <c r="N203" s="557">
        <v>1</v>
      </c>
      <c r="O203" s="557">
        <v>1</v>
      </c>
      <c r="Q203" s="557">
        <v>1</v>
      </c>
      <c r="R203" s="557">
        <v>1</v>
      </c>
      <c r="S203" s="557">
        <v>1</v>
      </c>
      <c r="T203" s="557">
        <v>1</v>
      </c>
      <c r="X203" s="557">
        <v>1</v>
      </c>
      <c r="Y203" s="557">
        <v>1</v>
      </c>
      <c r="Z203" s="557">
        <v>1</v>
      </c>
      <c r="AA203" s="557">
        <v>1</v>
      </c>
      <c r="AB203" s="557">
        <v>1</v>
      </c>
      <c r="AC203" s="557">
        <v>1</v>
      </c>
      <c r="AD203" s="557">
        <v>1</v>
      </c>
      <c r="AE203" s="557">
        <v>1</v>
      </c>
      <c r="AF203" s="557">
        <v>1</v>
      </c>
      <c r="AG203" s="557">
        <v>1</v>
      </c>
      <c r="AH203" s="557">
        <v>1</v>
      </c>
      <c r="AI203" s="557">
        <v>1</v>
      </c>
      <c r="AJ203" s="557">
        <v>1</v>
      </c>
      <c r="AK203" s="557">
        <v>1</v>
      </c>
      <c r="AL203" s="557">
        <v>1</v>
      </c>
      <c r="AM203" s="557">
        <v>1</v>
      </c>
      <c r="AN203" s="557">
        <v>1</v>
      </c>
      <c r="AO203" s="557">
        <v>1</v>
      </c>
      <c r="AP203" s="557">
        <v>1</v>
      </c>
      <c r="AQ203" s="557">
        <v>1</v>
      </c>
      <c r="AR203" s="557">
        <v>1</v>
      </c>
      <c r="AS203" s="557">
        <v>1</v>
      </c>
      <c r="AT203" s="557">
        <v>1</v>
      </c>
      <c r="AU203" s="557">
        <v>1</v>
      </c>
      <c r="AV203" s="557">
        <v>1</v>
      </c>
      <c r="AW203" s="557">
        <v>1</v>
      </c>
      <c r="AX203" s="557">
        <v>1</v>
      </c>
      <c r="AY203" s="557">
        <v>1</v>
      </c>
      <c r="AZ203" s="557">
        <v>1</v>
      </c>
      <c r="BA203" s="557">
        <v>1</v>
      </c>
      <c r="BB203" s="557">
        <v>1</v>
      </c>
      <c r="BC203" s="557">
        <v>1</v>
      </c>
      <c r="BD203" s="557">
        <v>1</v>
      </c>
      <c r="BE203" s="557">
        <v>1</v>
      </c>
      <c r="BF203" s="557">
        <v>1</v>
      </c>
      <c r="BH203" s="557">
        <v>1</v>
      </c>
      <c r="BI203" s="557">
        <v>1</v>
      </c>
      <c r="BJ203" s="557">
        <v>1</v>
      </c>
      <c r="BK203" s="557">
        <v>1</v>
      </c>
      <c r="BL203" s="557">
        <v>1</v>
      </c>
      <c r="BM203" s="557">
        <v>1</v>
      </c>
      <c r="BN203" s="557">
        <v>1</v>
      </c>
      <c r="BO203" s="557">
        <v>1</v>
      </c>
      <c r="BQ203" s="557">
        <v>1</v>
      </c>
      <c r="BS203" s="557">
        <v>1</v>
      </c>
      <c r="BT203" s="557">
        <v>1</v>
      </c>
      <c r="BV203" s="557">
        <v>1</v>
      </c>
    </row>
    <row r="204" spans="1:99" s="557" customFormat="1" x14ac:dyDescent="0.3">
      <c r="A204" s="556">
        <v>907</v>
      </c>
      <c r="B204" s="557" t="s">
        <v>976</v>
      </c>
      <c r="D204" s="557">
        <v>1</v>
      </c>
      <c r="E204" s="557">
        <v>2</v>
      </c>
      <c r="H204" s="557">
        <v>2</v>
      </c>
      <c r="I204" s="557">
        <v>1</v>
      </c>
      <c r="K204" s="557">
        <v>2</v>
      </c>
      <c r="L204" s="557">
        <v>2</v>
      </c>
      <c r="M204" s="557">
        <v>2</v>
      </c>
      <c r="N204" s="557">
        <v>1</v>
      </c>
      <c r="O204" s="557">
        <v>2</v>
      </c>
      <c r="Q204" s="557">
        <v>1</v>
      </c>
      <c r="R204" s="557">
        <v>1</v>
      </c>
      <c r="S204" s="557">
        <v>2</v>
      </c>
      <c r="T204" s="557">
        <v>2</v>
      </c>
      <c r="X204" s="557">
        <v>2</v>
      </c>
      <c r="Y204" s="557">
        <v>2</v>
      </c>
      <c r="Z204" s="557">
        <v>2</v>
      </c>
      <c r="AA204" s="557">
        <v>2</v>
      </c>
      <c r="AB204" s="557">
        <v>2</v>
      </c>
      <c r="AC204" s="557">
        <v>2</v>
      </c>
      <c r="AD204" s="557">
        <v>2</v>
      </c>
      <c r="AE204" s="557">
        <v>1</v>
      </c>
      <c r="AF204" s="557">
        <v>2</v>
      </c>
      <c r="AG204" s="557">
        <v>2</v>
      </c>
      <c r="AH204" s="557">
        <v>2</v>
      </c>
      <c r="AI204" s="557">
        <v>1</v>
      </c>
      <c r="AJ204" s="557">
        <v>2</v>
      </c>
      <c r="AK204" s="557">
        <v>1</v>
      </c>
      <c r="AL204" s="557">
        <v>2</v>
      </c>
      <c r="AM204" s="557">
        <v>1</v>
      </c>
      <c r="AN204" s="557">
        <v>1</v>
      </c>
      <c r="AO204" s="557">
        <v>2</v>
      </c>
      <c r="AP204" s="557">
        <v>1</v>
      </c>
      <c r="AQ204" s="557">
        <v>2</v>
      </c>
      <c r="AR204" s="557">
        <v>1</v>
      </c>
      <c r="AS204" s="557">
        <v>2</v>
      </c>
      <c r="AT204" s="557">
        <v>1</v>
      </c>
      <c r="AU204" s="557">
        <v>1</v>
      </c>
      <c r="AV204" s="557">
        <v>2</v>
      </c>
      <c r="AW204" s="557">
        <v>1</v>
      </c>
      <c r="AX204" s="557">
        <v>2</v>
      </c>
      <c r="AY204" s="557">
        <v>1</v>
      </c>
      <c r="AZ204" s="557">
        <v>2</v>
      </c>
      <c r="BA204" s="557">
        <v>2</v>
      </c>
      <c r="BB204" s="557">
        <v>1</v>
      </c>
      <c r="BC204" s="557">
        <v>1</v>
      </c>
      <c r="BD204" s="557">
        <v>2</v>
      </c>
      <c r="BE204" s="557">
        <v>1</v>
      </c>
      <c r="BF204" s="557">
        <v>2</v>
      </c>
      <c r="BH204" s="557">
        <v>1</v>
      </c>
      <c r="BI204" s="557">
        <v>1</v>
      </c>
      <c r="BJ204" s="557">
        <v>2</v>
      </c>
      <c r="BK204" s="557">
        <v>1</v>
      </c>
      <c r="BL204" s="557">
        <v>2</v>
      </c>
      <c r="BM204" s="557">
        <v>2</v>
      </c>
      <c r="BN204" s="557">
        <v>2</v>
      </c>
      <c r="BO204" s="557">
        <v>1</v>
      </c>
      <c r="BQ204" s="557">
        <v>1</v>
      </c>
      <c r="BS204" s="557">
        <v>2</v>
      </c>
      <c r="BT204" s="557">
        <v>2</v>
      </c>
      <c r="BV204" s="557">
        <v>2</v>
      </c>
    </row>
    <row r="205" spans="1:99" x14ac:dyDescent="0.3">
      <c r="A205" s="155">
        <v>947</v>
      </c>
      <c r="B205" s="180" t="s">
        <v>977</v>
      </c>
      <c r="C205" s="180"/>
      <c r="D205" s="180" t="s">
        <v>2071</v>
      </c>
      <c r="E205" s="180" t="s">
        <v>2072</v>
      </c>
      <c r="F205" s="180"/>
      <c r="G205" s="180"/>
      <c r="H205" s="180" t="s">
        <v>1999</v>
      </c>
      <c r="I205" s="180" t="s">
        <v>2021</v>
      </c>
      <c r="J205" s="180"/>
      <c r="K205" s="180" t="s">
        <v>2450</v>
      </c>
      <c r="L205" s="180" t="s">
        <v>1998</v>
      </c>
      <c r="M205" s="180" t="s">
        <v>2076</v>
      </c>
      <c r="N205" s="180" t="s">
        <v>2077</v>
      </c>
      <c r="O205" s="180" t="s">
        <v>2078</v>
      </c>
      <c r="P205" s="180"/>
      <c r="Q205" s="180" t="s">
        <v>2020</v>
      </c>
      <c r="R205" s="180" t="s">
        <v>2451</v>
      </c>
      <c r="S205" s="180" t="s">
        <v>2452</v>
      </c>
      <c r="T205" s="180" t="s">
        <v>2453</v>
      </c>
      <c r="U205" s="180"/>
      <c r="V205" s="180"/>
      <c r="W205" s="180"/>
      <c r="X205" s="180" t="s">
        <v>2084</v>
      </c>
      <c r="Y205" s="180" t="s">
        <v>2085</v>
      </c>
      <c r="Z205" s="180" t="s">
        <v>2086</v>
      </c>
      <c r="AA205" s="180" t="s">
        <v>978</v>
      </c>
      <c r="AB205" s="180" t="s">
        <v>2087</v>
      </c>
      <c r="AC205" s="180" t="s">
        <v>2621</v>
      </c>
      <c r="AD205" s="180" t="s">
        <v>2000</v>
      </c>
      <c r="AE205" s="180" t="s">
        <v>2089</v>
      </c>
      <c r="AF205" s="180" t="s">
        <v>2454</v>
      </c>
      <c r="AG205" s="180" t="s">
        <v>2455</v>
      </c>
      <c r="AH205" s="180" t="s">
        <v>2456</v>
      </c>
      <c r="AI205" s="180" t="s">
        <v>2457</v>
      </c>
      <c r="AJ205" s="180" t="s">
        <v>2458</v>
      </c>
      <c r="AK205" s="180" t="s">
        <v>2093</v>
      </c>
      <c r="AL205" s="180" t="s">
        <v>2022</v>
      </c>
      <c r="AM205" s="180" t="s">
        <v>2083</v>
      </c>
      <c r="AN205" s="180" t="s">
        <v>2459</v>
      </c>
      <c r="AO205" s="180" t="s">
        <v>1091</v>
      </c>
      <c r="AP205" s="180" t="s">
        <v>2023</v>
      </c>
      <c r="AQ205" s="180" t="s">
        <v>2095</v>
      </c>
      <c r="AR205" s="180" t="s">
        <v>2039</v>
      </c>
      <c r="AS205" s="180" t="s">
        <v>2057</v>
      </c>
      <c r="AT205" s="180" t="s">
        <v>2096</v>
      </c>
      <c r="AU205" s="180" t="s">
        <v>2097</v>
      </c>
      <c r="AV205" s="180" t="s">
        <v>2038</v>
      </c>
      <c r="AW205" s="180" t="s">
        <v>2098</v>
      </c>
      <c r="AX205" s="180" t="s">
        <v>2099</v>
      </c>
      <c r="AY205" s="180" t="s">
        <v>2100</v>
      </c>
      <c r="AZ205" s="180" t="s">
        <v>2101</v>
      </c>
      <c r="BA205" s="180" t="s">
        <v>2102</v>
      </c>
      <c r="BB205" s="180" t="s">
        <v>2103</v>
      </c>
      <c r="BC205" s="180" t="s">
        <v>2040</v>
      </c>
      <c r="BD205" s="180" t="s">
        <v>2105</v>
      </c>
      <c r="BE205" s="180" t="s">
        <v>2460</v>
      </c>
      <c r="BF205" s="180" t="s">
        <v>2057</v>
      </c>
      <c r="BG205" s="180"/>
      <c r="BH205" s="180" t="s">
        <v>979</v>
      </c>
      <c r="BI205" s="180" t="s">
        <v>2101</v>
      </c>
      <c r="BJ205" s="180" t="s">
        <v>2107</v>
      </c>
      <c r="BK205" s="180" t="s">
        <v>2108</v>
      </c>
      <c r="BL205" s="180" t="s">
        <v>2109</v>
      </c>
      <c r="BM205" s="180" t="s">
        <v>2110</v>
      </c>
      <c r="BN205" s="180" t="s">
        <v>2111</v>
      </c>
      <c r="BO205" s="180" t="s">
        <v>2112</v>
      </c>
      <c r="BP205" s="180"/>
      <c r="BQ205" s="180" t="s">
        <v>2114</v>
      </c>
      <c r="BR205" s="180"/>
      <c r="BS205" s="180" t="s">
        <v>2115</v>
      </c>
      <c r="BT205" s="180" t="s">
        <v>2116</v>
      </c>
      <c r="BU205" s="180"/>
      <c r="BV205" s="180" t="s">
        <v>2010</v>
      </c>
      <c r="BW205" s="180"/>
      <c r="BX205" s="180"/>
      <c r="BY205" s="180"/>
      <c r="BZ205" s="180"/>
      <c r="CA205" s="180"/>
      <c r="CB205" s="180"/>
      <c r="CC205" s="180"/>
      <c r="CD205" s="180"/>
      <c r="CE205" s="180"/>
      <c r="CF205" s="180"/>
      <c r="CG205" s="180"/>
      <c r="CH205" s="180"/>
      <c r="CI205" s="180"/>
      <c r="CJ205" s="180"/>
      <c r="CK205" s="180"/>
      <c r="CL205" s="180"/>
      <c r="CM205" s="180"/>
      <c r="CN205" s="180"/>
      <c r="CO205" s="180"/>
      <c r="CP205" s="180"/>
      <c r="CQ205" s="180"/>
      <c r="CR205" s="180"/>
      <c r="CS205" s="180"/>
      <c r="CT205" s="180"/>
      <c r="CU205" s="180"/>
    </row>
    <row r="206" spans="1:99" x14ac:dyDescent="0.3">
      <c r="A206" s="155">
        <v>948</v>
      </c>
      <c r="B206" s="180" t="s">
        <v>980</v>
      </c>
      <c r="C206" s="180"/>
      <c r="D206" s="180" t="s">
        <v>2117</v>
      </c>
      <c r="E206" s="180" t="s">
        <v>2118</v>
      </c>
      <c r="F206" s="180"/>
      <c r="G206" s="180"/>
      <c r="H206" s="180" t="s">
        <v>2461</v>
      </c>
      <c r="I206" s="180" t="s">
        <v>2121</v>
      </c>
      <c r="J206" s="180"/>
      <c r="K206" s="180" t="s">
        <v>2462</v>
      </c>
      <c r="L206" s="180" t="s">
        <v>2124</v>
      </c>
      <c r="M206" s="180" t="s">
        <v>2125</v>
      </c>
      <c r="N206" s="180" t="s">
        <v>2126</v>
      </c>
      <c r="O206" s="180" t="s">
        <v>2127</v>
      </c>
      <c r="P206" s="180"/>
      <c r="Q206" s="180" t="s">
        <v>2042</v>
      </c>
      <c r="R206" s="180" t="s">
        <v>2463</v>
      </c>
      <c r="S206" s="180" t="s">
        <v>2464</v>
      </c>
      <c r="T206" s="180" t="s">
        <v>2465</v>
      </c>
      <c r="U206" s="180"/>
      <c r="V206" s="180"/>
      <c r="W206" s="180"/>
      <c r="X206" s="180" t="s">
        <v>2132</v>
      </c>
      <c r="Y206" s="180" t="s">
        <v>1253</v>
      </c>
      <c r="Z206" s="180" t="s">
        <v>2133</v>
      </c>
      <c r="AA206" s="180" t="s">
        <v>2134</v>
      </c>
      <c r="AB206" s="180" t="s">
        <v>2135</v>
      </c>
      <c r="AC206" s="180" t="s">
        <v>2622</v>
      </c>
      <c r="AD206" s="180" t="s">
        <v>2137</v>
      </c>
      <c r="AE206" s="180" t="s">
        <v>437</v>
      </c>
      <c r="AF206" s="180" t="s">
        <v>2466</v>
      </c>
      <c r="AG206" s="180" t="s">
        <v>2138</v>
      </c>
      <c r="AH206" s="180" t="s">
        <v>2139</v>
      </c>
      <c r="AI206" s="180" t="s">
        <v>2467</v>
      </c>
      <c r="AJ206" s="180" t="s">
        <v>2468</v>
      </c>
      <c r="AK206" s="180" t="s">
        <v>2142</v>
      </c>
      <c r="AL206" s="180" t="s">
        <v>2143</v>
      </c>
      <c r="AM206" s="180" t="s">
        <v>2144</v>
      </c>
      <c r="AN206" s="180" t="s">
        <v>2469</v>
      </c>
      <c r="AO206" s="180" t="s">
        <v>2146</v>
      </c>
      <c r="AP206" s="180" t="s">
        <v>2147</v>
      </c>
      <c r="AQ206" s="180" t="s">
        <v>2148</v>
      </c>
      <c r="AR206" s="180" t="s">
        <v>2041</v>
      </c>
      <c r="AS206" s="180" t="s">
        <v>2149</v>
      </c>
      <c r="AT206" s="180" t="s">
        <v>1117</v>
      </c>
      <c r="AU206" s="180" t="s">
        <v>2150</v>
      </c>
      <c r="AV206" s="180" t="s">
        <v>2470</v>
      </c>
      <c r="AW206" s="180" t="s">
        <v>2043</v>
      </c>
      <c r="AX206" s="180" t="s">
        <v>2152</v>
      </c>
      <c r="AY206" s="180" t="s">
        <v>2153</v>
      </c>
      <c r="AZ206" s="180" t="s">
        <v>2154</v>
      </c>
      <c r="BA206" s="180" t="s">
        <v>2155</v>
      </c>
      <c r="BB206" s="180" t="s">
        <v>2156</v>
      </c>
      <c r="BC206" s="180" t="s">
        <v>2471</v>
      </c>
      <c r="BD206" s="180" t="s">
        <v>2158</v>
      </c>
      <c r="BE206" s="180" t="s">
        <v>2159</v>
      </c>
      <c r="BF206" s="180" t="s">
        <v>2160</v>
      </c>
      <c r="BG206" s="180"/>
      <c r="BH206" s="180" t="s">
        <v>2161</v>
      </c>
      <c r="BI206" s="180" t="s">
        <v>2162</v>
      </c>
      <c r="BJ206" s="180" t="s">
        <v>2163</v>
      </c>
      <c r="BK206" s="180" t="s">
        <v>2164</v>
      </c>
      <c r="BL206" s="180" t="s">
        <v>2165</v>
      </c>
      <c r="BM206" s="180" t="s">
        <v>2166</v>
      </c>
      <c r="BN206" s="180" t="s">
        <v>2167</v>
      </c>
      <c r="BO206" s="180" t="s">
        <v>2168</v>
      </c>
      <c r="BP206" s="180"/>
      <c r="BQ206" s="180" t="s">
        <v>2169</v>
      </c>
      <c r="BR206" s="180"/>
      <c r="BS206" s="180" t="s">
        <v>2170</v>
      </c>
      <c r="BT206" s="180" t="s">
        <v>2171</v>
      </c>
      <c r="BU206" s="180"/>
      <c r="BV206" s="180" t="s">
        <v>2121</v>
      </c>
      <c r="BW206" s="180"/>
      <c r="BX206" s="180"/>
      <c r="BY206" s="180"/>
      <c r="BZ206" s="180"/>
      <c r="CA206" s="180"/>
      <c r="CB206" s="180"/>
      <c r="CC206" s="180"/>
      <c r="CD206" s="180"/>
      <c r="CE206" s="180"/>
      <c r="CF206" s="180"/>
      <c r="CG206" s="180"/>
      <c r="CH206" s="180"/>
      <c r="CI206" s="180"/>
      <c r="CJ206" s="180"/>
      <c r="CK206" s="180"/>
      <c r="CL206" s="180"/>
      <c r="CM206" s="180"/>
      <c r="CN206" s="180"/>
      <c r="CO206" s="180"/>
      <c r="CP206" s="180"/>
      <c r="CQ206" s="180"/>
      <c r="CR206" s="180"/>
      <c r="CS206" s="180"/>
      <c r="CT206" s="180"/>
      <c r="CU206" s="180"/>
    </row>
    <row r="207" spans="1:99" x14ac:dyDescent="0.3">
      <c r="A207" s="155">
        <v>949</v>
      </c>
      <c r="B207" s="180" t="s">
        <v>981</v>
      </c>
      <c r="C207" s="180"/>
      <c r="D207" s="180" t="s">
        <v>413</v>
      </c>
      <c r="E207" s="180" t="s">
        <v>413</v>
      </c>
      <c r="F207" s="180"/>
      <c r="G207" s="180"/>
      <c r="H207" s="180" t="s">
        <v>413</v>
      </c>
      <c r="I207" s="180" t="s">
        <v>413</v>
      </c>
      <c r="J207" s="180"/>
      <c r="K207" s="180" t="s">
        <v>413</v>
      </c>
      <c r="L207" s="180" t="s">
        <v>413</v>
      </c>
      <c r="M207" s="180" t="s">
        <v>413</v>
      </c>
      <c r="N207" s="180" t="s">
        <v>413</v>
      </c>
      <c r="O207" s="180" t="s">
        <v>413</v>
      </c>
      <c r="P207" s="180"/>
      <c r="Q207" s="180" t="s">
        <v>413</v>
      </c>
      <c r="R207" s="180" t="s">
        <v>413</v>
      </c>
      <c r="S207" s="180" t="s">
        <v>413</v>
      </c>
      <c r="T207" s="180" t="s">
        <v>413</v>
      </c>
      <c r="U207" s="180"/>
      <c r="V207" s="180"/>
      <c r="W207" s="180"/>
      <c r="X207" s="180" t="s">
        <v>413</v>
      </c>
      <c r="Y207" s="180" t="s">
        <v>413</v>
      </c>
      <c r="Z207" s="180" t="s">
        <v>431</v>
      </c>
      <c r="AA207" s="180" t="s">
        <v>413</v>
      </c>
      <c r="AB207" s="180" t="s">
        <v>413</v>
      </c>
      <c r="AC207" s="180" t="s">
        <v>413</v>
      </c>
      <c r="AD207" s="180" t="s">
        <v>413</v>
      </c>
      <c r="AE207" s="180" t="s">
        <v>413</v>
      </c>
      <c r="AF207" s="180" t="s">
        <v>413</v>
      </c>
      <c r="AG207" s="180" t="s">
        <v>413</v>
      </c>
      <c r="AH207" s="180" t="s">
        <v>413</v>
      </c>
      <c r="AI207" s="180" t="s">
        <v>413</v>
      </c>
      <c r="AJ207" s="180" t="s">
        <v>431</v>
      </c>
      <c r="AK207" s="180" t="s">
        <v>413</v>
      </c>
      <c r="AL207" s="180" t="s">
        <v>413</v>
      </c>
      <c r="AM207" s="180" t="s">
        <v>413</v>
      </c>
      <c r="AN207" s="180" t="s">
        <v>413</v>
      </c>
      <c r="AO207" s="180" t="s">
        <v>413</v>
      </c>
      <c r="AP207" s="180" t="s">
        <v>413</v>
      </c>
      <c r="AQ207" s="180" t="s">
        <v>431</v>
      </c>
      <c r="AR207" s="180" t="s">
        <v>413</v>
      </c>
      <c r="AS207" s="180" t="s">
        <v>413</v>
      </c>
      <c r="AT207" s="180" t="s">
        <v>413</v>
      </c>
      <c r="AU207" s="180" t="s">
        <v>413</v>
      </c>
      <c r="AV207" s="180" t="s">
        <v>431</v>
      </c>
      <c r="AW207" s="180" t="s">
        <v>413</v>
      </c>
      <c r="AX207" s="180" t="s">
        <v>413</v>
      </c>
      <c r="AY207" s="180" t="s">
        <v>413</v>
      </c>
      <c r="AZ207" s="180" t="s">
        <v>413</v>
      </c>
      <c r="BA207" s="180" t="s">
        <v>1978</v>
      </c>
      <c r="BB207" s="180" t="s">
        <v>413</v>
      </c>
      <c r="BC207" s="180" t="s">
        <v>413</v>
      </c>
      <c r="BD207" s="180" t="s">
        <v>413</v>
      </c>
      <c r="BE207" s="180" t="s">
        <v>413</v>
      </c>
      <c r="BF207" s="180" t="s">
        <v>413</v>
      </c>
      <c r="BG207" s="180"/>
      <c r="BH207" s="180" t="s">
        <v>413</v>
      </c>
      <c r="BI207" s="180" t="s">
        <v>413</v>
      </c>
      <c r="BJ207" s="180" t="s">
        <v>413</v>
      </c>
      <c r="BK207" s="180" t="s">
        <v>413</v>
      </c>
      <c r="BL207" s="180" t="s">
        <v>413</v>
      </c>
      <c r="BM207" s="180" t="s">
        <v>413</v>
      </c>
      <c r="BN207" s="180" t="s">
        <v>413</v>
      </c>
      <c r="BO207" s="180" t="s">
        <v>413</v>
      </c>
      <c r="BP207" s="180"/>
      <c r="BQ207" s="180" t="s">
        <v>431</v>
      </c>
      <c r="BR207" s="180"/>
      <c r="BS207" s="180" t="s">
        <v>413</v>
      </c>
      <c r="BT207" s="180" t="s">
        <v>413</v>
      </c>
      <c r="BU207" s="180"/>
      <c r="BV207" s="180" t="s">
        <v>413</v>
      </c>
      <c r="BW207" s="180"/>
      <c r="BX207" s="180"/>
      <c r="BY207" s="180"/>
      <c r="BZ207" s="180"/>
      <c r="CA207" s="180"/>
      <c r="CB207" s="180"/>
      <c r="CC207" s="180"/>
      <c r="CD207" s="180"/>
      <c r="CE207" s="180"/>
      <c r="CF207" s="180"/>
      <c r="CG207" s="180"/>
      <c r="CH207" s="180"/>
      <c r="CI207" s="180"/>
      <c r="CJ207" s="180"/>
      <c r="CK207" s="180"/>
      <c r="CL207" s="180"/>
      <c r="CM207" s="180"/>
      <c r="CN207" s="180"/>
      <c r="CO207" s="180"/>
      <c r="CP207" s="180"/>
      <c r="CQ207" s="180"/>
      <c r="CR207" s="180"/>
      <c r="CS207" s="180"/>
      <c r="CT207" s="180"/>
      <c r="CU207" s="180"/>
    </row>
    <row r="208" spans="1:99" x14ac:dyDescent="0.3">
      <c r="A208" s="155">
        <v>950</v>
      </c>
      <c r="B208" s="180" t="s">
        <v>982</v>
      </c>
      <c r="C208" s="180"/>
      <c r="D208" s="180" t="s">
        <v>50</v>
      </c>
      <c r="E208" s="180" t="s">
        <v>50</v>
      </c>
      <c r="F208" s="180"/>
      <c r="G208" s="180"/>
      <c r="H208" s="180" t="s">
        <v>50</v>
      </c>
      <c r="I208" s="180" t="s">
        <v>50</v>
      </c>
      <c r="J208" s="180"/>
      <c r="K208" s="180" t="s">
        <v>50</v>
      </c>
      <c r="L208" s="180" t="s">
        <v>50</v>
      </c>
      <c r="M208" s="180" t="s">
        <v>50</v>
      </c>
      <c r="N208" s="180" t="s">
        <v>50</v>
      </c>
      <c r="O208" s="180" t="s">
        <v>50</v>
      </c>
      <c r="P208" s="180"/>
      <c r="Q208" s="180" t="s">
        <v>50</v>
      </c>
      <c r="R208" s="180" t="s">
        <v>50</v>
      </c>
      <c r="S208" s="180" t="s">
        <v>50</v>
      </c>
      <c r="T208" s="180" t="s">
        <v>50</v>
      </c>
      <c r="U208" s="180"/>
      <c r="V208" s="180"/>
      <c r="W208" s="180"/>
      <c r="X208" s="180" t="s">
        <v>50</v>
      </c>
      <c r="Y208" s="180" t="s">
        <v>50</v>
      </c>
      <c r="Z208" s="180" t="s">
        <v>50</v>
      </c>
      <c r="AA208" s="180" t="s">
        <v>50</v>
      </c>
      <c r="AB208" s="180" t="s">
        <v>50</v>
      </c>
      <c r="AC208" s="180" t="s">
        <v>50</v>
      </c>
      <c r="AD208" s="180" t="s">
        <v>50</v>
      </c>
      <c r="AE208" s="180" t="s">
        <v>50</v>
      </c>
      <c r="AF208" s="180" t="s">
        <v>50</v>
      </c>
      <c r="AG208" s="180" t="s">
        <v>50</v>
      </c>
      <c r="AH208" s="180" t="s">
        <v>50</v>
      </c>
      <c r="AI208" s="180" t="s">
        <v>50</v>
      </c>
      <c r="AJ208" s="180" t="s">
        <v>50</v>
      </c>
      <c r="AK208" s="180" t="s">
        <v>50</v>
      </c>
      <c r="AL208" s="180" t="s">
        <v>50</v>
      </c>
      <c r="AM208" s="180" t="s">
        <v>50</v>
      </c>
      <c r="AN208" s="180" t="s">
        <v>50</v>
      </c>
      <c r="AO208" s="180" t="s">
        <v>50</v>
      </c>
      <c r="AP208" s="180" t="s">
        <v>50</v>
      </c>
      <c r="AQ208" s="180" t="s">
        <v>50</v>
      </c>
      <c r="AR208" s="180" t="s">
        <v>50</v>
      </c>
      <c r="AS208" s="180" t="s">
        <v>50</v>
      </c>
      <c r="AT208" s="180" t="s">
        <v>50</v>
      </c>
      <c r="AU208" s="180" t="s">
        <v>50</v>
      </c>
      <c r="AV208" s="180" t="s">
        <v>50</v>
      </c>
      <c r="AW208" s="180" t="s">
        <v>50</v>
      </c>
      <c r="AX208" s="180" t="s">
        <v>50</v>
      </c>
      <c r="AY208" s="180" t="s">
        <v>50</v>
      </c>
      <c r="AZ208" s="180" t="s">
        <v>50</v>
      </c>
      <c r="BA208" s="180" t="s">
        <v>1674</v>
      </c>
      <c r="BB208" s="180" t="s">
        <v>50</v>
      </c>
      <c r="BC208" s="180" t="s">
        <v>50</v>
      </c>
      <c r="BD208" s="180" t="s">
        <v>50</v>
      </c>
      <c r="BE208" s="180" t="s">
        <v>50</v>
      </c>
      <c r="BF208" s="180" t="s">
        <v>50</v>
      </c>
      <c r="BG208" s="180"/>
      <c r="BH208" s="180" t="s">
        <v>50</v>
      </c>
      <c r="BI208" s="180" t="s">
        <v>50</v>
      </c>
      <c r="BJ208" s="180" t="s">
        <v>50</v>
      </c>
      <c r="BK208" s="180" t="s">
        <v>50</v>
      </c>
      <c r="BL208" s="180" t="s">
        <v>50</v>
      </c>
      <c r="BM208" s="180" t="s">
        <v>50</v>
      </c>
      <c r="BN208" s="180" t="s">
        <v>50</v>
      </c>
      <c r="BO208" s="180" t="s">
        <v>50</v>
      </c>
      <c r="BP208" s="180"/>
      <c r="BQ208" s="180" t="s">
        <v>51</v>
      </c>
      <c r="BR208" s="180"/>
      <c r="BS208" s="180" t="s">
        <v>50</v>
      </c>
      <c r="BT208" s="180" t="s">
        <v>50</v>
      </c>
      <c r="BU208" s="180"/>
      <c r="BV208" s="180" t="s">
        <v>50</v>
      </c>
      <c r="BW208" s="180"/>
      <c r="BX208" s="180"/>
      <c r="BY208" s="180"/>
      <c r="BZ208" s="180"/>
      <c r="CA208" s="180"/>
      <c r="CB208" s="180"/>
      <c r="CC208" s="180"/>
      <c r="CD208" s="180"/>
      <c r="CE208" s="180"/>
      <c r="CF208" s="180"/>
      <c r="CG208" s="180"/>
      <c r="CH208" s="180"/>
      <c r="CI208" s="180"/>
      <c r="CJ208" s="180"/>
      <c r="CK208" s="180"/>
      <c r="CL208" s="180"/>
      <c r="CM208" s="180"/>
      <c r="CN208" s="180"/>
      <c r="CO208" s="180"/>
      <c r="CP208" s="180"/>
      <c r="CQ208" s="180"/>
      <c r="CR208" s="180"/>
      <c r="CS208" s="180"/>
      <c r="CT208" s="180"/>
      <c r="CU208" s="180"/>
    </row>
    <row r="209" spans="1:99" s="557" customFormat="1" x14ac:dyDescent="0.3">
      <c r="A209" s="556">
        <v>951</v>
      </c>
      <c r="B209" s="557" t="s">
        <v>983</v>
      </c>
      <c r="D209" s="557">
        <v>2</v>
      </c>
      <c r="E209" s="557">
        <v>2</v>
      </c>
      <c r="H209" s="557">
        <v>2</v>
      </c>
      <c r="I209" s="557">
        <v>2</v>
      </c>
      <c r="K209" s="557">
        <v>2</v>
      </c>
      <c r="L209" s="557">
        <v>2</v>
      </c>
      <c r="M209" s="557">
        <v>2</v>
      </c>
      <c r="N209" s="557">
        <v>2</v>
      </c>
      <c r="O209" s="557">
        <v>2</v>
      </c>
      <c r="Q209" s="557">
        <v>2</v>
      </c>
      <c r="R209" s="557">
        <v>1</v>
      </c>
      <c r="S209" s="557">
        <v>2</v>
      </c>
      <c r="T209" s="557">
        <v>2</v>
      </c>
      <c r="X209" s="557">
        <v>2</v>
      </c>
      <c r="Y209" s="557">
        <v>2</v>
      </c>
      <c r="Z209" s="557">
        <v>2</v>
      </c>
      <c r="AA209" s="557">
        <v>2</v>
      </c>
      <c r="AB209" s="557">
        <v>2</v>
      </c>
      <c r="AC209" s="557">
        <v>2</v>
      </c>
      <c r="AD209" s="557">
        <v>2</v>
      </c>
      <c r="AE209" s="557">
        <v>2</v>
      </c>
      <c r="AF209" s="557">
        <v>2</v>
      </c>
      <c r="AG209" s="557">
        <v>2</v>
      </c>
      <c r="AH209" s="557">
        <v>2</v>
      </c>
      <c r="AI209" s="557">
        <v>1</v>
      </c>
      <c r="AJ209" s="557">
        <v>2</v>
      </c>
      <c r="AK209" s="557">
        <v>2</v>
      </c>
      <c r="AL209" s="557">
        <v>2</v>
      </c>
      <c r="AM209" s="557">
        <v>2</v>
      </c>
      <c r="AN209" s="557">
        <v>2</v>
      </c>
      <c r="AO209" s="557">
        <v>2</v>
      </c>
      <c r="AP209" s="557">
        <v>2</v>
      </c>
      <c r="AQ209" s="557">
        <v>2</v>
      </c>
      <c r="AR209" s="557">
        <v>2</v>
      </c>
      <c r="AS209" s="557">
        <v>2</v>
      </c>
      <c r="AT209" s="557">
        <v>2</v>
      </c>
      <c r="AU209" s="557">
        <v>2</v>
      </c>
      <c r="AV209" s="557">
        <v>2</v>
      </c>
      <c r="AW209" s="557">
        <v>2</v>
      </c>
      <c r="AX209" s="557">
        <v>2</v>
      </c>
      <c r="AY209" s="557">
        <v>1</v>
      </c>
      <c r="AZ209" s="557">
        <v>2</v>
      </c>
      <c r="BA209" s="557">
        <v>2</v>
      </c>
      <c r="BB209" s="557">
        <v>1</v>
      </c>
      <c r="BC209" s="557">
        <v>1</v>
      </c>
      <c r="BD209" s="557">
        <v>2</v>
      </c>
      <c r="BE209" s="557">
        <v>2</v>
      </c>
      <c r="BF209" s="557">
        <v>2</v>
      </c>
      <c r="BH209" s="557">
        <v>1</v>
      </c>
      <c r="BI209" s="557">
        <v>2</v>
      </c>
      <c r="BJ209" s="557">
        <v>2</v>
      </c>
      <c r="BK209" s="557">
        <v>2</v>
      </c>
      <c r="BL209" s="557">
        <v>2</v>
      </c>
      <c r="BM209" s="557">
        <v>2</v>
      </c>
      <c r="BN209" s="557">
        <v>2</v>
      </c>
      <c r="BO209" s="557">
        <v>2</v>
      </c>
      <c r="BQ209" s="557">
        <v>2</v>
      </c>
      <c r="BS209" s="557">
        <v>2</v>
      </c>
      <c r="BT209" s="557">
        <v>2</v>
      </c>
      <c r="BV209" s="557">
        <v>2</v>
      </c>
    </row>
    <row r="210" spans="1:99" s="562" customFormat="1" x14ac:dyDescent="0.3">
      <c r="A210" s="561">
        <v>952</v>
      </c>
      <c r="B210" s="562" t="s">
        <v>984</v>
      </c>
      <c r="D210" s="562" t="s">
        <v>2046</v>
      </c>
      <c r="E210" s="562" t="s">
        <v>2472</v>
      </c>
      <c r="I210" s="562" t="s">
        <v>2001</v>
      </c>
      <c r="K210" s="562" t="s">
        <v>1979</v>
      </c>
      <c r="L210" s="562" t="s">
        <v>2473</v>
      </c>
      <c r="M210" s="562" t="s">
        <v>2474</v>
      </c>
      <c r="N210" s="562" t="s">
        <v>2044</v>
      </c>
      <c r="O210" s="562" t="s">
        <v>2176</v>
      </c>
      <c r="Q210" s="562" t="s">
        <v>2177</v>
      </c>
      <c r="R210" s="562" t="s">
        <v>2475</v>
      </c>
      <c r="S210" s="562" t="s">
        <v>1682</v>
      </c>
      <c r="T210" s="562" t="s">
        <v>2476</v>
      </c>
      <c r="X210" s="562" t="s">
        <v>986</v>
      </c>
      <c r="Y210" s="562" t="s">
        <v>2180</v>
      </c>
      <c r="Z210" s="562" t="s">
        <v>2477</v>
      </c>
      <c r="AA210" s="562" t="s">
        <v>2181</v>
      </c>
      <c r="AB210" s="562" t="s">
        <v>1980</v>
      </c>
      <c r="AC210" s="562" t="s">
        <v>2623</v>
      </c>
      <c r="AD210" s="562" t="s">
        <v>2182</v>
      </c>
      <c r="AE210" s="562" t="s">
        <v>2183</v>
      </c>
      <c r="AG210" s="562" t="s">
        <v>2184</v>
      </c>
      <c r="AJ210" s="562" t="s">
        <v>2478</v>
      </c>
      <c r="AL210" s="562" t="s">
        <v>2186</v>
      </c>
      <c r="AM210" s="562" t="s">
        <v>2187</v>
      </c>
      <c r="AN210" s="562" t="s">
        <v>1673</v>
      </c>
      <c r="AO210" s="562" t="s">
        <v>2003</v>
      </c>
      <c r="AQ210" s="562" t="s">
        <v>2189</v>
      </c>
      <c r="AR210" s="562" t="s">
        <v>2044</v>
      </c>
      <c r="AS210" s="562" t="s">
        <v>2044</v>
      </c>
      <c r="AU210" s="562" t="s">
        <v>2190</v>
      </c>
      <c r="AV210" s="562" t="s">
        <v>985</v>
      </c>
      <c r="AX210" s="562" t="s">
        <v>1980</v>
      </c>
      <c r="AY210" s="562" t="s">
        <v>2002</v>
      </c>
      <c r="BB210" s="562" t="s">
        <v>2192</v>
      </c>
      <c r="BD210" s="562" t="s">
        <v>2194</v>
      </c>
      <c r="BE210" s="562" t="s">
        <v>2479</v>
      </c>
      <c r="BF210" s="562" t="s">
        <v>2195</v>
      </c>
      <c r="BH210" s="562" t="s">
        <v>2196</v>
      </c>
      <c r="BJ210" s="562" t="s">
        <v>2480</v>
      </c>
      <c r="BK210" s="562" t="s">
        <v>986</v>
      </c>
      <c r="BL210" s="562" t="s">
        <v>986</v>
      </c>
      <c r="BM210" s="562" t="s">
        <v>2197</v>
      </c>
      <c r="BN210" s="562" t="s">
        <v>2198</v>
      </c>
      <c r="BO210" s="562" t="s">
        <v>2199</v>
      </c>
      <c r="BQ210" s="562" t="s">
        <v>2200</v>
      </c>
      <c r="BS210" s="562" t="s">
        <v>986</v>
      </c>
      <c r="BV210" s="562" t="s">
        <v>2201</v>
      </c>
    </row>
    <row r="211" spans="1:99" s="557" customFormat="1" x14ac:dyDescent="0.3">
      <c r="A211" s="556">
        <v>953</v>
      </c>
      <c r="B211" s="557" t="s">
        <v>987</v>
      </c>
      <c r="D211" s="557">
        <v>2</v>
      </c>
      <c r="E211" s="557">
        <v>2</v>
      </c>
      <c r="H211" s="557">
        <v>2</v>
      </c>
      <c r="I211" s="557">
        <v>2</v>
      </c>
      <c r="K211" s="557">
        <v>2</v>
      </c>
      <c r="L211" s="557">
        <v>2</v>
      </c>
      <c r="M211" s="557">
        <v>2</v>
      </c>
      <c r="N211" s="557">
        <v>2</v>
      </c>
      <c r="O211" s="557">
        <v>2</v>
      </c>
      <c r="Q211" s="557">
        <v>2</v>
      </c>
      <c r="R211" s="557">
        <v>2</v>
      </c>
      <c r="S211" s="557">
        <v>2</v>
      </c>
      <c r="T211" s="557">
        <v>2</v>
      </c>
      <c r="X211" s="557">
        <v>2</v>
      </c>
      <c r="Y211" s="557">
        <v>2</v>
      </c>
      <c r="Z211" s="557">
        <v>2</v>
      </c>
      <c r="AA211" s="557">
        <v>2</v>
      </c>
      <c r="AB211" s="557">
        <v>2</v>
      </c>
      <c r="AC211" s="557">
        <v>2</v>
      </c>
      <c r="AD211" s="557">
        <v>2</v>
      </c>
      <c r="AE211" s="557">
        <v>2</v>
      </c>
      <c r="AF211" s="557">
        <v>2</v>
      </c>
      <c r="AG211" s="557">
        <v>2</v>
      </c>
      <c r="AH211" s="557">
        <v>2</v>
      </c>
      <c r="AI211" s="557">
        <v>2</v>
      </c>
      <c r="AJ211" s="557">
        <v>2</v>
      </c>
      <c r="AK211" s="557">
        <v>2</v>
      </c>
      <c r="AL211" s="557">
        <v>2</v>
      </c>
      <c r="AM211" s="557">
        <v>2</v>
      </c>
      <c r="AN211" s="557">
        <v>2</v>
      </c>
      <c r="AO211" s="557">
        <v>2</v>
      </c>
      <c r="AP211" s="557">
        <v>2</v>
      </c>
      <c r="AQ211" s="557">
        <v>2</v>
      </c>
      <c r="AR211" s="557">
        <v>2</v>
      </c>
      <c r="AS211" s="557">
        <v>2</v>
      </c>
      <c r="AT211" s="557">
        <v>2</v>
      </c>
      <c r="AU211" s="557">
        <v>2</v>
      </c>
      <c r="AV211" s="557">
        <v>2</v>
      </c>
      <c r="AW211" s="557">
        <v>2</v>
      </c>
      <c r="AX211" s="557">
        <v>2</v>
      </c>
      <c r="AY211" s="557">
        <v>2</v>
      </c>
      <c r="AZ211" s="557">
        <v>2</v>
      </c>
      <c r="BA211" s="557">
        <v>2</v>
      </c>
      <c r="BB211" s="557">
        <v>2</v>
      </c>
      <c r="BC211" s="557">
        <v>2</v>
      </c>
      <c r="BD211" s="557">
        <v>2</v>
      </c>
      <c r="BE211" s="557">
        <v>2</v>
      </c>
      <c r="BF211" s="557">
        <v>2</v>
      </c>
      <c r="BH211" s="557">
        <v>2</v>
      </c>
      <c r="BI211" s="557">
        <v>2</v>
      </c>
      <c r="BJ211" s="557">
        <v>2</v>
      </c>
      <c r="BK211" s="557">
        <v>2</v>
      </c>
      <c r="BL211" s="557">
        <v>2</v>
      </c>
      <c r="BM211" s="557">
        <v>2</v>
      </c>
      <c r="BN211" s="557">
        <v>2</v>
      </c>
      <c r="BO211" s="557">
        <v>2</v>
      </c>
      <c r="BQ211" s="557">
        <v>2</v>
      </c>
      <c r="BS211" s="557">
        <v>2</v>
      </c>
      <c r="BT211" s="557">
        <v>2</v>
      </c>
      <c r="BV211" s="557">
        <v>2</v>
      </c>
    </row>
    <row r="212" spans="1:99" s="562" customFormat="1" x14ac:dyDescent="0.3">
      <c r="A212" s="561">
        <v>954</v>
      </c>
      <c r="B212" s="562" t="s">
        <v>411</v>
      </c>
      <c r="D212" s="562" t="s">
        <v>50</v>
      </c>
      <c r="E212" s="562" t="s">
        <v>50</v>
      </c>
      <c r="H212" s="562" t="s">
        <v>50</v>
      </c>
      <c r="I212" s="562" t="s">
        <v>50</v>
      </c>
      <c r="K212" s="562" t="s">
        <v>50</v>
      </c>
      <c r="L212" s="562" t="s">
        <v>50</v>
      </c>
      <c r="M212" s="562" t="s">
        <v>50</v>
      </c>
      <c r="N212" s="562" t="s">
        <v>50</v>
      </c>
      <c r="O212" s="562" t="s">
        <v>50</v>
      </c>
      <c r="Q212" s="562" t="s">
        <v>50</v>
      </c>
      <c r="R212" s="562" t="s">
        <v>50</v>
      </c>
      <c r="S212" s="562" t="s">
        <v>50</v>
      </c>
      <c r="T212" s="562" t="s">
        <v>50</v>
      </c>
      <c r="X212" s="562" t="s">
        <v>50</v>
      </c>
      <c r="Y212" s="562" t="s">
        <v>50</v>
      </c>
      <c r="Z212" s="562" t="s">
        <v>50</v>
      </c>
      <c r="AA212" s="562" t="s">
        <v>50</v>
      </c>
      <c r="AB212" s="562" t="s">
        <v>50</v>
      </c>
      <c r="AC212" s="562" t="s">
        <v>50</v>
      </c>
      <c r="AD212" s="562" t="s">
        <v>50</v>
      </c>
      <c r="AE212" s="562" t="s">
        <v>50</v>
      </c>
      <c r="AF212" s="562" t="s">
        <v>50</v>
      </c>
      <c r="AG212" s="562" t="s">
        <v>50</v>
      </c>
      <c r="AH212" s="562" t="s">
        <v>50</v>
      </c>
      <c r="AI212" s="562" t="s">
        <v>50</v>
      </c>
      <c r="AJ212" s="562" t="s">
        <v>50</v>
      </c>
      <c r="AK212" s="562" t="s">
        <v>50</v>
      </c>
      <c r="AL212" s="562" t="s">
        <v>50</v>
      </c>
      <c r="AM212" s="562" t="s">
        <v>50</v>
      </c>
      <c r="AN212" s="562" t="s">
        <v>50</v>
      </c>
      <c r="AO212" s="562" t="s">
        <v>50</v>
      </c>
      <c r="AP212" s="562" t="s">
        <v>50</v>
      </c>
      <c r="AQ212" s="562" t="s">
        <v>50</v>
      </c>
      <c r="AR212" s="562" t="s">
        <v>50</v>
      </c>
      <c r="AS212" s="562" t="s">
        <v>50</v>
      </c>
      <c r="AT212" s="562" t="s">
        <v>50</v>
      </c>
      <c r="AU212" s="562" t="s">
        <v>50</v>
      </c>
      <c r="AV212" s="562" t="s">
        <v>50</v>
      </c>
      <c r="AW212" s="562" t="s">
        <v>50</v>
      </c>
      <c r="AX212" s="562" t="s">
        <v>50</v>
      </c>
      <c r="AY212" s="562" t="s">
        <v>50</v>
      </c>
      <c r="AZ212" s="562" t="s">
        <v>50</v>
      </c>
      <c r="BA212" s="562" t="s">
        <v>1674</v>
      </c>
      <c r="BB212" s="562" t="s">
        <v>50</v>
      </c>
      <c r="BC212" s="562" t="s">
        <v>50</v>
      </c>
      <c r="BD212" s="562" t="s">
        <v>50</v>
      </c>
      <c r="BE212" s="562" t="s">
        <v>50</v>
      </c>
      <c r="BF212" s="562" t="s">
        <v>50</v>
      </c>
      <c r="BH212" s="562" t="s">
        <v>50</v>
      </c>
      <c r="BI212" s="562" t="s">
        <v>50</v>
      </c>
      <c r="BJ212" s="562" t="s">
        <v>50</v>
      </c>
      <c r="BK212" s="562" t="s">
        <v>50</v>
      </c>
      <c r="BL212" s="562" t="s">
        <v>50</v>
      </c>
      <c r="BM212" s="562" t="s">
        <v>50</v>
      </c>
      <c r="BN212" s="562" t="s">
        <v>50</v>
      </c>
      <c r="BO212" s="562" t="s">
        <v>50</v>
      </c>
      <c r="BQ212" s="562" t="s">
        <v>50</v>
      </c>
      <c r="BS212" s="562" t="s">
        <v>50</v>
      </c>
      <c r="BT212" s="562" t="s">
        <v>50</v>
      </c>
      <c r="BV212" s="562" t="s">
        <v>50</v>
      </c>
    </row>
    <row r="213" spans="1:99" s="557" customFormat="1" x14ac:dyDescent="0.3">
      <c r="A213" s="556">
        <v>955</v>
      </c>
      <c r="B213" s="557" t="s">
        <v>988</v>
      </c>
      <c r="D213" s="557">
        <v>1</v>
      </c>
      <c r="E213" s="557">
        <v>0</v>
      </c>
      <c r="H213" s="557">
        <v>0</v>
      </c>
      <c r="I213" s="557">
        <v>0</v>
      </c>
      <c r="K213" s="557">
        <v>0</v>
      </c>
      <c r="L213" s="557">
        <v>0</v>
      </c>
      <c r="M213" s="557">
        <v>0</v>
      </c>
      <c r="N213" s="557">
        <v>0</v>
      </c>
      <c r="O213" s="557">
        <v>0</v>
      </c>
      <c r="Q213" s="557">
        <v>1</v>
      </c>
      <c r="R213" s="557">
        <v>0</v>
      </c>
      <c r="S213" s="557">
        <v>0</v>
      </c>
      <c r="T213" s="557">
        <v>0</v>
      </c>
      <c r="X213" s="557">
        <v>0</v>
      </c>
      <c r="Y213" s="557">
        <v>0</v>
      </c>
      <c r="Z213" s="557">
        <v>0</v>
      </c>
      <c r="AA213" s="557">
        <v>1</v>
      </c>
      <c r="AB213" s="557">
        <v>0</v>
      </c>
      <c r="AC213" s="557">
        <v>0</v>
      </c>
      <c r="AD213" s="557">
        <v>0</v>
      </c>
      <c r="AE213" s="557">
        <v>1</v>
      </c>
      <c r="AF213" s="557">
        <v>1</v>
      </c>
      <c r="AG213" s="557">
        <v>1</v>
      </c>
      <c r="AH213" s="557">
        <v>1</v>
      </c>
      <c r="AI213" s="557">
        <v>0</v>
      </c>
      <c r="AJ213" s="557">
        <v>3</v>
      </c>
      <c r="AK213" s="557">
        <v>0</v>
      </c>
      <c r="AL213" s="557">
        <v>0</v>
      </c>
      <c r="AM213" s="557">
        <v>0</v>
      </c>
      <c r="AN213" s="557">
        <v>2</v>
      </c>
      <c r="AO213" s="557">
        <v>1</v>
      </c>
      <c r="AP213" s="557">
        <v>0</v>
      </c>
      <c r="AQ213" s="557">
        <v>0</v>
      </c>
      <c r="AR213" s="557">
        <v>0</v>
      </c>
      <c r="AS213" s="557">
        <v>0</v>
      </c>
      <c r="AT213" s="557">
        <v>0</v>
      </c>
      <c r="AU213" s="557">
        <v>0</v>
      </c>
      <c r="AV213" s="557">
        <v>0</v>
      </c>
      <c r="AW213" s="557">
        <v>0</v>
      </c>
      <c r="AX213" s="557">
        <v>1</v>
      </c>
      <c r="AY213" s="557">
        <v>0</v>
      </c>
      <c r="AZ213" s="557">
        <v>0</v>
      </c>
      <c r="BA213" s="557">
        <v>0</v>
      </c>
      <c r="BB213" s="557">
        <v>1</v>
      </c>
      <c r="BC213" s="557">
        <v>0</v>
      </c>
      <c r="BD213" s="557">
        <v>0</v>
      </c>
      <c r="BE213" s="557">
        <v>0</v>
      </c>
      <c r="BF213" s="557">
        <v>0</v>
      </c>
      <c r="BH213" s="557">
        <v>0</v>
      </c>
      <c r="BI213" s="557">
        <v>0</v>
      </c>
      <c r="BJ213" s="557">
        <v>1</v>
      </c>
      <c r="BK213" s="557">
        <v>0</v>
      </c>
      <c r="BL213" s="557">
        <v>0</v>
      </c>
      <c r="BM213" s="557">
        <v>0</v>
      </c>
      <c r="BN213" s="557">
        <v>2</v>
      </c>
      <c r="BO213" s="557">
        <v>0</v>
      </c>
      <c r="BQ213" s="557">
        <v>0</v>
      </c>
      <c r="BS213" s="557">
        <v>0</v>
      </c>
      <c r="BT213" s="557">
        <v>1</v>
      </c>
      <c r="BV213" s="557">
        <v>0</v>
      </c>
    </row>
    <row r="214" spans="1:99" s="562" customFormat="1" x14ac:dyDescent="0.3">
      <c r="A214" s="561">
        <v>956</v>
      </c>
      <c r="B214" s="562" t="s">
        <v>412</v>
      </c>
      <c r="D214" s="562" t="s">
        <v>50</v>
      </c>
      <c r="E214" s="562" t="s">
        <v>50</v>
      </c>
      <c r="H214" s="562" t="s">
        <v>50</v>
      </c>
      <c r="I214" s="562" t="s">
        <v>50</v>
      </c>
      <c r="K214" s="562" t="s">
        <v>50</v>
      </c>
      <c r="L214" s="562" t="s">
        <v>50</v>
      </c>
      <c r="M214" s="562" t="s">
        <v>50</v>
      </c>
      <c r="N214" s="562" t="s">
        <v>50</v>
      </c>
      <c r="O214" s="562" t="s">
        <v>50</v>
      </c>
      <c r="Q214" s="562" t="s">
        <v>50</v>
      </c>
      <c r="R214" s="562" t="s">
        <v>50</v>
      </c>
      <c r="S214" s="562" t="s">
        <v>50</v>
      </c>
      <c r="T214" s="562" t="s">
        <v>50</v>
      </c>
      <c r="X214" s="562" t="s">
        <v>50</v>
      </c>
      <c r="Y214" s="562" t="s">
        <v>50</v>
      </c>
      <c r="Z214" s="562" t="s">
        <v>50</v>
      </c>
      <c r="AA214" s="562" t="s">
        <v>50</v>
      </c>
      <c r="AB214" s="562" t="s">
        <v>50</v>
      </c>
      <c r="AC214" s="562" t="s">
        <v>50</v>
      </c>
      <c r="AD214" s="562" t="s">
        <v>50</v>
      </c>
      <c r="AE214" s="562" t="s">
        <v>50</v>
      </c>
      <c r="AF214" s="562" t="s">
        <v>50</v>
      </c>
      <c r="AG214" s="562" t="s">
        <v>50</v>
      </c>
      <c r="AH214" s="562" t="s">
        <v>50</v>
      </c>
      <c r="AI214" s="562" t="s">
        <v>50</v>
      </c>
      <c r="AJ214" s="562" t="s">
        <v>50</v>
      </c>
      <c r="AK214" s="562" t="s">
        <v>50</v>
      </c>
      <c r="AL214" s="562" t="s">
        <v>50</v>
      </c>
      <c r="AM214" s="562" t="s">
        <v>50</v>
      </c>
      <c r="AN214" s="562" t="s">
        <v>50</v>
      </c>
      <c r="AO214" s="562" t="s">
        <v>50</v>
      </c>
      <c r="AP214" s="562" t="s">
        <v>50</v>
      </c>
      <c r="AQ214" s="562" t="s">
        <v>50</v>
      </c>
      <c r="AR214" s="562" t="s">
        <v>50</v>
      </c>
      <c r="AS214" s="562" t="s">
        <v>50</v>
      </c>
      <c r="AT214" s="562" t="s">
        <v>50</v>
      </c>
      <c r="AU214" s="562" t="s">
        <v>50</v>
      </c>
      <c r="AV214" s="562" t="s">
        <v>50</v>
      </c>
      <c r="AW214" s="562" t="s">
        <v>50</v>
      </c>
      <c r="AX214" s="562" t="s">
        <v>50</v>
      </c>
      <c r="AY214" s="562" t="s">
        <v>50</v>
      </c>
      <c r="AZ214" s="562" t="s">
        <v>50</v>
      </c>
      <c r="BA214" s="562" t="s">
        <v>1674</v>
      </c>
      <c r="BB214" s="562" t="s">
        <v>50</v>
      </c>
      <c r="BC214" s="562" t="s">
        <v>50</v>
      </c>
      <c r="BD214" s="562" t="s">
        <v>50</v>
      </c>
      <c r="BE214" s="562" t="s">
        <v>50</v>
      </c>
      <c r="BF214" s="562" t="s">
        <v>50</v>
      </c>
      <c r="BH214" s="562" t="s">
        <v>50</v>
      </c>
      <c r="BI214" s="562" t="s">
        <v>50</v>
      </c>
      <c r="BJ214" s="562" t="s">
        <v>50</v>
      </c>
      <c r="BK214" s="562" t="s">
        <v>50</v>
      </c>
      <c r="BL214" s="562" t="s">
        <v>50</v>
      </c>
      <c r="BM214" s="562" t="s">
        <v>50</v>
      </c>
      <c r="BN214" s="562" t="s">
        <v>50</v>
      </c>
      <c r="BO214" s="562" t="s">
        <v>50</v>
      </c>
      <c r="BQ214" s="562" t="s">
        <v>50</v>
      </c>
      <c r="BS214" s="562" t="s">
        <v>50</v>
      </c>
      <c r="BT214" s="562" t="s">
        <v>50</v>
      </c>
      <c r="BV214" s="562" t="s">
        <v>50</v>
      </c>
    </row>
    <row r="215" spans="1:99" s="557" customFormat="1" x14ac:dyDescent="0.3">
      <c r="A215" s="556">
        <v>957</v>
      </c>
      <c r="B215" s="557" t="s">
        <v>989</v>
      </c>
      <c r="D215" s="557">
        <v>0</v>
      </c>
      <c r="E215" s="557">
        <v>0</v>
      </c>
      <c r="H215" s="557">
        <v>0</v>
      </c>
      <c r="I215" s="557">
        <v>0</v>
      </c>
      <c r="K215" s="557">
        <v>0</v>
      </c>
      <c r="L215" s="557">
        <v>0</v>
      </c>
      <c r="M215" s="557">
        <v>0</v>
      </c>
      <c r="N215" s="557">
        <v>0</v>
      </c>
      <c r="O215" s="557">
        <v>0</v>
      </c>
      <c r="Q215" s="557">
        <v>0</v>
      </c>
      <c r="R215" s="557">
        <v>0</v>
      </c>
      <c r="S215" s="557">
        <v>0</v>
      </c>
      <c r="T215" s="557">
        <v>0</v>
      </c>
      <c r="X215" s="557">
        <v>0</v>
      </c>
      <c r="Y215" s="557">
        <v>0</v>
      </c>
      <c r="Z215" s="557">
        <v>0</v>
      </c>
      <c r="AA215" s="557">
        <v>0</v>
      </c>
      <c r="AB215" s="557">
        <v>0</v>
      </c>
      <c r="AC215" s="557">
        <v>0</v>
      </c>
      <c r="AD215" s="557">
        <v>0</v>
      </c>
      <c r="AE215" s="557">
        <v>0</v>
      </c>
      <c r="AF215" s="557">
        <v>0</v>
      </c>
      <c r="AG215" s="557">
        <v>0</v>
      </c>
      <c r="AH215" s="557">
        <v>0</v>
      </c>
      <c r="AI215" s="557">
        <v>0</v>
      </c>
      <c r="AJ215" s="557">
        <v>2</v>
      </c>
      <c r="AK215" s="557">
        <v>0</v>
      </c>
      <c r="AL215" s="557">
        <v>0</v>
      </c>
      <c r="AM215" s="557">
        <v>1</v>
      </c>
      <c r="AN215" s="557">
        <v>0</v>
      </c>
      <c r="AO215" s="557">
        <v>0</v>
      </c>
      <c r="AP215" s="557">
        <v>0</v>
      </c>
      <c r="AQ215" s="557">
        <v>0</v>
      </c>
      <c r="AR215" s="557">
        <v>0</v>
      </c>
      <c r="AS215" s="557">
        <v>0</v>
      </c>
      <c r="AT215" s="557">
        <v>1</v>
      </c>
      <c r="AU215" s="557">
        <v>0</v>
      </c>
      <c r="AV215" s="557">
        <v>0</v>
      </c>
      <c r="AW215" s="557">
        <v>0</v>
      </c>
      <c r="AX215" s="557">
        <v>0</v>
      </c>
      <c r="AY215" s="557">
        <v>0</v>
      </c>
      <c r="AZ215" s="557">
        <v>0</v>
      </c>
      <c r="BA215" s="557">
        <v>0</v>
      </c>
      <c r="BB215" s="557">
        <v>0</v>
      </c>
      <c r="BC215" s="557">
        <v>2</v>
      </c>
      <c r="BD215" s="557">
        <v>0</v>
      </c>
      <c r="BE215" s="557">
        <v>0</v>
      </c>
      <c r="BF215" s="557">
        <v>0</v>
      </c>
      <c r="BH215" s="557">
        <v>0</v>
      </c>
      <c r="BI215" s="557">
        <v>1</v>
      </c>
      <c r="BJ215" s="557">
        <v>0</v>
      </c>
      <c r="BK215" s="557">
        <v>0</v>
      </c>
      <c r="BL215" s="557">
        <v>1</v>
      </c>
      <c r="BM215" s="557">
        <v>0</v>
      </c>
      <c r="BN215" s="557">
        <v>0</v>
      </c>
      <c r="BO215" s="557">
        <v>0</v>
      </c>
      <c r="BQ215" s="557">
        <v>0</v>
      </c>
      <c r="BS215" s="557">
        <v>0</v>
      </c>
      <c r="BT215" s="557">
        <v>0</v>
      </c>
      <c r="BV215" s="557">
        <v>0</v>
      </c>
    </row>
    <row r="216" spans="1:99" s="562" customFormat="1" x14ac:dyDescent="0.3">
      <c r="A216" s="561">
        <v>958</v>
      </c>
      <c r="B216" s="562" t="s">
        <v>990</v>
      </c>
      <c r="D216" s="562" t="s">
        <v>50</v>
      </c>
      <c r="E216" s="562" t="s">
        <v>50</v>
      </c>
      <c r="H216" s="562" t="s">
        <v>50</v>
      </c>
      <c r="I216" s="562" t="s">
        <v>50</v>
      </c>
      <c r="K216" s="562" t="s">
        <v>1674</v>
      </c>
      <c r="L216" s="562" t="s">
        <v>50</v>
      </c>
      <c r="M216" s="562" t="s">
        <v>50</v>
      </c>
      <c r="N216" s="562" t="s">
        <v>50</v>
      </c>
      <c r="O216" s="562" t="s">
        <v>50</v>
      </c>
      <c r="Q216" s="562" t="s">
        <v>50</v>
      </c>
      <c r="R216" s="562" t="s">
        <v>50</v>
      </c>
      <c r="S216" s="562" t="s">
        <v>50</v>
      </c>
      <c r="T216" s="562" t="s">
        <v>50</v>
      </c>
      <c r="X216" s="562" t="s">
        <v>50</v>
      </c>
      <c r="Y216" s="562" t="s">
        <v>50</v>
      </c>
      <c r="Z216" s="562" t="s">
        <v>50</v>
      </c>
      <c r="AA216" s="562" t="s">
        <v>50</v>
      </c>
      <c r="AB216" s="562" t="s">
        <v>50</v>
      </c>
      <c r="AC216" s="562" t="s">
        <v>50</v>
      </c>
      <c r="AD216" s="562" t="s">
        <v>50</v>
      </c>
      <c r="AE216" s="562" t="s">
        <v>50</v>
      </c>
      <c r="AF216" s="562" t="s">
        <v>50</v>
      </c>
      <c r="AG216" s="562" t="s">
        <v>50</v>
      </c>
      <c r="AH216" s="562" t="s">
        <v>50</v>
      </c>
      <c r="AI216" s="562" t="s">
        <v>50</v>
      </c>
      <c r="AJ216" s="562" t="s">
        <v>51</v>
      </c>
      <c r="AK216" s="562" t="s">
        <v>50</v>
      </c>
      <c r="AL216" s="562" t="s">
        <v>50</v>
      </c>
      <c r="AM216" s="562" t="s">
        <v>50</v>
      </c>
      <c r="AN216" s="562" t="s">
        <v>50</v>
      </c>
      <c r="AO216" s="562" t="s">
        <v>50</v>
      </c>
      <c r="AP216" s="562" t="s">
        <v>50</v>
      </c>
      <c r="AQ216" s="562" t="s">
        <v>50</v>
      </c>
      <c r="AR216" s="562" t="s">
        <v>50</v>
      </c>
      <c r="AS216" s="562" t="s">
        <v>50</v>
      </c>
      <c r="AT216" s="562" t="s">
        <v>50</v>
      </c>
      <c r="AU216" s="562" t="s">
        <v>50</v>
      </c>
      <c r="AV216" s="562" t="s">
        <v>50</v>
      </c>
      <c r="AW216" s="562" t="s">
        <v>50</v>
      </c>
      <c r="AX216" s="562" t="s">
        <v>50</v>
      </c>
      <c r="AY216" s="562" t="s">
        <v>50</v>
      </c>
      <c r="AZ216" s="562" t="s">
        <v>50</v>
      </c>
      <c r="BA216" s="562" t="s">
        <v>1674</v>
      </c>
      <c r="BB216" s="562" t="s">
        <v>50</v>
      </c>
      <c r="BC216" s="562" t="s">
        <v>50</v>
      </c>
      <c r="BD216" s="562" t="s">
        <v>50</v>
      </c>
      <c r="BE216" s="562" t="s">
        <v>50</v>
      </c>
      <c r="BF216" s="562" t="s">
        <v>50</v>
      </c>
      <c r="BH216" s="562" t="s">
        <v>50</v>
      </c>
      <c r="BI216" s="562" t="s">
        <v>50</v>
      </c>
      <c r="BJ216" s="562" t="s">
        <v>50</v>
      </c>
      <c r="BK216" s="562" t="s">
        <v>50</v>
      </c>
      <c r="BL216" s="562" t="s">
        <v>50</v>
      </c>
      <c r="BM216" s="562" t="s">
        <v>50</v>
      </c>
      <c r="BN216" s="562" t="s">
        <v>51</v>
      </c>
      <c r="BO216" s="562" t="s">
        <v>50</v>
      </c>
      <c r="BQ216" s="562" t="s">
        <v>50</v>
      </c>
      <c r="BS216" s="562" t="s">
        <v>50</v>
      </c>
      <c r="BT216" s="562" t="s">
        <v>50</v>
      </c>
      <c r="BV216" s="562" t="s">
        <v>50</v>
      </c>
    </row>
    <row r="217" spans="1:99" s="557" customFormat="1" x14ac:dyDescent="0.3">
      <c r="A217" s="556">
        <v>959</v>
      </c>
      <c r="B217" s="557" t="s">
        <v>991</v>
      </c>
      <c r="D217" s="557">
        <v>2</v>
      </c>
      <c r="E217" s="557">
        <v>2</v>
      </c>
      <c r="H217" s="557">
        <v>2</v>
      </c>
      <c r="I217" s="557">
        <v>2</v>
      </c>
      <c r="K217" s="557">
        <v>2</v>
      </c>
      <c r="L217" s="557">
        <v>2</v>
      </c>
      <c r="M217" s="557">
        <v>2</v>
      </c>
      <c r="N217" s="557">
        <v>3</v>
      </c>
      <c r="O217" s="557">
        <v>2</v>
      </c>
      <c r="Q217" s="557">
        <v>2</v>
      </c>
      <c r="R217" s="557">
        <v>2</v>
      </c>
      <c r="S217" s="557">
        <v>2</v>
      </c>
      <c r="T217" s="557">
        <v>2</v>
      </c>
      <c r="X217" s="557">
        <v>2</v>
      </c>
      <c r="Y217" s="557">
        <v>2</v>
      </c>
      <c r="Z217" s="557">
        <v>2</v>
      </c>
      <c r="AA217" s="557">
        <v>2</v>
      </c>
      <c r="AB217" s="557">
        <v>2</v>
      </c>
      <c r="AC217" s="557">
        <v>2</v>
      </c>
      <c r="AD217" s="557">
        <v>2</v>
      </c>
      <c r="AE217" s="557">
        <v>2</v>
      </c>
      <c r="AF217" s="557">
        <v>2</v>
      </c>
      <c r="AG217" s="557">
        <v>2</v>
      </c>
      <c r="AH217" s="557">
        <v>3</v>
      </c>
      <c r="AI217" s="557">
        <v>2</v>
      </c>
      <c r="AJ217" s="557">
        <v>2</v>
      </c>
      <c r="AK217" s="557">
        <v>3</v>
      </c>
      <c r="AL217" s="557">
        <v>2</v>
      </c>
      <c r="AM217" s="557">
        <v>2</v>
      </c>
      <c r="AN217" s="557">
        <v>3</v>
      </c>
      <c r="AO217" s="557">
        <v>2</v>
      </c>
      <c r="AP217" s="557">
        <v>2</v>
      </c>
      <c r="AQ217" s="557">
        <v>2</v>
      </c>
      <c r="AR217" s="557">
        <v>2</v>
      </c>
      <c r="AS217" s="557">
        <v>2</v>
      </c>
      <c r="AT217" s="557">
        <v>2</v>
      </c>
      <c r="AU217" s="557">
        <v>2</v>
      </c>
      <c r="AV217" s="557">
        <v>2</v>
      </c>
      <c r="AW217" s="557">
        <v>2</v>
      </c>
      <c r="AX217" s="557">
        <v>3</v>
      </c>
      <c r="AY217" s="557">
        <v>3</v>
      </c>
      <c r="AZ217" s="557">
        <v>2</v>
      </c>
      <c r="BA217" s="557">
        <v>3</v>
      </c>
      <c r="BB217" s="557">
        <v>3</v>
      </c>
      <c r="BC217" s="557">
        <v>3</v>
      </c>
      <c r="BD217" s="557">
        <v>2</v>
      </c>
      <c r="BE217" s="557">
        <v>2</v>
      </c>
      <c r="BF217" s="557">
        <v>2</v>
      </c>
      <c r="BH217" s="557">
        <v>3</v>
      </c>
      <c r="BI217" s="557">
        <v>2</v>
      </c>
      <c r="BJ217" s="557">
        <v>2</v>
      </c>
      <c r="BK217" s="557">
        <v>2</v>
      </c>
      <c r="BL217" s="557">
        <v>2</v>
      </c>
      <c r="BM217" s="557">
        <v>2</v>
      </c>
      <c r="BN217" s="557">
        <v>2</v>
      </c>
      <c r="BO217" s="557">
        <v>2</v>
      </c>
      <c r="BQ217" s="557">
        <v>2</v>
      </c>
      <c r="BS217" s="557">
        <v>2</v>
      </c>
      <c r="BT217" s="557">
        <v>2</v>
      </c>
      <c r="BV217" s="557">
        <v>2</v>
      </c>
    </row>
    <row r="218" spans="1:99" x14ac:dyDescent="0.3">
      <c r="A218" s="155">
        <v>960</v>
      </c>
      <c r="B218" s="180" t="s">
        <v>992</v>
      </c>
      <c r="C218" s="180"/>
      <c r="D218" s="180" t="s">
        <v>2202</v>
      </c>
      <c r="E218" s="180" t="s">
        <v>2203</v>
      </c>
      <c r="F218" s="180"/>
      <c r="G218" s="180"/>
      <c r="H218" s="180" t="s">
        <v>2481</v>
      </c>
      <c r="I218" s="180" t="s">
        <v>2206</v>
      </c>
      <c r="J218" s="180"/>
      <c r="K218" s="180" t="s">
        <v>2482</v>
      </c>
      <c r="L218" s="180" t="s">
        <v>2209</v>
      </c>
      <c r="M218" s="180" t="s">
        <v>2483</v>
      </c>
      <c r="N218" s="180" t="s">
        <v>2484</v>
      </c>
      <c r="O218" s="180" t="s">
        <v>2212</v>
      </c>
      <c r="P218" s="180"/>
      <c r="Q218" s="180" t="s">
        <v>2213</v>
      </c>
      <c r="R218" s="180" t="s">
        <v>2485</v>
      </c>
      <c r="S218" s="180" t="s">
        <v>2486</v>
      </c>
      <c r="T218" s="180" t="s">
        <v>2487</v>
      </c>
      <c r="U218" s="180"/>
      <c r="V218" s="180"/>
      <c r="W218" s="180"/>
      <c r="X218" s="180" t="s">
        <v>2219</v>
      </c>
      <c r="Y218" s="180" t="s">
        <v>2220</v>
      </c>
      <c r="Z218" s="180" t="s">
        <v>2221</v>
      </c>
      <c r="AA218" s="180" t="s">
        <v>2222</v>
      </c>
      <c r="AB218" s="180" t="s">
        <v>2223</v>
      </c>
      <c r="AC218" s="180" t="s">
        <v>2624</v>
      </c>
      <c r="AD218" s="180" t="s">
        <v>2225</v>
      </c>
      <c r="AE218" s="180" t="s">
        <v>2226</v>
      </c>
      <c r="AF218" s="180" t="s">
        <v>2454</v>
      </c>
      <c r="AG218" s="180" t="s">
        <v>2488</v>
      </c>
      <c r="AH218" s="180" t="s">
        <v>2489</v>
      </c>
      <c r="AI218" s="180" t="s">
        <v>2490</v>
      </c>
      <c r="AJ218" s="180" t="s">
        <v>2491</v>
      </c>
      <c r="AK218" s="180" t="s">
        <v>2230</v>
      </c>
      <c r="AL218" s="180" t="s">
        <v>2231</v>
      </c>
      <c r="AM218" s="180" t="s">
        <v>2232</v>
      </c>
      <c r="AN218" s="180" t="s">
        <v>2492</v>
      </c>
      <c r="AO218" s="180" t="s">
        <v>2493</v>
      </c>
      <c r="AP218" s="180" t="s">
        <v>2235</v>
      </c>
      <c r="AQ218" s="180" t="s">
        <v>2236</v>
      </c>
      <c r="AR218" s="180" t="s">
        <v>2047</v>
      </c>
      <c r="AS218" s="180" t="s">
        <v>2237</v>
      </c>
      <c r="AT218" s="180" t="s">
        <v>2238</v>
      </c>
      <c r="AU218" s="180" t="s">
        <v>2239</v>
      </c>
      <c r="AV218" s="180" t="s">
        <v>2240</v>
      </c>
      <c r="AW218" s="180" t="s">
        <v>2241</v>
      </c>
      <c r="AX218" s="180" t="s">
        <v>2494</v>
      </c>
      <c r="AY218" s="180" t="s">
        <v>2243</v>
      </c>
      <c r="AZ218" s="180" t="s">
        <v>2244</v>
      </c>
      <c r="BA218" s="180" t="s">
        <v>2245</v>
      </c>
      <c r="BB218" s="180" t="s">
        <v>2246</v>
      </c>
      <c r="BC218" s="180" t="s">
        <v>2495</v>
      </c>
      <c r="BD218" s="180" t="s">
        <v>2248</v>
      </c>
      <c r="BE218" s="180" t="s">
        <v>2496</v>
      </c>
      <c r="BF218" s="180" t="s">
        <v>2497</v>
      </c>
      <c r="BG218" s="180"/>
      <c r="BH218" s="180" t="s">
        <v>2251</v>
      </c>
      <c r="BI218" s="180" t="s">
        <v>2252</v>
      </c>
      <c r="BJ218" s="180" t="s">
        <v>2253</v>
      </c>
      <c r="BK218" s="180" t="s">
        <v>2254</v>
      </c>
      <c r="BL218" s="180" t="s">
        <v>2255</v>
      </c>
      <c r="BM218" s="180" t="s">
        <v>2256</v>
      </c>
      <c r="BN218" s="180" t="s">
        <v>2257</v>
      </c>
      <c r="BO218" s="180" t="s">
        <v>2258</v>
      </c>
      <c r="BP218" s="180"/>
      <c r="BQ218" s="180" t="s">
        <v>2260</v>
      </c>
      <c r="BR218" s="180"/>
      <c r="BS218" s="180" t="s">
        <v>2261</v>
      </c>
      <c r="BT218" s="180" t="s">
        <v>2498</v>
      </c>
      <c r="BU218" s="180"/>
      <c r="BV218" s="180" t="s">
        <v>2263</v>
      </c>
      <c r="BW218" s="180"/>
      <c r="BX218" s="180"/>
      <c r="BY218" s="180"/>
      <c r="BZ218" s="180"/>
      <c r="CA218" s="180"/>
      <c r="CB218" s="180"/>
      <c r="CC218" s="180"/>
      <c r="CD218" s="180"/>
      <c r="CE218" s="180"/>
      <c r="CF218" s="180"/>
      <c r="CG218" s="180"/>
      <c r="CH218" s="180"/>
      <c r="CI218" s="180"/>
      <c r="CJ218" s="180"/>
      <c r="CK218" s="180"/>
      <c r="CL218" s="180"/>
      <c r="CM218" s="180"/>
      <c r="CN218" s="180"/>
      <c r="CO218" s="180"/>
      <c r="CP218" s="180"/>
      <c r="CQ218" s="180"/>
      <c r="CR218" s="180"/>
      <c r="CS218" s="180"/>
      <c r="CT218" s="180"/>
      <c r="CU218" s="180"/>
    </row>
    <row r="219" spans="1:99" x14ac:dyDescent="0.3">
      <c r="A219" s="155">
        <v>962</v>
      </c>
      <c r="B219" s="180" t="s">
        <v>993</v>
      </c>
      <c r="C219" s="180"/>
      <c r="D219" s="180" t="s">
        <v>994</v>
      </c>
      <c r="E219" s="180" t="s">
        <v>1982</v>
      </c>
      <c r="F219" s="180"/>
      <c r="G219" s="180"/>
      <c r="H219" s="180" t="s">
        <v>994</v>
      </c>
      <c r="I219" s="180" t="s">
        <v>995</v>
      </c>
      <c r="J219" s="180"/>
      <c r="K219" s="180" t="s">
        <v>995</v>
      </c>
      <c r="L219" s="180" t="s">
        <v>994</v>
      </c>
      <c r="M219" s="180" t="s">
        <v>2499</v>
      </c>
      <c r="N219" s="180" t="s">
        <v>995</v>
      </c>
      <c r="O219" s="180" t="s">
        <v>2024</v>
      </c>
      <c r="P219" s="180"/>
      <c r="Q219" s="180" t="s">
        <v>997</v>
      </c>
      <c r="R219" s="180" t="s">
        <v>998</v>
      </c>
      <c r="S219" s="180" t="s">
        <v>995</v>
      </c>
      <c r="T219" s="180" t="s">
        <v>994</v>
      </c>
      <c r="U219" s="180"/>
      <c r="V219" s="180"/>
      <c r="W219" s="180"/>
      <c r="X219" s="180" t="s">
        <v>995</v>
      </c>
      <c r="Y219" s="180" t="s">
        <v>998</v>
      </c>
      <c r="Z219" s="180" t="s">
        <v>1983</v>
      </c>
      <c r="AA219" s="180" t="s">
        <v>994</v>
      </c>
      <c r="AB219" s="180" t="s">
        <v>2059</v>
      </c>
      <c r="AC219" s="180" t="s">
        <v>995</v>
      </c>
      <c r="AD219" s="180" t="s">
        <v>1131</v>
      </c>
      <c r="AE219" s="180" t="s">
        <v>995</v>
      </c>
      <c r="AF219" s="180" t="s">
        <v>2466</v>
      </c>
      <c r="AG219" s="180" t="s">
        <v>995</v>
      </c>
      <c r="AH219" s="180" t="s">
        <v>2500</v>
      </c>
      <c r="AI219" s="180" t="s">
        <v>995</v>
      </c>
      <c r="AJ219" s="180" t="s">
        <v>2269</v>
      </c>
      <c r="AK219" s="180" t="s">
        <v>995</v>
      </c>
      <c r="AL219" s="180" t="s">
        <v>995</v>
      </c>
      <c r="AM219" s="180" t="s">
        <v>994</v>
      </c>
      <c r="AN219" s="180" t="s">
        <v>997</v>
      </c>
      <c r="AO219" s="180" t="s">
        <v>994</v>
      </c>
      <c r="AP219" s="180" t="s">
        <v>995</v>
      </c>
      <c r="AQ219" s="180" t="s">
        <v>995</v>
      </c>
      <c r="AR219" s="180" t="s">
        <v>995</v>
      </c>
      <c r="AS219" s="180" t="s">
        <v>2004</v>
      </c>
      <c r="AT219" s="180" t="s">
        <v>995</v>
      </c>
      <c r="AU219" s="180" t="s">
        <v>995</v>
      </c>
      <c r="AV219" s="180" t="s">
        <v>1131</v>
      </c>
      <c r="AW219" s="180" t="s">
        <v>995</v>
      </c>
      <c r="AX219" s="180" t="s">
        <v>2501</v>
      </c>
      <c r="AY219" s="180" t="s">
        <v>995</v>
      </c>
      <c r="AZ219" s="180" t="s">
        <v>994</v>
      </c>
      <c r="BA219" s="180" t="s">
        <v>995</v>
      </c>
      <c r="BB219" s="180" t="s">
        <v>997</v>
      </c>
      <c r="BC219" s="180" t="s">
        <v>995</v>
      </c>
      <c r="BD219" s="180" t="s">
        <v>994</v>
      </c>
      <c r="BE219" s="180" t="s">
        <v>995</v>
      </c>
      <c r="BF219" s="180" t="s">
        <v>2032</v>
      </c>
      <c r="BG219" s="180"/>
      <c r="BH219" s="180" t="s">
        <v>2502</v>
      </c>
      <c r="BI219" s="180" t="s">
        <v>995</v>
      </c>
      <c r="BJ219" s="180" t="s">
        <v>994</v>
      </c>
      <c r="BK219" s="180" t="s">
        <v>995</v>
      </c>
      <c r="BL219" s="180" t="s">
        <v>994</v>
      </c>
      <c r="BM219" s="180" t="s">
        <v>995</v>
      </c>
      <c r="BN219" s="180" t="s">
        <v>994</v>
      </c>
      <c r="BO219" s="180" t="s">
        <v>998</v>
      </c>
      <c r="BP219" s="180"/>
      <c r="BQ219" s="180" t="s">
        <v>2269</v>
      </c>
      <c r="BR219" s="180"/>
      <c r="BS219" s="180" t="s">
        <v>994</v>
      </c>
      <c r="BT219" s="180" t="s">
        <v>995</v>
      </c>
      <c r="BU219" s="180"/>
      <c r="BV219" s="180" t="s">
        <v>995</v>
      </c>
      <c r="BW219" s="180"/>
      <c r="BX219" s="180"/>
      <c r="BY219" s="180"/>
      <c r="BZ219" s="180"/>
      <c r="CA219" s="180"/>
      <c r="CB219" s="180"/>
      <c r="CC219" s="180"/>
      <c r="CD219" s="180"/>
      <c r="CE219" s="180"/>
      <c r="CF219" s="180"/>
      <c r="CG219" s="180"/>
      <c r="CH219" s="180"/>
      <c r="CI219" s="180"/>
      <c r="CJ219" s="180"/>
      <c r="CK219" s="180"/>
      <c r="CL219" s="180"/>
      <c r="CM219" s="180"/>
      <c r="CN219" s="180"/>
      <c r="CO219" s="180"/>
      <c r="CP219" s="180"/>
      <c r="CQ219" s="180"/>
      <c r="CR219" s="180"/>
      <c r="CS219" s="180"/>
      <c r="CT219" s="180"/>
      <c r="CU219" s="180"/>
    </row>
    <row r="220" spans="1:99" x14ac:dyDescent="0.3">
      <c r="A220" s="155">
        <v>964</v>
      </c>
      <c r="B220" s="180" t="s">
        <v>999</v>
      </c>
      <c r="C220" s="180"/>
      <c r="D220" s="180" t="s">
        <v>2015</v>
      </c>
      <c r="E220" s="180" t="s">
        <v>1677</v>
      </c>
      <c r="F220" s="180"/>
      <c r="G220" s="180"/>
      <c r="H220" s="180" t="s">
        <v>1675</v>
      </c>
      <c r="I220" s="180" t="s">
        <v>1991</v>
      </c>
      <c r="J220" s="180"/>
      <c r="K220" s="180" t="s">
        <v>2503</v>
      </c>
      <c r="L220" s="180" t="s">
        <v>2033</v>
      </c>
      <c r="M220" s="180" t="s">
        <v>1680</v>
      </c>
      <c r="N220" s="180" t="s">
        <v>2013</v>
      </c>
      <c r="O220" s="180" t="s">
        <v>2012</v>
      </c>
      <c r="P220" s="180"/>
      <c r="Q220" s="180" t="s">
        <v>2062</v>
      </c>
      <c r="R220" s="180" t="s">
        <v>2504</v>
      </c>
      <c r="S220" s="180" t="s">
        <v>2505</v>
      </c>
      <c r="T220" s="180" t="s">
        <v>1676</v>
      </c>
      <c r="U220" s="180"/>
      <c r="V220" s="180"/>
      <c r="W220" s="180"/>
      <c r="X220" s="180" t="s">
        <v>1679</v>
      </c>
      <c r="Y220" s="180" t="s">
        <v>2506</v>
      </c>
      <c r="Z220" s="180" t="s">
        <v>2012</v>
      </c>
      <c r="AA220" s="180" t="s">
        <v>2507</v>
      </c>
      <c r="AB220" s="180" t="s">
        <v>1991</v>
      </c>
      <c r="AC220" s="180" t="s">
        <v>2625</v>
      </c>
      <c r="AD220" s="180" t="s">
        <v>1686</v>
      </c>
      <c r="AE220" s="180" t="s">
        <v>2432</v>
      </c>
      <c r="AF220" s="180" t="s">
        <v>1676</v>
      </c>
      <c r="AG220" s="180" t="s">
        <v>2508</v>
      </c>
      <c r="AH220" s="180" t="s">
        <v>2509</v>
      </c>
      <c r="AI220" s="180" t="s">
        <v>1681</v>
      </c>
      <c r="AJ220" s="180" t="s">
        <v>2510</v>
      </c>
      <c r="AK220" s="180" t="s">
        <v>1689</v>
      </c>
      <c r="AL220" s="180" t="s">
        <v>2060</v>
      </c>
      <c r="AM220" s="180" t="s">
        <v>2511</v>
      </c>
      <c r="AN220" s="180" t="s">
        <v>2512</v>
      </c>
      <c r="AO220" s="180" t="s">
        <v>2513</v>
      </c>
      <c r="AP220" s="180" t="s">
        <v>1679</v>
      </c>
      <c r="AQ220" s="180" t="s">
        <v>1993</v>
      </c>
      <c r="AR220" s="180" t="s">
        <v>2014</v>
      </c>
      <c r="AS220" s="180" t="s">
        <v>1689</v>
      </c>
      <c r="AT220" s="180" t="s">
        <v>2009</v>
      </c>
      <c r="AU220" s="180" t="s">
        <v>2011</v>
      </c>
      <c r="AV220" s="180" t="s">
        <v>2514</v>
      </c>
      <c r="AW220" s="180" t="s">
        <v>2034</v>
      </c>
      <c r="AX220" s="180" t="s">
        <v>1986</v>
      </c>
      <c r="AY220" s="180" t="s">
        <v>1986</v>
      </c>
      <c r="AZ220" s="180" t="s">
        <v>1681</v>
      </c>
      <c r="BA220" s="180" t="s">
        <v>2515</v>
      </c>
      <c r="BB220" s="180" t="s">
        <v>2016</v>
      </c>
      <c r="BC220" s="180" t="s">
        <v>2516</v>
      </c>
      <c r="BD220" s="180" t="s">
        <v>2065</v>
      </c>
      <c r="BE220" s="180" t="s">
        <v>1686</v>
      </c>
      <c r="BF220" s="180" t="s">
        <v>1680</v>
      </c>
      <c r="BG220" s="180"/>
      <c r="BH220" s="180" t="s">
        <v>1986</v>
      </c>
      <c r="BI220" s="180" t="s">
        <v>2517</v>
      </c>
      <c r="BJ220" s="180" t="s">
        <v>2518</v>
      </c>
      <c r="BK220" s="180" t="s">
        <v>2519</v>
      </c>
      <c r="BL220" s="180" t="s">
        <v>1680</v>
      </c>
      <c r="BM220" s="180" t="s">
        <v>2520</v>
      </c>
      <c r="BN220" s="180" t="s">
        <v>2521</v>
      </c>
      <c r="BO220" s="180" t="s">
        <v>1684</v>
      </c>
      <c r="BP220" s="180"/>
      <c r="BQ220" s="180" t="s">
        <v>2522</v>
      </c>
      <c r="BR220" s="180"/>
      <c r="BS220" s="180" t="s">
        <v>2523</v>
      </c>
      <c r="BT220" s="180" t="s">
        <v>1992</v>
      </c>
      <c r="BU220" s="180"/>
      <c r="BV220" s="180" t="s">
        <v>2507</v>
      </c>
      <c r="BW220" s="180"/>
      <c r="BX220" s="180"/>
      <c r="BY220" s="180"/>
      <c r="BZ220" s="180"/>
      <c r="CA220" s="180"/>
      <c r="CB220" s="180"/>
      <c r="CC220" s="180"/>
      <c r="CD220" s="180"/>
      <c r="CE220" s="180"/>
      <c r="CF220" s="180"/>
      <c r="CG220" s="180"/>
      <c r="CH220" s="180"/>
      <c r="CI220" s="180"/>
      <c r="CJ220" s="180"/>
      <c r="CK220" s="180"/>
      <c r="CL220" s="180"/>
      <c r="CM220" s="180"/>
      <c r="CN220" s="180"/>
      <c r="CO220" s="180"/>
      <c r="CP220" s="180"/>
      <c r="CQ220" s="180"/>
      <c r="CR220" s="180"/>
      <c r="CS220" s="180"/>
      <c r="CT220" s="180"/>
      <c r="CU220" s="180"/>
    </row>
    <row r="221" spans="1:99" x14ac:dyDescent="0.3">
      <c r="A221" s="155">
        <v>966</v>
      </c>
      <c r="B221" s="180" t="s">
        <v>1009</v>
      </c>
      <c r="C221" s="180"/>
      <c r="D221" s="180" t="s">
        <v>2524</v>
      </c>
      <c r="E221" s="180" t="s">
        <v>2299</v>
      </c>
      <c r="F221" s="180"/>
      <c r="G221" s="180"/>
      <c r="H221" s="180" t="s">
        <v>2301</v>
      </c>
      <c r="I221" s="180" t="s">
        <v>2302</v>
      </c>
      <c r="J221" s="180"/>
      <c r="K221" s="180" t="s">
        <v>2304</v>
      </c>
      <c r="L221" s="180" t="s">
        <v>2525</v>
      </c>
      <c r="M221" s="180" t="s">
        <v>2306</v>
      </c>
      <c r="N221" s="180" t="s">
        <v>2307</v>
      </c>
      <c r="O221" s="180" t="s">
        <v>2308</v>
      </c>
      <c r="P221" s="180"/>
      <c r="Q221" s="180" t="s">
        <v>2309</v>
      </c>
      <c r="R221" s="180" t="s">
        <v>2310</v>
      </c>
      <c r="S221" s="180" t="s">
        <v>2311</v>
      </c>
      <c r="T221" s="180" t="s">
        <v>2312</v>
      </c>
      <c r="U221" s="180"/>
      <c r="V221" s="180"/>
      <c r="W221" s="180"/>
      <c r="X221" s="180" t="s">
        <v>2315</v>
      </c>
      <c r="Y221" s="180" t="s">
        <v>2316</v>
      </c>
      <c r="Z221" s="180" t="s">
        <v>2526</v>
      </c>
      <c r="AA221" s="180" t="s">
        <v>2318</v>
      </c>
      <c r="AB221" s="180" t="s">
        <v>2319</v>
      </c>
      <c r="AC221" s="180" t="s">
        <v>2320</v>
      </c>
      <c r="AD221" s="180" t="s">
        <v>2321</v>
      </c>
      <c r="AE221" s="180" t="s">
        <v>2322</v>
      </c>
      <c r="AF221" s="180" t="s">
        <v>2323</v>
      </c>
      <c r="AG221" s="180" t="s">
        <v>2324</v>
      </c>
      <c r="AH221" s="180" t="s">
        <v>2527</v>
      </c>
      <c r="AI221" s="180" t="s">
        <v>2325</v>
      </c>
      <c r="AJ221" s="180" t="s">
        <v>2326</v>
      </c>
      <c r="AK221" s="180" t="s">
        <v>2327</v>
      </c>
      <c r="AL221" s="180" t="s">
        <v>2528</v>
      </c>
      <c r="AM221" s="180" t="s">
        <v>2529</v>
      </c>
      <c r="AN221" s="180" t="s">
        <v>2530</v>
      </c>
      <c r="AO221" s="180" t="s">
        <v>2331</v>
      </c>
      <c r="AP221" s="180" t="s">
        <v>2332</v>
      </c>
      <c r="AQ221" s="180" t="s">
        <v>2333</v>
      </c>
      <c r="AR221" s="180" t="s">
        <v>2334</v>
      </c>
      <c r="AS221" s="180" t="s">
        <v>2335</v>
      </c>
      <c r="AT221" s="180" t="s">
        <v>2336</v>
      </c>
      <c r="AU221" s="180" t="s">
        <v>2337</v>
      </c>
      <c r="AV221" s="180" t="s">
        <v>2531</v>
      </c>
      <c r="AW221" s="180" t="s">
        <v>2339</v>
      </c>
      <c r="AX221" s="180" t="s">
        <v>2340</v>
      </c>
      <c r="AY221" s="180" t="s">
        <v>2341</v>
      </c>
      <c r="AZ221" s="180" t="s">
        <v>2342</v>
      </c>
      <c r="BA221" s="180" t="s">
        <v>2343</v>
      </c>
      <c r="BB221" s="180" t="s">
        <v>2344</v>
      </c>
      <c r="BC221" s="180" t="s">
        <v>2532</v>
      </c>
      <c r="BD221" s="180" t="s">
        <v>2533</v>
      </c>
      <c r="BE221" s="180"/>
      <c r="BF221" s="180" t="s">
        <v>2348</v>
      </c>
      <c r="BG221" s="180"/>
      <c r="BH221" s="180" t="s">
        <v>2349</v>
      </c>
      <c r="BI221" s="180" t="s">
        <v>2350</v>
      </c>
      <c r="BJ221" s="180" t="s">
        <v>2534</v>
      </c>
      <c r="BK221" s="180" t="s">
        <v>2352</v>
      </c>
      <c r="BL221" s="180" t="s">
        <v>2535</v>
      </c>
      <c r="BM221" s="180" t="s">
        <v>2354</v>
      </c>
      <c r="BN221" s="180" t="s">
        <v>2355</v>
      </c>
      <c r="BO221" s="180" t="s">
        <v>2356</v>
      </c>
      <c r="BP221" s="180"/>
      <c r="BQ221" s="180" t="s">
        <v>2358</v>
      </c>
      <c r="BR221" s="180"/>
      <c r="BS221" s="180" t="s">
        <v>2359</v>
      </c>
      <c r="BT221" s="180" t="s">
        <v>2360</v>
      </c>
      <c r="BU221" s="180"/>
      <c r="BV221" s="180" t="s">
        <v>2361</v>
      </c>
      <c r="BW221" s="180"/>
      <c r="BX221" s="180"/>
      <c r="BY221" s="180"/>
      <c r="BZ221" s="180"/>
      <c r="CA221" s="180"/>
      <c r="CB221" s="180"/>
      <c r="CC221" s="180"/>
      <c r="CD221" s="180"/>
      <c r="CE221" s="180"/>
      <c r="CF221" s="180"/>
      <c r="CG221" s="180"/>
      <c r="CH221" s="180"/>
      <c r="CI221" s="180"/>
      <c r="CJ221" s="180"/>
      <c r="CK221" s="180"/>
      <c r="CL221" s="180"/>
      <c r="CM221" s="180"/>
      <c r="CN221" s="180"/>
      <c r="CO221" s="180"/>
      <c r="CP221" s="180"/>
      <c r="CQ221" s="180"/>
      <c r="CR221" s="180"/>
      <c r="CS221" s="180"/>
      <c r="CT221" s="180"/>
      <c r="CU221" s="180"/>
    </row>
    <row r="222" spans="1:99" x14ac:dyDescent="0.3">
      <c r="A222" s="155">
        <v>968</v>
      </c>
      <c r="B222" s="180" t="s">
        <v>1010</v>
      </c>
      <c r="C222" s="180"/>
      <c r="D222" s="180" t="s">
        <v>2362</v>
      </c>
      <c r="E222" s="180" t="s">
        <v>2363</v>
      </c>
      <c r="F222" s="180"/>
      <c r="G222" s="180"/>
      <c r="H222" s="180" t="s">
        <v>2536</v>
      </c>
      <c r="I222" s="180" t="s">
        <v>2366</v>
      </c>
      <c r="J222" s="180"/>
      <c r="K222" s="180" t="s">
        <v>2368</v>
      </c>
      <c r="L222" s="180" t="s">
        <v>2369</v>
      </c>
      <c r="M222" s="180" t="s">
        <v>2370</v>
      </c>
      <c r="N222" s="180" t="s">
        <v>2371</v>
      </c>
      <c r="O222" s="180" t="s">
        <v>2372</v>
      </c>
      <c r="P222" s="180"/>
      <c r="Q222" s="180" t="s">
        <v>2373</v>
      </c>
      <c r="R222" s="180" t="s">
        <v>2374</v>
      </c>
      <c r="S222" s="180" t="s">
        <v>2375</v>
      </c>
      <c r="T222" s="180" t="s">
        <v>2537</v>
      </c>
      <c r="U222" s="180"/>
      <c r="V222" s="180"/>
      <c r="W222" s="180"/>
      <c r="X222" s="180" t="s">
        <v>2379</v>
      </c>
      <c r="Y222" s="180" t="s">
        <v>2380</v>
      </c>
      <c r="Z222" s="180" t="s">
        <v>2381</v>
      </c>
      <c r="AA222" s="180" t="s">
        <v>2382</v>
      </c>
      <c r="AB222" s="180" t="s">
        <v>2383</v>
      </c>
      <c r="AC222" s="180" t="s">
        <v>2384</v>
      </c>
      <c r="AD222" s="180" t="s">
        <v>2538</v>
      </c>
      <c r="AE222" s="180" t="s">
        <v>2539</v>
      </c>
      <c r="AF222" s="180" t="s">
        <v>2387</v>
      </c>
      <c r="AG222" s="180" t="s">
        <v>2388</v>
      </c>
      <c r="AH222" s="180" t="s">
        <v>2540</v>
      </c>
      <c r="AI222" s="180" t="s">
        <v>2541</v>
      </c>
      <c r="AJ222" s="180" t="s">
        <v>2390</v>
      </c>
      <c r="AK222" s="180" t="s">
        <v>2391</v>
      </c>
      <c r="AL222" s="180" t="s">
        <v>2542</v>
      </c>
      <c r="AM222" s="180" t="s">
        <v>2393</v>
      </c>
      <c r="AN222" s="180" t="s">
        <v>2543</v>
      </c>
      <c r="AO222" s="180" t="s">
        <v>2544</v>
      </c>
      <c r="AP222" s="180" t="s">
        <v>2396</v>
      </c>
      <c r="AQ222" s="180" t="s">
        <v>2397</v>
      </c>
      <c r="AR222" s="180" t="s">
        <v>2398</v>
      </c>
      <c r="AS222" s="180" t="s">
        <v>2399</v>
      </c>
      <c r="AT222" s="180" t="s">
        <v>2400</v>
      </c>
      <c r="AU222" s="180" t="s">
        <v>2401</v>
      </c>
      <c r="AV222" s="180" t="s">
        <v>2402</v>
      </c>
      <c r="AW222" s="180" t="s">
        <v>2403</v>
      </c>
      <c r="AX222" s="180" t="s">
        <v>2404</v>
      </c>
      <c r="AY222" s="180" t="s">
        <v>2405</v>
      </c>
      <c r="AZ222" s="180" t="s">
        <v>2406</v>
      </c>
      <c r="BA222" s="180" t="s">
        <v>2407</v>
      </c>
      <c r="BB222" s="180" t="s">
        <v>2408</v>
      </c>
      <c r="BC222" s="180" t="s">
        <v>2545</v>
      </c>
      <c r="BD222" s="180" t="s">
        <v>2546</v>
      </c>
      <c r="BE222" s="180" t="s">
        <v>2411</v>
      </c>
      <c r="BF222" s="180" t="s">
        <v>2412</v>
      </c>
      <c r="BG222" s="180"/>
      <c r="BH222" s="180" t="s">
        <v>2413</v>
      </c>
      <c r="BI222" s="180" t="s">
        <v>2414</v>
      </c>
      <c r="BJ222" s="180" t="s">
        <v>2415</v>
      </c>
      <c r="BK222" s="180" t="s">
        <v>2547</v>
      </c>
      <c r="BL222" s="180" t="s">
        <v>2417</v>
      </c>
      <c r="BM222" s="180" t="s">
        <v>2418</v>
      </c>
      <c r="BN222" s="180" t="s">
        <v>2419</v>
      </c>
      <c r="BO222" s="180" t="s">
        <v>2420</v>
      </c>
      <c r="BP222" s="180"/>
      <c r="BQ222" s="180" t="s">
        <v>2548</v>
      </c>
      <c r="BR222" s="180"/>
      <c r="BS222" s="180" t="s">
        <v>2423</v>
      </c>
      <c r="BT222" s="180" t="s">
        <v>2424</v>
      </c>
      <c r="BU222" s="180"/>
      <c r="BV222" s="180" t="s">
        <v>2549</v>
      </c>
      <c r="BW222" s="180"/>
      <c r="BX222" s="180"/>
      <c r="BY222" s="180"/>
      <c r="BZ222" s="180"/>
      <c r="CA222" s="180"/>
      <c r="CB222" s="180"/>
      <c r="CC222" s="180"/>
      <c r="CD222" s="180"/>
      <c r="CE222" s="180"/>
      <c r="CF222" s="180"/>
      <c r="CG222" s="180"/>
      <c r="CH222" s="180"/>
      <c r="CI222" s="180"/>
      <c r="CJ222" s="180"/>
      <c r="CK222" s="180"/>
      <c r="CL222" s="180"/>
      <c r="CM222" s="180"/>
      <c r="CN222" s="180"/>
      <c r="CO222" s="180"/>
      <c r="CP222" s="180"/>
      <c r="CQ222" s="180"/>
      <c r="CR222" s="180"/>
      <c r="CS222" s="180"/>
      <c r="CT222" s="180"/>
      <c r="CU222" s="180"/>
    </row>
    <row r="223" spans="1:99" s="557" customFormat="1" x14ac:dyDescent="0.3">
      <c r="A223" s="556">
        <v>973</v>
      </c>
      <c r="B223" s="557" t="s">
        <v>1683</v>
      </c>
      <c r="D223" s="557">
        <v>0</v>
      </c>
      <c r="E223" s="557">
        <v>0</v>
      </c>
      <c r="H223" s="557">
        <v>0</v>
      </c>
      <c r="I223" s="557">
        <v>0</v>
      </c>
      <c r="K223" s="557">
        <v>0</v>
      </c>
      <c r="L223" s="557">
        <v>0</v>
      </c>
      <c r="M223" s="557">
        <v>1</v>
      </c>
      <c r="N223" s="557">
        <v>0</v>
      </c>
      <c r="O223" s="557">
        <v>0</v>
      </c>
      <c r="Q223" s="557">
        <v>0</v>
      </c>
      <c r="R223" s="557">
        <v>0</v>
      </c>
      <c r="S223" s="557">
        <v>0</v>
      </c>
      <c r="T223" s="557">
        <v>0</v>
      </c>
      <c r="X223" s="557">
        <v>0</v>
      </c>
      <c r="Y223" s="557">
        <v>0</v>
      </c>
      <c r="Z223" s="557">
        <v>0</v>
      </c>
      <c r="AA223" s="557">
        <v>0</v>
      </c>
      <c r="AB223" s="557">
        <v>0</v>
      </c>
      <c r="AC223" s="557">
        <v>0</v>
      </c>
      <c r="AD223" s="557">
        <v>0</v>
      </c>
      <c r="AE223" s="557">
        <v>0</v>
      </c>
      <c r="AF223" s="557">
        <v>0</v>
      </c>
      <c r="AG223" s="557">
        <v>0</v>
      </c>
      <c r="AH223" s="557">
        <v>0</v>
      </c>
      <c r="AI223" s="557">
        <v>0</v>
      </c>
      <c r="AJ223" s="557">
        <v>0</v>
      </c>
      <c r="AK223" s="557">
        <v>0</v>
      </c>
      <c r="AL223" s="557">
        <v>0</v>
      </c>
      <c r="AM223" s="557">
        <v>0</v>
      </c>
      <c r="AN223" s="557">
        <v>0</v>
      </c>
      <c r="AO223" s="557">
        <v>0</v>
      </c>
      <c r="AP223" s="557">
        <v>0</v>
      </c>
      <c r="AQ223" s="557">
        <v>0</v>
      </c>
      <c r="AR223" s="557">
        <v>0</v>
      </c>
      <c r="AS223" s="557">
        <v>0</v>
      </c>
      <c r="AT223" s="557">
        <v>1</v>
      </c>
      <c r="AU223" s="557">
        <v>0</v>
      </c>
      <c r="AV223" s="557">
        <v>0</v>
      </c>
      <c r="AW223" s="557">
        <v>0</v>
      </c>
      <c r="AX223" s="557">
        <v>0</v>
      </c>
      <c r="AY223" s="557">
        <v>0</v>
      </c>
      <c r="AZ223" s="557">
        <v>0</v>
      </c>
      <c r="BA223" s="557">
        <v>0</v>
      </c>
      <c r="BB223" s="557">
        <v>0</v>
      </c>
      <c r="BC223" s="557">
        <v>0</v>
      </c>
      <c r="BD223" s="557">
        <v>0</v>
      </c>
      <c r="BE223" s="557">
        <v>1</v>
      </c>
      <c r="BF223" s="557">
        <v>0</v>
      </c>
      <c r="BH223" s="557">
        <v>0</v>
      </c>
      <c r="BI223" s="557">
        <v>0</v>
      </c>
      <c r="BJ223" s="557">
        <v>0</v>
      </c>
      <c r="BK223" s="557">
        <v>0</v>
      </c>
      <c r="BL223" s="557">
        <v>0</v>
      </c>
      <c r="BM223" s="557">
        <v>0</v>
      </c>
      <c r="BN223" s="557">
        <v>0</v>
      </c>
      <c r="BO223" s="557">
        <v>0</v>
      </c>
      <c r="BQ223" s="557">
        <v>0</v>
      </c>
      <c r="BS223" s="557">
        <v>0</v>
      </c>
      <c r="BT223" s="557">
        <v>1</v>
      </c>
      <c r="BV223" s="557">
        <v>0</v>
      </c>
    </row>
    <row r="224" spans="1:99" s="557" customFormat="1" x14ac:dyDescent="0.3">
      <c r="A224" s="556">
        <v>974</v>
      </c>
      <c r="B224" s="557" t="s">
        <v>1011</v>
      </c>
      <c r="D224" s="557">
        <v>2</v>
      </c>
      <c r="E224" s="557">
        <v>2</v>
      </c>
      <c r="H224" s="557">
        <v>3</v>
      </c>
      <c r="I224" s="557">
        <v>3</v>
      </c>
      <c r="K224" s="557">
        <v>2</v>
      </c>
      <c r="L224" s="557">
        <v>2</v>
      </c>
      <c r="M224" s="557">
        <v>2</v>
      </c>
      <c r="N224" s="557">
        <v>3</v>
      </c>
      <c r="O224" s="557">
        <v>2</v>
      </c>
      <c r="Q224" s="557">
        <v>2</v>
      </c>
      <c r="R224" s="557">
        <v>2</v>
      </c>
      <c r="S224" s="557">
        <v>2</v>
      </c>
      <c r="T224" s="557">
        <v>2</v>
      </c>
      <c r="X224" s="557">
        <v>2</v>
      </c>
      <c r="Y224" s="557">
        <v>2</v>
      </c>
      <c r="Z224" s="557">
        <v>2</v>
      </c>
      <c r="AA224" s="557">
        <v>2</v>
      </c>
      <c r="AB224" s="557">
        <v>2</v>
      </c>
      <c r="AC224" s="557">
        <v>2</v>
      </c>
      <c r="AD224" s="557">
        <v>2</v>
      </c>
      <c r="AE224" s="557">
        <v>2</v>
      </c>
      <c r="AF224" s="557">
        <v>2</v>
      </c>
      <c r="AG224" s="557">
        <v>2</v>
      </c>
      <c r="AH224" s="557">
        <v>2</v>
      </c>
      <c r="AI224" s="557">
        <v>2</v>
      </c>
      <c r="AJ224" s="557">
        <v>2</v>
      </c>
      <c r="AK224" s="557">
        <v>3</v>
      </c>
      <c r="AL224" s="557">
        <v>2</v>
      </c>
      <c r="AM224" s="557">
        <v>2</v>
      </c>
      <c r="AN224" s="557">
        <v>3</v>
      </c>
      <c r="AO224" s="557">
        <v>2</v>
      </c>
      <c r="AP224" s="557">
        <v>2</v>
      </c>
      <c r="AQ224" s="557">
        <v>2</v>
      </c>
      <c r="AR224" s="557">
        <v>2</v>
      </c>
      <c r="AS224" s="557">
        <v>2</v>
      </c>
      <c r="AT224" s="557">
        <v>2</v>
      </c>
      <c r="AU224" s="557">
        <v>2</v>
      </c>
      <c r="AV224" s="557">
        <v>3</v>
      </c>
      <c r="AW224" s="557">
        <v>2</v>
      </c>
      <c r="AX224" s="557">
        <v>3</v>
      </c>
      <c r="AY224" s="557">
        <v>3</v>
      </c>
      <c r="AZ224" s="557">
        <v>2</v>
      </c>
      <c r="BA224" s="557">
        <v>2</v>
      </c>
      <c r="BB224" s="557">
        <v>3</v>
      </c>
      <c r="BC224" s="557">
        <v>3</v>
      </c>
      <c r="BD224" s="557">
        <v>2</v>
      </c>
      <c r="BE224" s="557">
        <v>2</v>
      </c>
      <c r="BF224" s="557">
        <v>2</v>
      </c>
      <c r="BH224" s="557">
        <v>3</v>
      </c>
      <c r="BI224" s="557">
        <v>2</v>
      </c>
      <c r="BJ224" s="557">
        <v>2</v>
      </c>
      <c r="BK224" s="557">
        <v>2</v>
      </c>
      <c r="BL224" s="557">
        <v>2</v>
      </c>
      <c r="BM224" s="557">
        <v>2</v>
      </c>
      <c r="BN224" s="557">
        <v>2</v>
      </c>
      <c r="BO224" s="557">
        <v>2</v>
      </c>
      <c r="BQ224" s="557">
        <v>2</v>
      </c>
      <c r="BS224" s="557">
        <v>2</v>
      </c>
      <c r="BT224" s="557">
        <v>2</v>
      </c>
      <c r="BV224" s="557">
        <v>2</v>
      </c>
    </row>
    <row r="225" spans="1:99" s="557" customFormat="1" x14ac:dyDescent="0.3">
      <c r="A225" s="556">
        <v>975</v>
      </c>
      <c r="B225" s="557" t="s">
        <v>606</v>
      </c>
      <c r="D225" s="557">
        <v>1</v>
      </c>
      <c r="E225" s="557">
        <v>2</v>
      </c>
      <c r="H225" s="557">
        <v>1</v>
      </c>
      <c r="I225" s="557">
        <v>1</v>
      </c>
      <c r="K225" s="557">
        <v>1</v>
      </c>
      <c r="L225" s="557">
        <v>1</v>
      </c>
      <c r="M225" s="557">
        <v>1</v>
      </c>
      <c r="N225" s="557">
        <v>1</v>
      </c>
      <c r="O225" s="557">
        <v>2</v>
      </c>
      <c r="Q225" s="557">
        <v>1</v>
      </c>
      <c r="R225" s="557">
        <v>1</v>
      </c>
      <c r="S225" s="557">
        <v>1</v>
      </c>
      <c r="T225" s="557">
        <v>2</v>
      </c>
      <c r="X225" s="557">
        <v>2</v>
      </c>
      <c r="Y225" s="557">
        <v>1</v>
      </c>
      <c r="Z225" s="557">
        <v>1</v>
      </c>
      <c r="AA225" s="557">
        <v>1</v>
      </c>
      <c r="AB225" s="557">
        <v>1</v>
      </c>
      <c r="AC225" s="557">
        <v>1</v>
      </c>
      <c r="AD225" s="557">
        <v>1</v>
      </c>
      <c r="AE225" s="557">
        <v>1</v>
      </c>
      <c r="AF225" s="557">
        <v>1</v>
      </c>
      <c r="AG225" s="557">
        <v>1</v>
      </c>
      <c r="AH225" s="557">
        <v>1</v>
      </c>
      <c r="AI225" s="557">
        <v>1</v>
      </c>
      <c r="AJ225" s="557">
        <v>1</v>
      </c>
      <c r="AK225" s="557">
        <v>2</v>
      </c>
      <c r="AL225" s="557">
        <v>2</v>
      </c>
      <c r="AM225" s="557">
        <v>1</v>
      </c>
      <c r="AN225" s="557">
        <v>1</v>
      </c>
      <c r="AO225" s="557">
        <v>1</v>
      </c>
      <c r="AP225" s="557">
        <v>2</v>
      </c>
      <c r="AQ225" s="557">
        <v>1</v>
      </c>
      <c r="AR225" s="557">
        <v>1</v>
      </c>
      <c r="AS225" s="557">
        <v>2</v>
      </c>
      <c r="AT225" s="557">
        <v>1</v>
      </c>
      <c r="AU225" s="557">
        <v>2</v>
      </c>
      <c r="AV225" s="557">
        <v>1</v>
      </c>
      <c r="AW225" s="557">
        <v>1</v>
      </c>
      <c r="AX225" s="557">
        <v>1</v>
      </c>
      <c r="AY225" s="557">
        <v>2</v>
      </c>
      <c r="AZ225" s="557">
        <v>2</v>
      </c>
      <c r="BA225" s="557">
        <v>2</v>
      </c>
      <c r="BB225" s="557">
        <v>1</v>
      </c>
      <c r="BC225" s="557">
        <v>1</v>
      </c>
      <c r="BD225" s="557">
        <v>1</v>
      </c>
      <c r="BE225" s="557">
        <v>1</v>
      </c>
      <c r="BF225" s="557">
        <v>1</v>
      </c>
      <c r="BH225" s="557">
        <v>2</v>
      </c>
      <c r="BI225" s="557">
        <v>1</v>
      </c>
      <c r="BJ225" s="557">
        <v>1</v>
      </c>
      <c r="BK225" s="557">
        <v>2</v>
      </c>
      <c r="BL225" s="557">
        <v>1</v>
      </c>
      <c r="BM225" s="557">
        <v>2</v>
      </c>
      <c r="BN225" s="557">
        <v>1</v>
      </c>
      <c r="BO225" s="557">
        <v>1</v>
      </c>
      <c r="BQ225" s="557">
        <v>1</v>
      </c>
      <c r="BS225" s="557">
        <v>1</v>
      </c>
      <c r="BT225" s="557">
        <v>1</v>
      </c>
      <c r="BV225" s="557">
        <v>1</v>
      </c>
    </row>
    <row r="226" spans="1:99" s="557" customFormat="1" x14ac:dyDescent="0.3">
      <c r="A226" s="556">
        <v>979</v>
      </c>
      <c r="B226" s="557" t="s">
        <v>1013</v>
      </c>
      <c r="D226" s="557">
        <v>1</v>
      </c>
      <c r="E226" s="557">
        <v>1</v>
      </c>
      <c r="H226" s="557">
        <v>1</v>
      </c>
      <c r="I226" s="557">
        <v>2</v>
      </c>
      <c r="K226" s="557">
        <v>2</v>
      </c>
      <c r="L226" s="557">
        <v>1</v>
      </c>
      <c r="M226" s="557">
        <v>1</v>
      </c>
      <c r="N226" s="557">
        <v>2</v>
      </c>
      <c r="O226" s="557">
        <v>1</v>
      </c>
      <c r="Q226" s="557">
        <v>2</v>
      </c>
      <c r="R226" s="557">
        <v>2</v>
      </c>
      <c r="S226" s="557">
        <v>2</v>
      </c>
      <c r="T226" s="557">
        <v>1</v>
      </c>
      <c r="X226" s="557">
        <v>1</v>
      </c>
      <c r="Y226" s="557">
        <v>2</v>
      </c>
      <c r="Z226" s="557">
        <v>1</v>
      </c>
      <c r="AA226" s="557">
        <v>1</v>
      </c>
      <c r="AB226" s="557">
        <v>2</v>
      </c>
      <c r="AC226" s="557">
        <v>2</v>
      </c>
      <c r="AD226" s="557">
        <v>1</v>
      </c>
      <c r="AE226" s="557">
        <v>1</v>
      </c>
      <c r="AF226" s="557">
        <v>2</v>
      </c>
      <c r="AG226" s="557">
        <v>2</v>
      </c>
      <c r="AH226" s="557">
        <v>2</v>
      </c>
      <c r="AI226" s="557">
        <v>1</v>
      </c>
      <c r="AJ226" s="557">
        <v>2</v>
      </c>
      <c r="AK226" s="557">
        <v>1</v>
      </c>
      <c r="AL226" s="557">
        <v>1</v>
      </c>
      <c r="AM226" s="557">
        <v>1</v>
      </c>
      <c r="AN226" s="557">
        <v>1</v>
      </c>
      <c r="AO226" s="557">
        <v>2</v>
      </c>
      <c r="AP226" s="557">
        <v>1</v>
      </c>
      <c r="AQ226" s="557">
        <v>2</v>
      </c>
      <c r="AR226" s="557">
        <v>2</v>
      </c>
      <c r="AS226" s="557">
        <v>1</v>
      </c>
      <c r="AT226" s="557">
        <v>2</v>
      </c>
      <c r="AU226" s="557">
        <v>1</v>
      </c>
      <c r="AV226" s="557">
        <v>2</v>
      </c>
      <c r="AW226" s="557">
        <v>2</v>
      </c>
      <c r="AX226" s="557">
        <v>1</v>
      </c>
      <c r="AY226" s="557">
        <v>1</v>
      </c>
      <c r="AZ226" s="557">
        <v>1</v>
      </c>
      <c r="BA226" s="557">
        <v>1</v>
      </c>
      <c r="BB226" s="557">
        <v>1</v>
      </c>
      <c r="BC226" s="557">
        <v>1</v>
      </c>
      <c r="BD226" s="557">
        <v>2</v>
      </c>
      <c r="BE226" s="557">
        <v>1</v>
      </c>
      <c r="BF226" s="557">
        <v>2</v>
      </c>
      <c r="BH226" s="557">
        <v>1</v>
      </c>
      <c r="BI226" s="557">
        <v>2</v>
      </c>
      <c r="BJ226" s="557">
        <v>2</v>
      </c>
      <c r="BK226" s="557">
        <v>1</v>
      </c>
      <c r="BL226" s="557">
        <v>1</v>
      </c>
      <c r="BM226" s="557">
        <v>1</v>
      </c>
      <c r="BN226" s="557">
        <v>2</v>
      </c>
      <c r="BO226" s="557">
        <v>2</v>
      </c>
      <c r="BQ226" s="557">
        <v>2</v>
      </c>
      <c r="BS226" s="557">
        <v>2</v>
      </c>
      <c r="BT226" s="557">
        <v>2</v>
      </c>
      <c r="BV226" s="557">
        <v>1</v>
      </c>
    </row>
    <row r="227" spans="1:99" x14ac:dyDescent="0.3">
      <c r="A227" s="155">
        <v>980</v>
      </c>
      <c r="B227" s="180" t="s">
        <v>592</v>
      </c>
      <c r="C227" s="180"/>
      <c r="D227" s="180" t="s">
        <v>2550</v>
      </c>
      <c r="E227" s="180" t="s">
        <v>1673</v>
      </c>
      <c r="F227" s="180"/>
      <c r="G227" s="180"/>
      <c r="H227" s="180" t="s">
        <v>2061</v>
      </c>
      <c r="I227" s="180" t="s">
        <v>1991</v>
      </c>
      <c r="J227" s="180"/>
      <c r="K227" s="180" t="s">
        <v>2551</v>
      </c>
      <c r="L227" s="180" t="s">
        <v>1991</v>
      </c>
      <c r="M227" s="180" t="s">
        <v>1685</v>
      </c>
      <c r="N227" s="180" t="s">
        <v>2064</v>
      </c>
      <c r="O227" s="180" t="s">
        <v>1673</v>
      </c>
      <c r="P227" s="180"/>
      <c r="Q227" s="180" t="s">
        <v>2552</v>
      </c>
      <c r="R227" s="180" t="s">
        <v>1685</v>
      </c>
      <c r="S227" s="180" t="s">
        <v>2553</v>
      </c>
      <c r="T227" s="180" t="s">
        <v>1673</v>
      </c>
      <c r="U227" s="180"/>
      <c r="V227" s="180"/>
      <c r="W227" s="180"/>
      <c r="X227" s="180" t="s">
        <v>1684</v>
      </c>
      <c r="Y227" s="180" t="s">
        <v>1993</v>
      </c>
      <c r="Z227" s="180" t="s">
        <v>1679</v>
      </c>
      <c r="AA227" s="180" t="s">
        <v>1989</v>
      </c>
      <c r="AB227" s="180" t="s">
        <v>1685</v>
      </c>
      <c r="AC227" s="180" t="s">
        <v>2626</v>
      </c>
      <c r="AD227" s="180" t="s">
        <v>2554</v>
      </c>
      <c r="AE227" s="180" t="s">
        <v>1686</v>
      </c>
      <c r="AF227" s="180" t="s">
        <v>2058</v>
      </c>
      <c r="AG227" s="180" t="s">
        <v>2555</v>
      </c>
      <c r="AH227" s="180" t="s">
        <v>2509</v>
      </c>
      <c r="AI227" s="180" t="s">
        <v>1682</v>
      </c>
      <c r="AJ227" s="180" t="s">
        <v>2017</v>
      </c>
      <c r="AK227" s="180" t="s">
        <v>1678</v>
      </c>
      <c r="AL227" s="180" t="s">
        <v>1673</v>
      </c>
      <c r="AM227" s="180" t="s">
        <v>2556</v>
      </c>
      <c r="AN227" s="180" t="s">
        <v>1991</v>
      </c>
      <c r="AO227" s="180" t="s">
        <v>2034</v>
      </c>
      <c r="AP227" s="180" t="s">
        <v>1673</v>
      </c>
      <c r="AQ227" s="180" t="s">
        <v>2557</v>
      </c>
      <c r="AR227" s="180" t="s">
        <v>2558</v>
      </c>
      <c r="AS227" s="180" t="s">
        <v>2514</v>
      </c>
      <c r="AT227" s="180" t="s">
        <v>2559</v>
      </c>
      <c r="AU227" s="180" t="s">
        <v>1673</v>
      </c>
      <c r="AV227" s="180" t="s">
        <v>2560</v>
      </c>
      <c r="AW227" s="180" t="s">
        <v>2561</v>
      </c>
      <c r="AX227" s="180" t="s">
        <v>1687</v>
      </c>
      <c r="AY227" s="180" t="s">
        <v>2035</v>
      </c>
      <c r="AZ227" s="180" t="s">
        <v>2432</v>
      </c>
      <c r="BA227" s="180" t="s">
        <v>1673</v>
      </c>
      <c r="BB227" s="180" t="s">
        <v>1685</v>
      </c>
      <c r="BC227" s="180" t="s">
        <v>2562</v>
      </c>
      <c r="BD227" s="180" t="s">
        <v>2063</v>
      </c>
      <c r="BE227" s="180" t="s">
        <v>2514</v>
      </c>
      <c r="BF227" s="180" t="s">
        <v>1688</v>
      </c>
      <c r="BG227" s="180"/>
      <c r="BH227" s="180" t="s">
        <v>1673</v>
      </c>
      <c r="BI227" s="180" t="s">
        <v>2563</v>
      </c>
      <c r="BJ227" s="180" t="s">
        <v>1687</v>
      </c>
      <c r="BK227" s="180" t="s">
        <v>1991</v>
      </c>
      <c r="BL227" s="180" t="s">
        <v>1679</v>
      </c>
      <c r="BM227" s="180" t="s">
        <v>1673</v>
      </c>
      <c r="BN227" s="180" t="s">
        <v>2564</v>
      </c>
      <c r="BO227" s="180" t="s">
        <v>2034</v>
      </c>
      <c r="BP227" s="180"/>
      <c r="BQ227" s="180" t="s">
        <v>1685</v>
      </c>
      <c r="BR227" s="180"/>
      <c r="BS227" s="180" t="s">
        <v>2565</v>
      </c>
      <c r="BT227" s="180" t="s">
        <v>1992</v>
      </c>
      <c r="BU227" s="180"/>
      <c r="BV227" s="180" t="s">
        <v>2518</v>
      </c>
      <c r="BW227" s="180"/>
      <c r="BX227" s="180"/>
      <c r="BY227" s="180"/>
      <c r="BZ227" s="180"/>
      <c r="CA227" s="180"/>
      <c r="CB227" s="180"/>
      <c r="CC227" s="180"/>
      <c r="CD227" s="180"/>
      <c r="CE227" s="180"/>
      <c r="CF227" s="180"/>
      <c r="CG227" s="180"/>
      <c r="CH227" s="180"/>
      <c r="CI227" s="180"/>
      <c r="CJ227" s="180"/>
      <c r="CK227" s="180"/>
      <c r="CL227" s="180"/>
      <c r="CM227" s="180"/>
      <c r="CN227" s="180"/>
      <c r="CO227" s="180"/>
      <c r="CP227" s="180"/>
      <c r="CQ227" s="180"/>
      <c r="CR227" s="180"/>
      <c r="CS227" s="180"/>
      <c r="CT227" s="180"/>
      <c r="CU227" s="180"/>
    </row>
    <row r="228" spans="1:99" x14ac:dyDescent="0.3">
      <c r="A228" s="155">
        <v>984</v>
      </c>
      <c r="B228" s="180" t="s">
        <v>1019</v>
      </c>
      <c r="C228" s="180"/>
      <c r="D228" s="180">
        <v>2602920</v>
      </c>
      <c r="E228" s="180">
        <v>291708422</v>
      </c>
      <c r="F228" s="180"/>
      <c r="G228" s="180"/>
      <c r="H228" s="180">
        <v>1444258</v>
      </c>
      <c r="I228" s="180">
        <v>1804</v>
      </c>
      <c r="J228" s="180"/>
      <c r="K228" s="180">
        <v>0</v>
      </c>
      <c r="L228" s="180">
        <v>1229922</v>
      </c>
      <c r="M228" s="180">
        <v>9187701</v>
      </c>
      <c r="N228" s="180">
        <v>9577</v>
      </c>
      <c r="O228" s="180">
        <v>258315</v>
      </c>
      <c r="P228" s="180"/>
      <c r="Q228" s="180">
        <v>182505</v>
      </c>
      <c r="R228" s="180">
        <v>699053</v>
      </c>
      <c r="S228" s="180">
        <v>824190</v>
      </c>
      <c r="T228" s="180">
        <v>8267402</v>
      </c>
      <c r="U228" s="180"/>
      <c r="V228" s="180"/>
      <c r="W228" s="180"/>
      <c r="X228" s="180">
        <v>3980136</v>
      </c>
      <c r="Y228" s="180">
        <v>963787</v>
      </c>
      <c r="Z228" s="180">
        <v>28395797</v>
      </c>
      <c r="AA228" s="180">
        <v>6444008</v>
      </c>
      <c r="AB228" s="180">
        <v>88062</v>
      </c>
      <c r="AC228" s="180">
        <v>133962</v>
      </c>
      <c r="AD228" s="180">
        <v>540157</v>
      </c>
      <c r="AE228" s="180">
        <v>572459</v>
      </c>
      <c r="AF228" s="180">
        <v>131821</v>
      </c>
      <c r="AG228" s="180">
        <v>437687</v>
      </c>
      <c r="AH228" s="180">
        <v>5032817</v>
      </c>
      <c r="AI228" s="180">
        <v>27703</v>
      </c>
      <c r="AJ228" s="180">
        <v>1529337</v>
      </c>
      <c r="AK228" s="180">
        <v>97101</v>
      </c>
      <c r="AL228" s="180">
        <v>169170</v>
      </c>
      <c r="AM228" s="180">
        <v>2163865</v>
      </c>
      <c r="AN228" s="180">
        <v>108754</v>
      </c>
      <c r="AO228" s="180">
        <v>23394975</v>
      </c>
      <c r="AP228" s="180">
        <v>955027</v>
      </c>
      <c r="AQ228" s="180">
        <v>45206</v>
      </c>
      <c r="AR228" s="180">
        <v>71143</v>
      </c>
      <c r="AS228" s="180">
        <v>18769491</v>
      </c>
      <c r="AT228" s="180">
        <v>146514</v>
      </c>
      <c r="AU228" s="180">
        <v>575261</v>
      </c>
      <c r="AV228" s="180">
        <v>761567</v>
      </c>
      <c r="AW228" s="180">
        <v>131846</v>
      </c>
      <c r="AX228" s="180">
        <v>205505</v>
      </c>
      <c r="AY228" s="180">
        <v>146298</v>
      </c>
      <c r="AZ228" s="180">
        <v>3243177</v>
      </c>
      <c r="BA228" s="180">
        <v>837659</v>
      </c>
      <c r="BB228" s="180">
        <v>15629</v>
      </c>
      <c r="BC228" s="180">
        <v>214331</v>
      </c>
      <c r="BD228" s="180">
        <v>2698924</v>
      </c>
      <c r="BE228" s="180">
        <v>454312</v>
      </c>
      <c r="BF228" s="180">
        <v>13804863</v>
      </c>
      <c r="BG228" s="180"/>
      <c r="BH228" s="180">
        <v>113891</v>
      </c>
      <c r="BI228" s="180">
        <v>116307</v>
      </c>
      <c r="BJ228" s="180">
        <v>7715148</v>
      </c>
      <c r="BK228" s="180">
        <v>439762</v>
      </c>
      <c r="BL228" s="180">
        <v>11571474</v>
      </c>
      <c r="BM228" s="180">
        <v>4268377</v>
      </c>
      <c r="BN228" s="180">
        <v>3373937</v>
      </c>
      <c r="BO228" s="180">
        <v>689683</v>
      </c>
      <c r="BP228" s="180"/>
      <c r="BQ228" s="180">
        <v>1661303</v>
      </c>
      <c r="BR228" s="180"/>
      <c r="BS228" s="180">
        <v>1607901</v>
      </c>
      <c r="BT228" s="180">
        <v>594699</v>
      </c>
      <c r="BU228" s="180"/>
      <c r="BV228" s="180">
        <v>1367352</v>
      </c>
      <c r="BW228" s="180"/>
      <c r="BX228" s="180"/>
      <c r="BY228" s="180"/>
      <c r="BZ228" s="180"/>
      <c r="CA228" s="180"/>
      <c r="CB228" s="180"/>
      <c r="CC228" s="180"/>
      <c r="CD228" s="180"/>
      <c r="CE228" s="180"/>
      <c r="CF228" s="180"/>
      <c r="CG228" s="180"/>
      <c r="CH228" s="180"/>
      <c r="CI228" s="180"/>
      <c r="CJ228" s="180"/>
      <c r="CK228" s="180"/>
      <c r="CL228" s="180"/>
      <c r="CM228" s="180"/>
      <c r="CN228" s="180"/>
      <c r="CO228" s="180"/>
      <c r="CP228" s="180"/>
      <c r="CQ228" s="180"/>
      <c r="CR228" s="180"/>
      <c r="CS228" s="180"/>
      <c r="CT228" s="180"/>
      <c r="CU228" s="180"/>
    </row>
    <row r="229" spans="1:99" x14ac:dyDescent="0.3">
      <c r="A229" s="155">
        <v>985</v>
      </c>
      <c r="B229" s="180" t="s">
        <v>1020</v>
      </c>
      <c r="C229" s="180"/>
      <c r="D229" s="180">
        <v>2552989</v>
      </c>
      <c r="E229" s="180">
        <v>290006010</v>
      </c>
      <c r="F229" s="180"/>
      <c r="G229" s="180"/>
      <c r="H229" s="180">
        <v>1455000</v>
      </c>
      <c r="I229" s="180">
        <v>2353</v>
      </c>
      <c r="J229" s="180"/>
      <c r="K229" s="180">
        <v>0</v>
      </c>
      <c r="L229" s="180">
        <v>1449919</v>
      </c>
      <c r="M229" s="180">
        <v>8858100</v>
      </c>
      <c r="N229" s="180">
        <v>2600</v>
      </c>
      <c r="O229" s="180">
        <v>238500</v>
      </c>
      <c r="P229" s="180"/>
      <c r="Q229" s="180">
        <v>180000</v>
      </c>
      <c r="R229" s="180">
        <v>650000</v>
      </c>
      <c r="S229" s="180">
        <v>796963</v>
      </c>
      <c r="T229" s="180">
        <v>8101861</v>
      </c>
      <c r="U229" s="180"/>
      <c r="V229" s="180"/>
      <c r="W229" s="180"/>
      <c r="X229" s="180">
        <v>4028364</v>
      </c>
      <c r="Y229" s="180">
        <v>918800</v>
      </c>
      <c r="Z229" s="180">
        <v>28610000</v>
      </c>
      <c r="AA229" s="180">
        <v>6110000</v>
      </c>
      <c r="AB229" s="180">
        <v>60500</v>
      </c>
      <c r="AC229" s="180">
        <v>145000</v>
      </c>
      <c r="AD229" s="180">
        <v>479000</v>
      </c>
      <c r="AE229" s="180">
        <v>552860</v>
      </c>
      <c r="AF229" s="180">
        <v>115500</v>
      </c>
      <c r="AG229" s="180">
        <v>453750</v>
      </c>
      <c r="AH229" s="180">
        <v>4917820</v>
      </c>
      <c r="AI229" s="180">
        <v>28100</v>
      </c>
      <c r="AJ229" s="180">
        <v>1382919</v>
      </c>
      <c r="AK229" s="180">
        <v>97101</v>
      </c>
      <c r="AL229" s="180">
        <v>159000</v>
      </c>
      <c r="AM229" s="180">
        <v>2156073</v>
      </c>
      <c r="AN229" s="180">
        <v>109550</v>
      </c>
      <c r="AO229" s="180">
        <v>22445676</v>
      </c>
      <c r="AP229" s="180">
        <v>868566</v>
      </c>
      <c r="AQ229" s="180">
        <v>46328</v>
      </c>
      <c r="AR229" s="180">
        <v>60084</v>
      </c>
      <c r="AS229" s="180">
        <v>18142344</v>
      </c>
      <c r="AT229" s="180">
        <v>152783</v>
      </c>
      <c r="AU229" s="180">
        <v>521850</v>
      </c>
      <c r="AV229" s="180">
        <v>694400</v>
      </c>
      <c r="AW229" s="180">
        <v>105202</v>
      </c>
      <c r="AX229" s="180">
        <v>210000</v>
      </c>
      <c r="AY229" s="180">
        <v>147900</v>
      </c>
      <c r="AZ229" s="180">
        <v>3128774</v>
      </c>
      <c r="BA229" s="180">
        <v>807000</v>
      </c>
      <c r="BB229" s="180">
        <v>16000</v>
      </c>
      <c r="BC229" s="180">
        <v>220700</v>
      </c>
      <c r="BD229" s="180">
        <v>2537408</v>
      </c>
      <c r="BE229" s="180">
        <v>437404</v>
      </c>
      <c r="BF229" s="180">
        <v>13570500</v>
      </c>
      <c r="BG229" s="180"/>
      <c r="BH229" s="180">
        <v>114350</v>
      </c>
      <c r="BI229" s="180">
        <v>120500</v>
      </c>
      <c r="BJ229" s="180">
        <v>7098800</v>
      </c>
      <c r="BK229" s="180">
        <v>406500</v>
      </c>
      <c r="BL229" s="180">
        <v>11158348</v>
      </c>
      <c r="BM229" s="180">
        <v>4256228</v>
      </c>
      <c r="BN229" s="180">
        <v>3206351</v>
      </c>
      <c r="BO229" s="180">
        <v>620164</v>
      </c>
      <c r="BP229" s="180"/>
      <c r="BQ229" s="180">
        <v>1631222</v>
      </c>
      <c r="BR229" s="180"/>
      <c r="BS229" s="180">
        <v>1508000</v>
      </c>
      <c r="BT229" s="180">
        <v>603250</v>
      </c>
      <c r="BU229" s="180"/>
      <c r="BV229" s="180">
        <v>1347500</v>
      </c>
      <c r="BW229" s="180"/>
      <c r="BX229" s="180"/>
      <c r="BY229" s="180"/>
      <c r="BZ229" s="180"/>
      <c r="CA229" s="180"/>
      <c r="CB229" s="180"/>
      <c r="CC229" s="180"/>
      <c r="CD229" s="180"/>
      <c r="CE229" s="180"/>
      <c r="CF229" s="180"/>
      <c r="CG229" s="180"/>
      <c r="CH229" s="180"/>
      <c r="CI229" s="180"/>
      <c r="CJ229" s="180"/>
      <c r="CK229" s="180"/>
      <c r="CL229" s="180"/>
      <c r="CM229" s="180"/>
      <c r="CN229" s="180"/>
      <c r="CO229" s="180"/>
      <c r="CP229" s="180"/>
      <c r="CQ229" s="180"/>
      <c r="CR229" s="180"/>
      <c r="CS229" s="180"/>
      <c r="CT229" s="180"/>
      <c r="CU229" s="180"/>
    </row>
    <row r="230" spans="1:99" x14ac:dyDescent="0.3">
      <c r="A230" s="155">
        <v>986</v>
      </c>
      <c r="B230" s="180" t="s">
        <v>594</v>
      </c>
      <c r="C230" s="180"/>
      <c r="D230" s="180">
        <v>0</v>
      </c>
      <c r="E230" s="180">
        <v>90000</v>
      </c>
      <c r="F230" s="180"/>
      <c r="G230" s="180"/>
      <c r="H230" s="180">
        <v>0</v>
      </c>
      <c r="I230" s="180">
        <v>0</v>
      </c>
      <c r="J230" s="180"/>
      <c r="K230" s="180">
        <v>0</v>
      </c>
      <c r="L230" s="180">
        <v>0</v>
      </c>
      <c r="M230" s="180">
        <v>0</v>
      </c>
      <c r="N230" s="180">
        <v>0</v>
      </c>
      <c r="O230" s="180">
        <v>0</v>
      </c>
      <c r="P230" s="180"/>
      <c r="Q230" s="180">
        <v>0</v>
      </c>
      <c r="R230" s="180">
        <v>0</v>
      </c>
      <c r="S230" s="180">
        <v>0</v>
      </c>
      <c r="T230" s="180">
        <v>0</v>
      </c>
      <c r="U230" s="180"/>
      <c r="V230" s="180"/>
      <c r="W230" s="180"/>
      <c r="X230" s="180">
        <v>0</v>
      </c>
      <c r="Y230" s="180">
        <v>0</v>
      </c>
      <c r="Z230" s="180">
        <v>0</v>
      </c>
      <c r="AA230" s="180">
        <v>0</v>
      </c>
      <c r="AB230" s="180">
        <v>0</v>
      </c>
      <c r="AC230" s="180">
        <v>0</v>
      </c>
      <c r="AD230" s="180">
        <v>0</v>
      </c>
      <c r="AE230" s="180">
        <v>0</v>
      </c>
      <c r="AF230" s="180">
        <v>0</v>
      </c>
      <c r="AG230" s="180">
        <v>0</v>
      </c>
      <c r="AH230" s="180">
        <v>0</v>
      </c>
      <c r="AI230" s="180">
        <v>0</v>
      </c>
      <c r="AJ230" s="180">
        <v>0</v>
      </c>
      <c r="AK230" s="180">
        <v>0</v>
      </c>
      <c r="AL230" s="180">
        <v>0</v>
      </c>
      <c r="AM230" s="180">
        <v>0</v>
      </c>
      <c r="AN230" s="180">
        <v>0</v>
      </c>
      <c r="AO230" s="180">
        <v>0</v>
      </c>
      <c r="AP230" s="180">
        <v>0</v>
      </c>
      <c r="AQ230" s="180">
        <v>0</v>
      </c>
      <c r="AR230" s="180">
        <v>0</v>
      </c>
      <c r="AS230" s="180">
        <v>138543</v>
      </c>
      <c r="AT230" s="180">
        <v>0</v>
      </c>
      <c r="AU230" s="180">
        <v>0</v>
      </c>
      <c r="AV230" s="180">
        <v>0</v>
      </c>
      <c r="AW230" s="180">
        <v>0</v>
      </c>
      <c r="AX230" s="180">
        <v>0</v>
      </c>
      <c r="AY230" s="180">
        <v>0</v>
      </c>
      <c r="AZ230" s="180">
        <v>0</v>
      </c>
      <c r="BA230" s="180">
        <v>0</v>
      </c>
      <c r="BB230" s="180">
        <v>0</v>
      </c>
      <c r="BC230" s="180">
        <v>0</v>
      </c>
      <c r="BD230" s="180">
        <v>19818</v>
      </c>
      <c r="BE230" s="180">
        <v>0</v>
      </c>
      <c r="BF230" s="180">
        <v>0</v>
      </c>
      <c r="BG230" s="180"/>
      <c r="BH230" s="180">
        <v>0</v>
      </c>
      <c r="BI230" s="180">
        <v>0</v>
      </c>
      <c r="BJ230" s="180">
        <v>0</v>
      </c>
      <c r="BK230" s="180">
        <v>0</v>
      </c>
      <c r="BL230" s="180">
        <v>0</v>
      </c>
      <c r="BM230" s="180">
        <v>0</v>
      </c>
      <c r="BN230" s="180">
        <v>0</v>
      </c>
      <c r="BO230" s="180">
        <v>0</v>
      </c>
      <c r="BP230" s="180"/>
      <c r="BQ230" s="180">
        <v>0</v>
      </c>
      <c r="BR230" s="180"/>
      <c r="BS230" s="180">
        <v>50000</v>
      </c>
      <c r="BT230" s="180">
        <v>0</v>
      </c>
      <c r="BU230" s="180"/>
      <c r="BV230" s="180">
        <v>318863</v>
      </c>
      <c r="BW230" s="180"/>
      <c r="BX230" s="180"/>
      <c r="BY230" s="180"/>
      <c r="BZ230" s="180"/>
      <c r="CA230" s="180"/>
      <c r="CB230" s="180"/>
      <c r="CC230" s="180"/>
      <c r="CD230" s="180"/>
      <c r="CE230" s="180"/>
      <c r="CF230" s="180"/>
      <c r="CG230" s="180"/>
      <c r="CH230" s="180"/>
      <c r="CI230" s="180"/>
      <c r="CJ230" s="180"/>
      <c r="CK230" s="180"/>
      <c r="CL230" s="180"/>
      <c r="CM230" s="180"/>
      <c r="CN230" s="180"/>
      <c r="CO230" s="180"/>
      <c r="CP230" s="180"/>
      <c r="CQ230" s="180"/>
      <c r="CR230" s="180"/>
      <c r="CS230" s="180"/>
      <c r="CT230" s="180"/>
      <c r="CU230" s="180"/>
    </row>
    <row r="231" spans="1:99" x14ac:dyDescent="0.3">
      <c r="A231" s="155">
        <v>987</v>
      </c>
      <c r="B231" s="180" t="s">
        <v>1021</v>
      </c>
      <c r="C231" s="180"/>
      <c r="D231" s="180">
        <v>0</v>
      </c>
      <c r="E231" s="180">
        <v>0</v>
      </c>
      <c r="F231" s="180"/>
      <c r="G231" s="180"/>
      <c r="H231" s="180">
        <v>0</v>
      </c>
      <c r="I231" s="180">
        <v>0</v>
      </c>
      <c r="J231" s="180"/>
      <c r="K231" s="180">
        <v>0</v>
      </c>
      <c r="L231" s="180">
        <v>0</v>
      </c>
      <c r="M231" s="180">
        <v>0</v>
      </c>
      <c r="N231" s="180">
        <v>0</v>
      </c>
      <c r="O231" s="180">
        <v>0</v>
      </c>
      <c r="P231" s="180"/>
      <c r="Q231" s="180">
        <v>0</v>
      </c>
      <c r="R231" s="180">
        <v>0</v>
      </c>
      <c r="S231" s="180">
        <v>0</v>
      </c>
      <c r="T231" s="180">
        <v>0</v>
      </c>
      <c r="U231" s="180"/>
      <c r="V231" s="180"/>
      <c r="W231" s="180"/>
      <c r="X231" s="180">
        <v>0</v>
      </c>
      <c r="Y231" s="180">
        <v>0</v>
      </c>
      <c r="Z231" s="180">
        <v>0</v>
      </c>
      <c r="AA231" s="180">
        <v>0</v>
      </c>
      <c r="AB231" s="180">
        <v>0</v>
      </c>
      <c r="AC231" s="180">
        <v>0</v>
      </c>
      <c r="AD231" s="180">
        <v>0</v>
      </c>
      <c r="AE231" s="180">
        <v>0</v>
      </c>
      <c r="AF231" s="180">
        <v>0</v>
      </c>
      <c r="AG231" s="180">
        <v>0</v>
      </c>
      <c r="AH231" s="180">
        <v>0</v>
      </c>
      <c r="AI231" s="180">
        <v>0</v>
      </c>
      <c r="AJ231" s="180">
        <v>0</v>
      </c>
      <c r="AK231" s="180">
        <v>0</v>
      </c>
      <c r="AL231" s="180">
        <v>0</v>
      </c>
      <c r="AM231" s="180">
        <v>0</v>
      </c>
      <c r="AN231" s="180">
        <v>0</v>
      </c>
      <c r="AO231" s="180">
        <v>0</v>
      </c>
      <c r="AP231" s="180">
        <v>0</v>
      </c>
      <c r="AQ231" s="180">
        <v>0</v>
      </c>
      <c r="AR231" s="180">
        <v>0</v>
      </c>
      <c r="AS231" s="180">
        <v>0</v>
      </c>
      <c r="AT231" s="180">
        <v>0</v>
      </c>
      <c r="AU231" s="180">
        <v>0</v>
      </c>
      <c r="AV231" s="180">
        <v>0</v>
      </c>
      <c r="AW231" s="180">
        <v>0</v>
      </c>
      <c r="AX231" s="180">
        <v>0</v>
      </c>
      <c r="AY231" s="180">
        <v>0</v>
      </c>
      <c r="AZ231" s="180">
        <v>0</v>
      </c>
      <c r="BA231" s="180">
        <v>0</v>
      </c>
      <c r="BB231" s="180">
        <v>0</v>
      </c>
      <c r="BC231" s="180">
        <v>0</v>
      </c>
      <c r="BD231" s="180">
        <v>0</v>
      </c>
      <c r="BE231" s="180">
        <v>0</v>
      </c>
      <c r="BF231" s="180">
        <v>0</v>
      </c>
      <c r="BG231" s="180"/>
      <c r="BH231" s="180">
        <v>0</v>
      </c>
      <c r="BI231" s="180">
        <v>0</v>
      </c>
      <c r="BJ231" s="180">
        <v>0</v>
      </c>
      <c r="BK231" s="180">
        <v>0</v>
      </c>
      <c r="BL231" s="180">
        <v>0</v>
      </c>
      <c r="BM231" s="180">
        <v>0</v>
      </c>
      <c r="BN231" s="180">
        <v>0</v>
      </c>
      <c r="BO231" s="180">
        <v>0</v>
      </c>
      <c r="BP231" s="180"/>
      <c r="BQ231" s="180">
        <v>0</v>
      </c>
      <c r="BR231" s="180"/>
      <c r="BS231" s="180">
        <v>0</v>
      </c>
      <c r="BT231" s="180">
        <v>0</v>
      </c>
      <c r="BU231" s="180"/>
      <c r="BV231" s="180">
        <v>0</v>
      </c>
      <c r="BW231" s="180"/>
      <c r="BX231" s="180"/>
      <c r="BY231" s="180"/>
      <c r="BZ231" s="180"/>
      <c r="CA231" s="180"/>
      <c r="CB231" s="180"/>
      <c r="CC231" s="180"/>
      <c r="CD231" s="180"/>
      <c r="CE231" s="180"/>
      <c r="CF231" s="180"/>
      <c r="CG231" s="180"/>
      <c r="CH231" s="180"/>
      <c r="CI231" s="180"/>
      <c r="CJ231" s="180"/>
      <c r="CK231" s="180"/>
      <c r="CL231" s="180"/>
      <c r="CM231" s="180"/>
      <c r="CN231" s="180"/>
      <c r="CO231" s="180"/>
      <c r="CP231" s="180"/>
      <c r="CQ231" s="180"/>
      <c r="CR231" s="180"/>
      <c r="CS231" s="180"/>
      <c r="CT231" s="180"/>
      <c r="CU231" s="180"/>
    </row>
    <row r="232" spans="1:99" x14ac:dyDescent="0.3">
      <c r="A232" s="155">
        <v>988</v>
      </c>
      <c r="B232" s="180" t="s">
        <v>1022</v>
      </c>
      <c r="C232" s="180"/>
      <c r="D232" s="180">
        <v>2</v>
      </c>
      <c r="E232" s="180">
        <v>2</v>
      </c>
      <c r="F232" s="180"/>
      <c r="G232" s="180"/>
      <c r="H232" s="180">
        <v>2</v>
      </c>
      <c r="I232" s="180">
        <v>2</v>
      </c>
      <c r="J232" s="180"/>
      <c r="K232" s="180">
        <v>2</v>
      </c>
      <c r="L232" s="180">
        <v>2</v>
      </c>
      <c r="M232" s="180">
        <v>2</v>
      </c>
      <c r="N232" s="180">
        <v>2</v>
      </c>
      <c r="O232" s="180">
        <v>2</v>
      </c>
      <c r="P232" s="180"/>
      <c r="Q232" s="180">
        <v>0</v>
      </c>
      <c r="R232" s="180">
        <v>2</v>
      </c>
      <c r="S232" s="180">
        <v>2</v>
      </c>
      <c r="T232" s="180">
        <v>2</v>
      </c>
      <c r="U232" s="180"/>
      <c r="V232" s="180"/>
      <c r="W232" s="180"/>
      <c r="X232" s="180">
        <v>0</v>
      </c>
      <c r="Y232" s="180">
        <v>2</v>
      </c>
      <c r="Z232" s="180">
        <v>2</v>
      </c>
      <c r="AA232" s="180">
        <v>2</v>
      </c>
      <c r="AB232" s="180">
        <v>2</v>
      </c>
      <c r="AC232" s="180">
        <v>2</v>
      </c>
      <c r="AD232" s="180">
        <v>2</v>
      </c>
      <c r="AE232" s="180">
        <v>2</v>
      </c>
      <c r="AF232" s="180">
        <v>2</v>
      </c>
      <c r="AG232" s="180">
        <v>2</v>
      </c>
      <c r="AH232" s="180">
        <v>2</v>
      </c>
      <c r="AI232" s="180">
        <v>0</v>
      </c>
      <c r="AJ232" s="180">
        <v>2</v>
      </c>
      <c r="AK232" s="180">
        <v>2</v>
      </c>
      <c r="AL232" s="180">
        <v>2</v>
      </c>
      <c r="AM232" s="180">
        <v>2</v>
      </c>
      <c r="AN232" s="180">
        <v>2</v>
      </c>
      <c r="AO232" s="180">
        <v>2</v>
      </c>
      <c r="AP232" s="180">
        <v>2</v>
      </c>
      <c r="AQ232" s="180">
        <v>2</v>
      </c>
      <c r="AR232" s="180">
        <v>2</v>
      </c>
      <c r="AS232" s="180">
        <v>2</v>
      </c>
      <c r="AT232" s="180">
        <v>2</v>
      </c>
      <c r="AU232" s="180">
        <v>2</v>
      </c>
      <c r="AV232" s="180">
        <v>2</v>
      </c>
      <c r="AW232" s="180">
        <v>2</v>
      </c>
      <c r="AX232" s="180">
        <v>2</v>
      </c>
      <c r="AY232" s="180">
        <v>2</v>
      </c>
      <c r="AZ232" s="180">
        <v>2</v>
      </c>
      <c r="BA232" s="180">
        <v>2</v>
      </c>
      <c r="BB232" s="180">
        <v>2</v>
      </c>
      <c r="BC232" s="180">
        <v>2</v>
      </c>
      <c r="BD232" s="180">
        <v>2</v>
      </c>
      <c r="BE232" s="180">
        <v>2</v>
      </c>
      <c r="BF232" s="180">
        <v>2</v>
      </c>
      <c r="BG232" s="180"/>
      <c r="BH232" s="180">
        <v>2</v>
      </c>
      <c r="BI232" s="180">
        <v>2</v>
      </c>
      <c r="BJ232" s="180">
        <v>2</v>
      </c>
      <c r="BK232" s="180">
        <v>2</v>
      </c>
      <c r="BL232" s="180">
        <v>2</v>
      </c>
      <c r="BM232" s="180">
        <v>2</v>
      </c>
      <c r="BN232" s="180">
        <v>2</v>
      </c>
      <c r="BO232" s="180">
        <v>2</v>
      </c>
      <c r="BP232" s="180"/>
      <c r="BQ232" s="180">
        <v>2</v>
      </c>
      <c r="BR232" s="180"/>
      <c r="BS232" s="180">
        <v>2</v>
      </c>
      <c r="BT232" s="180">
        <v>0</v>
      </c>
      <c r="BU232" s="180"/>
      <c r="BV232" s="180">
        <v>2</v>
      </c>
      <c r="BW232" s="180"/>
      <c r="BX232" s="180"/>
      <c r="BY232" s="180"/>
      <c r="BZ232" s="180"/>
      <c r="CA232" s="180"/>
      <c r="CB232" s="180"/>
      <c r="CC232" s="180"/>
      <c r="CD232" s="180"/>
      <c r="CE232" s="180"/>
      <c r="CF232" s="180"/>
      <c r="CG232" s="180"/>
      <c r="CH232" s="180"/>
      <c r="CI232" s="180"/>
      <c r="CJ232" s="180"/>
      <c r="CK232" s="180"/>
      <c r="CL232" s="180"/>
      <c r="CM232" s="180"/>
      <c r="CN232" s="180"/>
      <c r="CO232" s="180"/>
      <c r="CP232" s="180"/>
      <c r="CQ232" s="180"/>
      <c r="CR232" s="180"/>
      <c r="CS232" s="180"/>
      <c r="CT232" s="180"/>
      <c r="CU232" s="180"/>
    </row>
    <row r="233" spans="1:99" x14ac:dyDescent="0.3">
      <c r="A233" s="155">
        <v>989</v>
      </c>
      <c r="B233" s="180" t="s">
        <v>1023</v>
      </c>
      <c r="C233" s="180"/>
      <c r="D233" s="180">
        <v>0</v>
      </c>
      <c r="E233" s="180">
        <v>3</v>
      </c>
      <c r="F233" s="180"/>
      <c r="G233" s="180"/>
      <c r="H233" s="180">
        <v>3</v>
      </c>
      <c r="I233" s="180">
        <v>3</v>
      </c>
      <c r="J233" s="180"/>
      <c r="K233" s="180">
        <v>3</v>
      </c>
      <c r="L233" s="180">
        <v>3</v>
      </c>
      <c r="M233" s="180">
        <v>3</v>
      </c>
      <c r="N233" s="180">
        <v>2</v>
      </c>
      <c r="O233" s="180">
        <v>0</v>
      </c>
      <c r="P233" s="180"/>
      <c r="Q233" s="180">
        <v>0</v>
      </c>
      <c r="R233" s="180">
        <v>3</v>
      </c>
      <c r="S233" s="180">
        <v>0</v>
      </c>
      <c r="T233" s="180">
        <v>3</v>
      </c>
      <c r="U233" s="180"/>
      <c r="V233" s="180"/>
      <c r="W233" s="180"/>
      <c r="X233" s="180">
        <v>0</v>
      </c>
      <c r="Y233" s="180">
        <v>0</v>
      </c>
      <c r="Z233" s="180">
        <v>3</v>
      </c>
      <c r="AA233" s="180">
        <v>3</v>
      </c>
      <c r="AB233" s="180">
        <v>0</v>
      </c>
      <c r="AC233" s="180">
        <v>3</v>
      </c>
      <c r="AD233" s="180">
        <v>3</v>
      </c>
      <c r="AE233" s="180">
        <v>3</v>
      </c>
      <c r="AF233" s="180">
        <v>0</v>
      </c>
      <c r="AG233" s="180">
        <v>3</v>
      </c>
      <c r="AH233" s="180">
        <v>3</v>
      </c>
      <c r="AI233" s="180">
        <v>0</v>
      </c>
      <c r="AJ233" s="180">
        <v>3</v>
      </c>
      <c r="AK233" s="180">
        <v>3</v>
      </c>
      <c r="AL233" s="180">
        <v>0</v>
      </c>
      <c r="AM233" s="180">
        <v>3</v>
      </c>
      <c r="AN233" s="180">
        <v>3</v>
      </c>
      <c r="AO233" s="180">
        <v>3</v>
      </c>
      <c r="AP233" s="180">
        <v>3</v>
      </c>
      <c r="AQ233" s="180">
        <v>3</v>
      </c>
      <c r="AR233" s="180">
        <v>3</v>
      </c>
      <c r="AS233" s="180">
        <v>3</v>
      </c>
      <c r="AT233" s="180">
        <v>0</v>
      </c>
      <c r="AU233" s="180">
        <v>0</v>
      </c>
      <c r="AV233" s="180">
        <v>0</v>
      </c>
      <c r="AW233" s="180">
        <v>0</v>
      </c>
      <c r="AX233" s="180">
        <v>3</v>
      </c>
      <c r="AY233" s="180">
        <v>3</v>
      </c>
      <c r="AZ233" s="180">
        <v>3</v>
      </c>
      <c r="BA233" s="180">
        <v>0</v>
      </c>
      <c r="BB233" s="180">
        <v>3</v>
      </c>
      <c r="BC233" s="180">
        <v>0</v>
      </c>
      <c r="BD233" s="180">
        <v>3</v>
      </c>
      <c r="BE233" s="180">
        <v>3</v>
      </c>
      <c r="BF233" s="180">
        <v>3</v>
      </c>
      <c r="BG233" s="180"/>
      <c r="BH233" s="180">
        <v>3</v>
      </c>
      <c r="BI233" s="180">
        <v>3</v>
      </c>
      <c r="BJ233" s="180">
        <v>3</v>
      </c>
      <c r="BK233" s="180">
        <v>3</v>
      </c>
      <c r="BL233" s="180">
        <v>3</v>
      </c>
      <c r="BM233" s="180">
        <v>0</v>
      </c>
      <c r="BN233" s="180">
        <v>3</v>
      </c>
      <c r="BO233" s="180">
        <v>3</v>
      </c>
      <c r="BP233" s="180"/>
      <c r="BQ233" s="180">
        <v>3</v>
      </c>
      <c r="BR233" s="180"/>
      <c r="BS233" s="180">
        <v>3</v>
      </c>
      <c r="BT233" s="180">
        <v>0</v>
      </c>
      <c r="BU233" s="180"/>
      <c r="BV233" s="180">
        <v>3</v>
      </c>
      <c r="BW233" s="180"/>
      <c r="BX233" s="180"/>
      <c r="BY233" s="180"/>
      <c r="BZ233" s="180"/>
      <c r="CA233" s="180"/>
      <c r="CB233" s="180"/>
      <c r="CC233" s="180"/>
      <c r="CD233" s="180"/>
      <c r="CE233" s="180"/>
      <c r="CF233" s="180"/>
      <c r="CG233" s="180"/>
      <c r="CH233" s="180"/>
      <c r="CI233" s="180"/>
      <c r="CJ233" s="180"/>
      <c r="CK233" s="180"/>
      <c r="CL233" s="180"/>
      <c r="CM233" s="180"/>
      <c r="CN233" s="180"/>
      <c r="CO233" s="180"/>
      <c r="CP233" s="180"/>
      <c r="CQ233" s="180"/>
      <c r="CR233" s="180"/>
      <c r="CS233" s="180"/>
      <c r="CT233" s="180"/>
      <c r="CU233" s="180"/>
    </row>
    <row r="234" spans="1:99" x14ac:dyDescent="0.3">
      <c r="A234" s="155">
        <v>990</v>
      </c>
      <c r="B234" s="180" t="s">
        <v>583</v>
      </c>
      <c r="C234" s="180"/>
      <c r="D234" s="180">
        <v>0</v>
      </c>
      <c r="E234" s="180">
        <v>0</v>
      </c>
      <c r="F234" s="180"/>
      <c r="G234" s="180"/>
      <c r="H234" s="180">
        <v>0</v>
      </c>
      <c r="I234" s="180">
        <v>0</v>
      </c>
      <c r="J234" s="180"/>
      <c r="K234" s="180">
        <v>0</v>
      </c>
      <c r="L234" s="180">
        <v>0</v>
      </c>
      <c r="M234" s="180">
        <v>0</v>
      </c>
      <c r="N234" s="180">
        <v>0</v>
      </c>
      <c r="O234" s="180">
        <v>0</v>
      </c>
      <c r="P234" s="180"/>
      <c r="Q234" s="180">
        <v>0</v>
      </c>
      <c r="R234" s="180">
        <v>0</v>
      </c>
      <c r="S234" s="180">
        <v>0</v>
      </c>
      <c r="T234" s="180">
        <v>0</v>
      </c>
      <c r="U234" s="180"/>
      <c r="V234" s="180"/>
      <c r="W234" s="180"/>
      <c r="X234" s="180">
        <v>0</v>
      </c>
      <c r="Y234" s="180">
        <v>0</v>
      </c>
      <c r="Z234" s="180">
        <v>457582</v>
      </c>
      <c r="AA234" s="180">
        <v>0</v>
      </c>
      <c r="AB234" s="180">
        <v>0</v>
      </c>
      <c r="AC234" s="180">
        <v>0</v>
      </c>
      <c r="AD234" s="180">
        <v>0</v>
      </c>
      <c r="AE234" s="180">
        <v>0</v>
      </c>
      <c r="AF234" s="180">
        <v>0</v>
      </c>
      <c r="AG234" s="180">
        <v>0</v>
      </c>
      <c r="AH234" s="180">
        <v>0</v>
      </c>
      <c r="AI234" s="180">
        <v>0</v>
      </c>
      <c r="AJ234" s="180">
        <v>0</v>
      </c>
      <c r="AK234" s="180">
        <v>0</v>
      </c>
      <c r="AL234" s="180">
        <v>0</v>
      </c>
      <c r="AM234" s="180">
        <v>0</v>
      </c>
      <c r="AN234" s="180">
        <v>0</v>
      </c>
      <c r="AO234" s="180">
        <v>0</v>
      </c>
      <c r="AP234" s="180">
        <v>0</v>
      </c>
      <c r="AQ234" s="180">
        <v>0</v>
      </c>
      <c r="AR234" s="180">
        <v>0</v>
      </c>
      <c r="AS234" s="180">
        <v>0</v>
      </c>
      <c r="AT234" s="180">
        <v>0</v>
      </c>
      <c r="AU234" s="180">
        <v>0</v>
      </c>
      <c r="AV234" s="180">
        <v>0</v>
      </c>
      <c r="AW234" s="180">
        <v>0</v>
      </c>
      <c r="AX234" s="180">
        <v>0</v>
      </c>
      <c r="AY234" s="180">
        <v>0</v>
      </c>
      <c r="AZ234" s="180">
        <v>0</v>
      </c>
      <c r="BA234" s="180">
        <v>0</v>
      </c>
      <c r="BB234" s="180">
        <v>0</v>
      </c>
      <c r="BC234" s="180">
        <v>0</v>
      </c>
      <c r="BD234" s="180">
        <v>0</v>
      </c>
      <c r="BE234" s="180">
        <v>0</v>
      </c>
      <c r="BF234" s="180">
        <v>0</v>
      </c>
      <c r="BG234" s="180"/>
      <c r="BH234" s="180">
        <v>0</v>
      </c>
      <c r="BI234" s="180">
        <v>0</v>
      </c>
      <c r="BJ234" s="180">
        <v>0</v>
      </c>
      <c r="BK234" s="180">
        <v>0</v>
      </c>
      <c r="BL234" s="180">
        <v>0</v>
      </c>
      <c r="BM234" s="180">
        <v>0</v>
      </c>
      <c r="BN234" s="180">
        <v>0</v>
      </c>
      <c r="BO234" s="180">
        <v>0</v>
      </c>
      <c r="BP234" s="180"/>
      <c r="BQ234" s="180">
        <v>0</v>
      </c>
      <c r="BR234" s="180"/>
      <c r="BS234" s="180">
        <v>0</v>
      </c>
      <c r="BT234" s="180">
        <v>0</v>
      </c>
      <c r="BU234" s="180"/>
      <c r="BV234" s="180">
        <v>0</v>
      </c>
      <c r="BW234" s="180"/>
      <c r="BX234" s="180"/>
      <c r="BY234" s="180"/>
      <c r="BZ234" s="180"/>
      <c r="CA234" s="180"/>
      <c r="CB234" s="180"/>
      <c r="CC234" s="180"/>
      <c r="CD234" s="180"/>
      <c r="CE234" s="180"/>
      <c r="CF234" s="180"/>
      <c r="CG234" s="180"/>
      <c r="CH234" s="180"/>
      <c r="CI234" s="180"/>
      <c r="CJ234" s="180"/>
      <c r="CK234" s="180"/>
      <c r="CL234" s="180"/>
      <c r="CM234" s="180"/>
      <c r="CN234" s="180"/>
      <c r="CO234" s="180"/>
      <c r="CP234" s="180"/>
      <c r="CQ234" s="180"/>
      <c r="CR234" s="180"/>
      <c r="CS234" s="180"/>
      <c r="CT234" s="180"/>
      <c r="CU234" s="180"/>
    </row>
    <row r="235" spans="1:99" x14ac:dyDescent="0.3">
      <c r="A235" s="155">
        <v>991</v>
      </c>
      <c r="B235" s="180" t="s">
        <v>1024</v>
      </c>
      <c r="C235" s="180"/>
      <c r="D235" s="180">
        <v>23</v>
      </c>
      <c r="E235" s="180">
        <v>23</v>
      </c>
      <c r="F235" s="180"/>
      <c r="G235" s="180"/>
      <c r="H235" s="180">
        <v>23</v>
      </c>
      <c r="I235" s="180">
        <v>22</v>
      </c>
      <c r="J235" s="180"/>
      <c r="K235" s="180">
        <v>23</v>
      </c>
      <c r="L235" s="180">
        <v>23</v>
      </c>
      <c r="M235" s="180">
        <v>23</v>
      </c>
      <c r="N235" s="180">
        <v>22</v>
      </c>
      <c r="O235" s="180">
        <v>20</v>
      </c>
      <c r="P235" s="180"/>
      <c r="Q235" s="180">
        <v>23</v>
      </c>
      <c r="R235" s="180">
        <v>22</v>
      </c>
      <c r="S235" s="180">
        <v>20</v>
      </c>
      <c r="T235" s="180">
        <v>23</v>
      </c>
      <c r="U235" s="180"/>
      <c r="V235" s="180"/>
      <c r="W235" s="180"/>
      <c r="X235" s="180">
        <v>22</v>
      </c>
      <c r="Y235" s="180">
        <v>20</v>
      </c>
      <c r="Z235" s="180">
        <v>23</v>
      </c>
      <c r="AA235" s="180">
        <v>23</v>
      </c>
      <c r="AB235" s="180">
        <v>20</v>
      </c>
      <c r="AC235" s="180">
        <v>23</v>
      </c>
      <c r="AD235" s="180">
        <v>23</v>
      </c>
      <c r="AE235" s="180">
        <v>23</v>
      </c>
      <c r="AF235" s="180">
        <v>23</v>
      </c>
      <c r="AG235" s="180">
        <v>22</v>
      </c>
      <c r="AH235" s="180">
        <v>23</v>
      </c>
      <c r="AI235" s="180">
        <v>20</v>
      </c>
      <c r="AJ235" s="180">
        <v>23</v>
      </c>
      <c r="AK235" s="180">
        <v>23</v>
      </c>
      <c r="AL235" s="180">
        <v>20</v>
      </c>
      <c r="AM235" s="180">
        <v>23</v>
      </c>
      <c r="AN235" s="180">
        <v>23</v>
      </c>
      <c r="AO235" s="180">
        <v>23</v>
      </c>
      <c r="AP235" s="180">
        <v>20</v>
      </c>
      <c r="AQ235" s="180">
        <v>20</v>
      </c>
      <c r="AR235" s="180">
        <v>23</v>
      </c>
      <c r="AS235" s="180">
        <v>20</v>
      </c>
      <c r="AT235" s="180">
        <v>23</v>
      </c>
      <c r="AU235" s="180">
        <v>23</v>
      </c>
      <c r="AV235" s="180">
        <v>22</v>
      </c>
      <c r="AW235" s="180">
        <v>22</v>
      </c>
      <c r="AX235" s="180">
        <v>22</v>
      </c>
      <c r="AY235" s="180">
        <v>23</v>
      </c>
      <c r="AZ235" s="180">
        <v>23</v>
      </c>
      <c r="BA235" s="180">
        <v>22</v>
      </c>
      <c r="BB235" s="180">
        <v>23</v>
      </c>
      <c r="BC235" s="180">
        <v>20</v>
      </c>
      <c r="BD235" s="180">
        <v>20</v>
      </c>
      <c r="BE235" s="180">
        <v>22</v>
      </c>
      <c r="BF235" s="180">
        <v>23</v>
      </c>
      <c r="BG235" s="180"/>
      <c r="BH235" s="180">
        <v>23</v>
      </c>
      <c r="BI235" s="180">
        <v>23</v>
      </c>
      <c r="BJ235" s="180">
        <v>23</v>
      </c>
      <c r="BK235" s="180">
        <v>23</v>
      </c>
      <c r="BL235" s="180">
        <v>20</v>
      </c>
      <c r="BM235" s="180">
        <v>23</v>
      </c>
      <c r="BN235" s="180">
        <v>20</v>
      </c>
      <c r="BO235" s="180">
        <v>23</v>
      </c>
      <c r="BP235" s="180"/>
      <c r="BQ235" s="180">
        <v>23</v>
      </c>
      <c r="BR235" s="180"/>
      <c r="BS235" s="180">
        <v>23</v>
      </c>
      <c r="BT235" s="180">
        <v>22</v>
      </c>
      <c r="BU235" s="180"/>
      <c r="BV235" s="180">
        <v>20</v>
      </c>
      <c r="BW235" s="180"/>
      <c r="BX235" s="180"/>
      <c r="BY235" s="180"/>
      <c r="BZ235" s="180"/>
      <c r="CA235" s="180"/>
      <c r="CB235" s="180"/>
      <c r="CC235" s="180"/>
      <c r="CD235" s="180"/>
      <c r="CE235" s="180"/>
      <c r="CF235" s="180"/>
      <c r="CG235" s="180"/>
      <c r="CH235" s="180"/>
      <c r="CI235" s="180"/>
      <c r="CJ235" s="180"/>
      <c r="CK235" s="180"/>
      <c r="CL235" s="180"/>
      <c r="CM235" s="180"/>
      <c r="CN235" s="180"/>
      <c r="CO235" s="180"/>
      <c r="CP235" s="180"/>
      <c r="CQ235" s="180"/>
      <c r="CR235" s="180"/>
      <c r="CS235" s="180"/>
      <c r="CT235" s="180"/>
      <c r="CU235" s="180"/>
    </row>
    <row r="236" spans="1:99" x14ac:dyDescent="0.3">
      <c r="A236" s="155">
        <v>995</v>
      </c>
      <c r="B236" s="180" t="s">
        <v>275</v>
      </c>
      <c r="C236" s="180"/>
      <c r="D236" s="180">
        <v>0</v>
      </c>
      <c r="E236" s="180">
        <v>0</v>
      </c>
      <c r="F236" s="180">
        <v>0</v>
      </c>
      <c r="G236" s="180">
        <v>0</v>
      </c>
      <c r="H236" s="180">
        <v>0</v>
      </c>
      <c r="I236" s="180">
        <v>0</v>
      </c>
      <c r="J236" s="180">
        <v>0</v>
      </c>
      <c r="K236" s="180">
        <v>0</v>
      </c>
      <c r="L236" s="180">
        <v>0.08</v>
      </c>
      <c r="M236" s="180">
        <v>0</v>
      </c>
      <c r="N236" s="180">
        <v>0</v>
      </c>
      <c r="O236" s="180">
        <v>0</v>
      </c>
      <c r="P236" s="180">
        <v>0</v>
      </c>
      <c r="Q236" s="180">
        <v>0</v>
      </c>
      <c r="R236" s="180">
        <v>0</v>
      </c>
      <c r="S236" s="180">
        <v>0</v>
      </c>
      <c r="T236" s="180">
        <v>0</v>
      </c>
      <c r="U236" s="180">
        <v>0</v>
      </c>
      <c r="V236" s="180">
        <v>0</v>
      </c>
      <c r="W236" s="180">
        <v>0.08</v>
      </c>
      <c r="X236" s="180">
        <v>0</v>
      </c>
      <c r="Y236" s="180">
        <v>0</v>
      </c>
      <c r="Z236" s="180">
        <v>0.08</v>
      </c>
      <c r="AA236" s="180">
        <v>0</v>
      </c>
      <c r="AB236" s="180">
        <v>0</v>
      </c>
      <c r="AC236" s="180">
        <v>0</v>
      </c>
      <c r="AD236" s="180">
        <v>0</v>
      </c>
      <c r="AE236" s="180">
        <v>0</v>
      </c>
      <c r="AF236" s="180">
        <v>0</v>
      </c>
      <c r="AG236" s="180">
        <v>0</v>
      </c>
      <c r="AH236" s="180">
        <v>0</v>
      </c>
      <c r="AI236" s="180">
        <v>0</v>
      </c>
      <c r="AJ236" s="180">
        <v>0</v>
      </c>
      <c r="AK236" s="180">
        <v>0</v>
      </c>
      <c r="AL236" s="180">
        <v>0</v>
      </c>
      <c r="AM236" s="180">
        <v>0</v>
      </c>
      <c r="AN236" s="180">
        <v>0</v>
      </c>
      <c r="AO236" s="180">
        <v>0</v>
      </c>
      <c r="AP236" s="180">
        <v>0</v>
      </c>
      <c r="AQ236" s="180">
        <v>0</v>
      </c>
      <c r="AR236" s="180">
        <v>0</v>
      </c>
      <c r="AS236" s="180">
        <v>0</v>
      </c>
      <c r="AT236" s="180">
        <v>0</v>
      </c>
      <c r="AU236" s="180">
        <v>0</v>
      </c>
      <c r="AV236" s="180">
        <v>0.08</v>
      </c>
      <c r="AW236" s="180">
        <v>0</v>
      </c>
      <c r="AX236" s="180">
        <v>0</v>
      </c>
      <c r="AY236" s="180">
        <v>0</v>
      </c>
      <c r="AZ236" s="180">
        <v>0.08</v>
      </c>
      <c r="BA236" s="180">
        <v>0</v>
      </c>
      <c r="BB236" s="180">
        <v>0</v>
      </c>
      <c r="BC236" s="180">
        <v>0</v>
      </c>
      <c r="BD236" s="180">
        <v>0</v>
      </c>
      <c r="BE236" s="180">
        <v>0.09</v>
      </c>
      <c r="BF236" s="180">
        <v>7.0000000000000007E-2</v>
      </c>
      <c r="BG236" s="180">
        <v>0</v>
      </c>
      <c r="BH236" s="180">
        <v>0</v>
      </c>
      <c r="BI236" s="180">
        <v>0</v>
      </c>
      <c r="BJ236" s="180">
        <v>0.08</v>
      </c>
      <c r="BK236" s="180">
        <v>0</v>
      </c>
      <c r="BL236" s="180">
        <v>0</v>
      </c>
      <c r="BM236" s="180">
        <v>0</v>
      </c>
      <c r="BN236" s="180">
        <v>0.08</v>
      </c>
      <c r="BO236" s="180">
        <v>0</v>
      </c>
      <c r="BP236" s="180">
        <v>0</v>
      </c>
      <c r="BQ236" s="180">
        <v>0</v>
      </c>
      <c r="BR236" s="180">
        <v>0</v>
      </c>
      <c r="BS236" s="180">
        <v>0</v>
      </c>
      <c r="BT236" s="180">
        <v>0</v>
      </c>
      <c r="BU236" s="180">
        <v>0</v>
      </c>
      <c r="BV236" s="180">
        <v>0</v>
      </c>
      <c r="BW236" s="180"/>
      <c r="BX236" s="180"/>
      <c r="BY236" s="180"/>
      <c r="BZ236" s="180"/>
      <c r="CA236" s="180"/>
      <c r="CB236" s="180"/>
      <c r="CC236" s="180"/>
      <c r="CD236" s="180"/>
      <c r="CE236" s="180"/>
      <c r="CF236" s="180"/>
      <c r="CG236" s="180"/>
      <c r="CH236" s="180"/>
      <c r="CI236" s="180"/>
      <c r="CJ236" s="180"/>
      <c r="CK236" s="180"/>
      <c r="CL236" s="180"/>
      <c r="CM236" s="180"/>
      <c r="CN236" s="180"/>
      <c r="CO236" s="180"/>
      <c r="CP236" s="180"/>
      <c r="CQ236" s="180"/>
      <c r="CR236" s="180"/>
      <c r="CS236" s="180"/>
      <c r="CT236" s="180"/>
      <c r="CU236" s="180"/>
    </row>
    <row r="237" spans="1:99" x14ac:dyDescent="0.3">
      <c r="A237" s="155">
        <v>996</v>
      </c>
      <c r="B237" s="180" t="s">
        <v>276</v>
      </c>
      <c r="C237" s="180"/>
      <c r="D237" s="180">
        <v>0.01</v>
      </c>
      <c r="E237" s="180">
        <v>0.01</v>
      </c>
      <c r="F237" s="180">
        <v>0.01</v>
      </c>
      <c r="G237" s="180">
        <v>0.01</v>
      </c>
      <c r="H237" s="180">
        <v>0.01</v>
      </c>
      <c r="I237" s="180">
        <v>0</v>
      </c>
      <c r="J237" s="180">
        <v>0</v>
      </c>
      <c r="K237" s="180">
        <v>0</v>
      </c>
      <c r="L237" s="180">
        <v>0.01</v>
      </c>
      <c r="M237" s="180">
        <v>0.01</v>
      </c>
      <c r="N237" s="180">
        <v>0</v>
      </c>
      <c r="O237" s="180">
        <v>0.01</v>
      </c>
      <c r="P237" s="180">
        <v>0.01</v>
      </c>
      <c r="Q237" s="180">
        <v>0</v>
      </c>
      <c r="R237" s="180">
        <v>0</v>
      </c>
      <c r="S237" s="180">
        <v>0.01</v>
      </c>
      <c r="T237" s="180">
        <v>0</v>
      </c>
      <c r="U237" s="180">
        <v>0.01</v>
      </c>
      <c r="V237" s="180">
        <v>0.01</v>
      </c>
      <c r="W237" s="180">
        <v>0.01</v>
      </c>
      <c r="X237" s="180">
        <v>0.01</v>
      </c>
      <c r="Y237" s="180">
        <v>0</v>
      </c>
      <c r="Z237" s="180">
        <v>0.01</v>
      </c>
      <c r="AA237" s="180">
        <v>0</v>
      </c>
      <c r="AB237" s="180">
        <v>0.01</v>
      </c>
      <c r="AC237" s="180">
        <v>0.01</v>
      </c>
      <c r="AD237" s="180">
        <v>0.01</v>
      </c>
      <c r="AE237" s="180">
        <v>0.01</v>
      </c>
      <c r="AF237" s="180">
        <v>0.01</v>
      </c>
      <c r="AG237" s="180">
        <v>0.01</v>
      </c>
      <c r="AH237" s="180">
        <v>0.01</v>
      </c>
      <c r="AI237" s="180">
        <v>0</v>
      </c>
      <c r="AJ237" s="180">
        <v>0</v>
      </c>
      <c r="AK237" s="180">
        <v>0</v>
      </c>
      <c r="AL237" s="180">
        <v>0.01</v>
      </c>
      <c r="AM237" s="180">
        <v>0.01</v>
      </c>
      <c r="AN237" s="180">
        <v>0.01</v>
      </c>
      <c r="AO237" s="180">
        <v>0.01</v>
      </c>
      <c r="AP237" s="180">
        <v>0.01</v>
      </c>
      <c r="AQ237" s="180">
        <v>0</v>
      </c>
      <c r="AR237" s="180">
        <v>0.01</v>
      </c>
      <c r="AS237" s="180">
        <v>0.01</v>
      </c>
      <c r="AT237" s="180">
        <v>0.01</v>
      </c>
      <c r="AU237" s="180">
        <v>0.01</v>
      </c>
      <c r="AV237" s="180">
        <v>0.01</v>
      </c>
      <c r="AW237" s="180">
        <v>0.01</v>
      </c>
      <c r="AX237" s="180">
        <v>0</v>
      </c>
      <c r="AY237" s="180">
        <v>0</v>
      </c>
      <c r="AZ237" s="180">
        <v>0.01</v>
      </c>
      <c r="BA237" s="180">
        <v>0.01</v>
      </c>
      <c r="BB237" s="180">
        <v>0.01</v>
      </c>
      <c r="BC237" s="180">
        <v>0.01</v>
      </c>
      <c r="BD237" s="180">
        <v>0.01</v>
      </c>
      <c r="BE237" s="180">
        <v>0.01</v>
      </c>
      <c r="BF237" s="180">
        <v>0.01</v>
      </c>
      <c r="BG237" s="180">
        <v>0.01</v>
      </c>
      <c r="BH237" s="180">
        <v>0</v>
      </c>
      <c r="BI237" s="180">
        <v>0.01</v>
      </c>
      <c r="BJ237" s="180">
        <v>0.01</v>
      </c>
      <c r="BK237" s="180">
        <v>0.01</v>
      </c>
      <c r="BL237" s="180">
        <v>0.01</v>
      </c>
      <c r="BM237" s="180">
        <v>0</v>
      </c>
      <c r="BN237" s="180">
        <v>0.01</v>
      </c>
      <c r="BO237" s="180">
        <v>0.01</v>
      </c>
      <c r="BP237" s="180">
        <v>0</v>
      </c>
      <c r="BQ237" s="180">
        <v>0</v>
      </c>
      <c r="BR237" s="180">
        <v>0</v>
      </c>
      <c r="BS237" s="180">
        <v>0.01</v>
      </c>
      <c r="BT237" s="180">
        <v>0.01</v>
      </c>
      <c r="BU237" s="180">
        <v>0.01</v>
      </c>
      <c r="BV237" s="180">
        <v>0.01</v>
      </c>
      <c r="BW237" s="180"/>
      <c r="BX237" s="180"/>
      <c r="BY237" s="180"/>
      <c r="BZ237" s="180"/>
      <c r="CA237" s="180"/>
      <c r="CB237" s="180"/>
      <c r="CC237" s="180"/>
      <c r="CD237" s="180"/>
      <c r="CE237" s="180"/>
      <c r="CF237" s="180"/>
      <c r="CG237" s="180"/>
      <c r="CH237" s="180"/>
      <c r="CI237" s="180"/>
      <c r="CJ237" s="180"/>
      <c r="CK237" s="180"/>
      <c r="CL237" s="180"/>
      <c r="CM237" s="180"/>
      <c r="CN237" s="180"/>
      <c r="CO237" s="180"/>
      <c r="CP237" s="180"/>
      <c r="CQ237" s="180"/>
      <c r="CR237" s="180"/>
      <c r="CS237" s="180"/>
      <c r="CT237" s="180"/>
      <c r="CU237" s="180"/>
    </row>
    <row r="238" spans="1:99" x14ac:dyDescent="0.3">
      <c r="A238" s="155">
        <v>998</v>
      </c>
      <c r="B238" s="180" t="s">
        <v>277</v>
      </c>
      <c r="C238" s="180"/>
      <c r="D238" s="180">
        <v>50</v>
      </c>
      <c r="E238" s="180">
        <v>50</v>
      </c>
      <c r="F238" s="180">
        <v>50</v>
      </c>
      <c r="G238" s="180">
        <v>50</v>
      </c>
      <c r="H238" s="180">
        <v>50</v>
      </c>
      <c r="I238" s="180">
        <v>50</v>
      </c>
      <c r="J238" s="180">
        <v>50</v>
      </c>
      <c r="K238" s="180">
        <v>50</v>
      </c>
      <c r="L238" s="180">
        <v>50</v>
      </c>
      <c r="M238" s="180">
        <v>50</v>
      </c>
      <c r="N238" s="180">
        <v>50</v>
      </c>
      <c r="O238" s="180">
        <v>50</v>
      </c>
      <c r="P238" s="180">
        <v>50</v>
      </c>
      <c r="Q238" s="180">
        <v>50</v>
      </c>
      <c r="R238" s="180">
        <v>50</v>
      </c>
      <c r="S238" s="180">
        <v>50</v>
      </c>
      <c r="T238" s="180">
        <v>50</v>
      </c>
      <c r="U238" s="180">
        <v>50</v>
      </c>
      <c r="V238" s="180">
        <v>50</v>
      </c>
      <c r="W238" s="180">
        <v>50</v>
      </c>
      <c r="X238" s="180">
        <v>50</v>
      </c>
      <c r="Y238" s="180">
        <v>50</v>
      </c>
      <c r="Z238" s="180">
        <v>50</v>
      </c>
      <c r="AA238" s="180">
        <v>50</v>
      </c>
      <c r="AB238" s="180">
        <v>50</v>
      </c>
      <c r="AC238" s="180">
        <v>50</v>
      </c>
      <c r="AD238" s="180">
        <v>50</v>
      </c>
      <c r="AE238" s="180">
        <v>50</v>
      </c>
      <c r="AF238" s="180">
        <v>50</v>
      </c>
      <c r="AG238" s="180">
        <v>50</v>
      </c>
      <c r="AH238" s="180">
        <v>50</v>
      </c>
      <c r="AI238" s="180">
        <v>50</v>
      </c>
      <c r="AJ238" s="180">
        <v>50</v>
      </c>
      <c r="AK238" s="180">
        <v>50</v>
      </c>
      <c r="AL238" s="180">
        <v>50</v>
      </c>
      <c r="AM238" s="180">
        <v>50</v>
      </c>
      <c r="AN238" s="180">
        <v>50</v>
      </c>
      <c r="AO238" s="180">
        <v>50</v>
      </c>
      <c r="AP238" s="180">
        <v>50</v>
      </c>
      <c r="AQ238" s="180">
        <v>50</v>
      </c>
      <c r="AR238" s="180">
        <v>50</v>
      </c>
      <c r="AS238" s="180">
        <v>50</v>
      </c>
      <c r="AT238" s="180">
        <v>50</v>
      </c>
      <c r="AU238" s="180">
        <v>50</v>
      </c>
      <c r="AV238" s="180">
        <v>50</v>
      </c>
      <c r="AW238" s="180">
        <v>50</v>
      </c>
      <c r="AX238" s="180">
        <v>50</v>
      </c>
      <c r="AY238" s="180">
        <v>50</v>
      </c>
      <c r="AZ238" s="180">
        <v>50</v>
      </c>
      <c r="BA238" s="180">
        <v>50</v>
      </c>
      <c r="BB238" s="180">
        <v>50</v>
      </c>
      <c r="BC238" s="180">
        <v>50</v>
      </c>
      <c r="BD238" s="180">
        <v>50</v>
      </c>
      <c r="BE238" s="180">
        <v>50</v>
      </c>
      <c r="BF238" s="180">
        <v>50</v>
      </c>
      <c r="BG238" s="180">
        <v>50</v>
      </c>
      <c r="BH238" s="180">
        <v>50</v>
      </c>
      <c r="BI238" s="180">
        <v>50</v>
      </c>
      <c r="BJ238" s="180">
        <v>50</v>
      </c>
      <c r="BK238" s="180">
        <v>50</v>
      </c>
      <c r="BL238" s="180">
        <v>50</v>
      </c>
      <c r="BM238" s="180">
        <v>50</v>
      </c>
      <c r="BN238" s="180">
        <v>50</v>
      </c>
      <c r="BO238" s="180">
        <v>50</v>
      </c>
      <c r="BP238" s="180">
        <v>50</v>
      </c>
      <c r="BQ238" s="180">
        <v>50</v>
      </c>
      <c r="BR238" s="180">
        <v>50</v>
      </c>
      <c r="BS238" s="180">
        <v>50</v>
      </c>
      <c r="BT238" s="180">
        <v>50</v>
      </c>
      <c r="BU238" s="180">
        <v>50</v>
      </c>
      <c r="BV238" s="180">
        <v>50</v>
      </c>
      <c r="BW238" s="180"/>
      <c r="BX238" s="180"/>
      <c r="BY238" s="180"/>
      <c r="BZ238" s="180"/>
      <c r="CA238" s="180"/>
      <c r="CB238" s="180"/>
      <c r="CC238" s="180"/>
      <c r="CD238" s="180"/>
      <c r="CE238" s="180"/>
      <c r="CF238" s="180"/>
      <c r="CG238" s="180"/>
      <c r="CH238" s="180"/>
      <c r="CI238" s="180"/>
      <c r="CJ238" s="180"/>
      <c r="CK238" s="180"/>
      <c r="CL238" s="180"/>
      <c r="CM238" s="180"/>
      <c r="CN238" s="180"/>
      <c r="CO238" s="180"/>
      <c r="CP238" s="180"/>
      <c r="CQ238" s="180"/>
      <c r="CR238" s="180"/>
      <c r="CS238" s="180"/>
      <c r="CT238" s="180"/>
      <c r="CU238" s="180"/>
    </row>
    <row r="239" spans="1:99" x14ac:dyDescent="0.3">
      <c r="A239" s="155">
        <v>999</v>
      </c>
      <c r="B239" s="180" t="s">
        <v>278</v>
      </c>
      <c r="C239" s="180"/>
      <c r="D239" s="180">
        <v>50312</v>
      </c>
      <c r="E239" s="180">
        <v>50313</v>
      </c>
      <c r="F239" s="180">
        <v>50314</v>
      </c>
      <c r="G239" s="180">
        <v>50315</v>
      </c>
      <c r="H239" s="180">
        <v>50316</v>
      </c>
      <c r="I239" s="180">
        <v>50481</v>
      </c>
      <c r="J239" s="180">
        <v>50561</v>
      </c>
      <c r="K239" s="180">
        <v>50317</v>
      </c>
      <c r="L239" s="180">
        <v>50318</v>
      </c>
      <c r="M239" s="180">
        <v>50319</v>
      </c>
      <c r="N239" s="180">
        <v>50489</v>
      </c>
      <c r="O239" s="180">
        <v>50320</v>
      </c>
      <c r="P239" s="180">
        <v>50323</v>
      </c>
      <c r="Q239" s="180">
        <v>50321</v>
      </c>
      <c r="R239" s="180">
        <v>50322</v>
      </c>
      <c r="S239" s="180">
        <v>50490</v>
      </c>
      <c r="T239" s="180">
        <v>50324</v>
      </c>
      <c r="U239" s="180">
        <v>50325</v>
      </c>
      <c r="V239" s="180">
        <v>50326</v>
      </c>
      <c r="W239" s="180">
        <v>50327</v>
      </c>
      <c r="X239" s="180">
        <v>50328</v>
      </c>
      <c r="Y239" s="180">
        <v>50329</v>
      </c>
      <c r="Z239" s="180">
        <v>50330</v>
      </c>
      <c r="AA239" s="180">
        <v>50331</v>
      </c>
      <c r="AB239" s="180">
        <v>50332</v>
      </c>
      <c r="AC239" s="180">
        <v>50333</v>
      </c>
      <c r="AD239" s="180">
        <v>50335</v>
      </c>
      <c r="AE239" s="180">
        <v>50334</v>
      </c>
      <c r="AF239" s="180">
        <v>50336</v>
      </c>
      <c r="AG239" s="180">
        <v>50337</v>
      </c>
      <c r="AH239" s="180">
        <v>50338</v>
      </c>
      <c r="AI239" s="180">
        <v>50339</v>
      </c>
      <c r="AJ239" s="180">
        <v>50443</v>
      </c>
      <c r="AK239" s="180">
        <v>50340</v>
      </c>
      <c r="AL239" s="180">
        <v>50456</v>
      </c>
      <c r="AM239" s="180">
        <v>50341</v>
      </c>
      <c r="AN239" s="180">
        <v>50342</v>
      </c>
      <c r="AO239" s="180">
        <v>50344</v>
      </c>
      <c r="AP239" s="180">
        <v>50345</v>
      </c>
      <c r="AQ239" s="180">
        <v>50503</v>
      </c>
      <c r="AR239" s="180">
        <v>50527</v>
      </c>
      <c r="AS239" s="180">
        <v>50346</v>
      </c>
      <c r="AT239" s="180">
        <v>50347</v>
      </c>
      <c r="AU239" s="180">
        <v>50529</v>
      </c>
      <c r="AV239" s="180">
        <v>50348</v>
      </c>
      <c r="AW239" s="180">
        <v>50349</v>
      </c>
      <c r="AX239" s="180">
        <v>50350</v>
      </c>
      <c r="AY239" s="180">
        <v>50541</v>
      </c>
      <c r="AZ239" s="180">
        <v>50351</v>
      </c>
      <c r="BA239" s="180">
        <v>50484</v>
      </c>
      <c r="BB239" s="180">
        <v>50352</v>
      </c>
      <c r="BC239" s="180">
        <v>50353</v>
      </c>
      <c r="BD239" s="180">
        <v>50354</v>
      </c>
      <c r="BE239" s="180">
        <v>50355</v>
      </c>
      <c r="BF239" s="180">
        <v>50356</v>
      </c>
      <c r="BG239" s="180">
        <v>50357</v>
      </c>
      <c r="BH239" s="180">
        <v>50482</v>
      </c>
      <c r="BI239" s="180">
        <v>50358</v>
      </c>
      <c r="BJ239" s="180">
        <v>50359</v>
      </c>
      <c r="BK239" s="180">
        <v>50360</v>
      </c>
      <c r="BL239" s="180">
        <v>50361</v>
      </c>
      <c r="BM239" s="180">
        <v>50362</v>
      </c>
      <c r="BN239" s="180">
        <v>50363</v>
      </c>
      <c r="BO239" s="180">
        <v>50364</v>
      </c>
      <c r="BP239" s="180">
        <v>50365</v>
      </c>
      <c r="BQ239" s="180">
        <v>50366</v>
      </c>
      <c r="BR239" s="180">
        <v>50367</v>
      </c>
      <c r="BS239" s="180">
        <v>50368</v>
      </c>
      <c r="BT239" s="180">
        <v>50369</v>
      </c>
      <c r="BU239" s="180">
        <v>50370</v>
      </c>
      <c r="BV239" s="180">
        <v>50371</v>
      </c>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row>
    <row r="240" spans="1:99" x14ac:dyDescent="0.3">
      <c r="A240" s="155">
        <v>1050</v>
      </c>
      <c r="B240" s="180" t="s">
        <v>1507</v>
      </c>
      <c r="C240" s="180"/>
      <c r="D240" s="180">
        <v>167869</v>
      </c>
      <c r="E240" s="180">
        <v>0</v>
      </c>
      <c r="F240" s="180"/>
      <c r="G240" s="180"/>
      <c r="H240" s="180">
        <v>0</v>
      </c>
      <c r="I240" s="180">
        <v>3648</v>
      </c>
      <c r="J240" s="180"/>
      <c r="K240" s="180">
        <v>0</v>
      </c>
      <c r="L240" s="180">
        <v>109599</v>
      </c>
      <c r="M240" s="180">
        <v>349059</v>
      </c>
      <c r="N240" s="180">
        <v>6396</v>
      </c>
      <c r="O240" s="180">
        <v>0</v>
      </c>
      <c r="P240" s="180"/>
      <c r="Q240" s="180">
        <v>20048</v>
      </c>
      <c r="R240" s="180">
        <v>48755</v>
      </c>
      <c r="S240" s="180">
        <v>127007</v>
      </c>
      <c r="T240" s="180">
        <v>487687</v>
      </c>
      <c r="U240" s="180"/>
      <c r="V240" s="180"/>
      <c r="W240" s="180"/>
      <c r="X240" s="180">
        <v>204219</v>
      </c>
      <c r="Y240" s="180">
        <v>40864</v>
      </c>
      <c r="Z240" s="180"/>
      <c r="AA240" s="180">
        <v>0</v>
      </c>
      <c r="AB240" s="180">
        <v>57850</v>
      </c>
      <c r="AC240" s="180">
        <v>6340</v>
      </c>
      <c r="AD240" s="180">
        <v>52025</v>
      </c>
      <c r="AE240" s="180">
        <v>44584</v>
      </c>
      <c r="AF240" s="180">
        <v>200</v>
      </c>
      <c r="AG240" s="180">
        <v>76175</v>
      </c>
      <c r="AH240" s="180">
        <v>0</v>
      </c>
      <c r="AI240" s="180">
        <v>0</v>
      </c>
      <c r="AJ240" s="180">
        <v>53100</v>
      </c>
      <c r="AK240" s="180">
        <v>9343</v>
      </c>
      <c r="AL240" s="180">
        <v>40049</v>
      </c>
      <c r="AM240" s="180">
        <v>181448</v>
      </c>
      <c r="AN240" s="180">
        <v>42068</v>
      </c>
      <c r="AO240" s="180">
        <v>1087117</v>
      </c>
      <c r="AP240" s="180">
        <v>0</v>
      </c>
      <c r="AQ240" s="180">
        <v>0</v>
      </c>
      <c r="AR240" s="180">
        <v>4380</v>
      </c>
      <c r="AS240" s="180">
        <v>0</v>
      </c>
      <c r="AT240" s="180">
        <v>5375</v>
      </c>
      <c r="AU240" s="180">
        <v>128039</v>
      </c>
      <c r="AV240" s="180">
        <v>95724</v>
      </c>
      <c r="AW240" s="180">
        <v>0</v>
      </c>
      <c r="AX240" s="180">
        <v>6690</v>
      </c>
      <c r="AY240" s="180">
        <v>0</v>
      </c>
      <c r="AZ240" s="180">
        <v>121862</v>
      </c>
      <c r="BA240" s="180">
        <v>0</v>
      </c>
      <c r="BB240" s="180">
        <v>4585</v>
      </c>
      <c r="BC240" s="180">
        <v>538</v>
      </c>
      <c r="BD240" s="180">
        <v>28263</v>
      </c>
      <c r="BE240" s="180">
        <v>16470</v>
      </c>
      <c r="BF240" s="180">
        <v>641798</v>
      </c>
      <c r="BG240" s="180"/>
      <c r="BH240" s="180">
        <v>0</v>
      </c>
      <c r="BI240" s="180">
        <v>10089</v>
      </c>
      <c r="BJ240" s="180">
        <v>335315</v>
      </c>
      <c r="BK240" s="180">
        <v>0</v>
      </c>
      <c r="BL240" s="180">
        <v>0</v>
      </c>
      <c r="BM240" s="180">
        <v>0</v>
      </c>
      <c r="BN240" s="180">
        <v>43848</v>
      </c>
      <c r="BO240" s="180">
        <v>31326</v>
      </c>
      <c r="BP240" s="180"/>
      <c r="BQ240" s="180">
        <v>32389</v>
      </c>
      <c r="BR240" s="180"/>
      <c r="BS240" s="180">
        <v>145764</v>
      </c>
      <c r="BT240" s="180">
        <v>0</v>
      </c>
      <c r="BU240" s="180"/>
      <c r="BV240" s="180">
        <v>89010</v>
      </c>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row>
    <row r="241" spans="1:99" x14ac:dyDescent="0.3">
      <c r="A241" s="155">
        <v>1051</v>
      </c>
      <c r="B241" s="180" t="s">
        <v>1690</v>
      </c>
      <c r="C241" s="180"/>
      <c r="D241" s="180">
        <v>0</v>
      </c>
      <c r="E241" s="180">
        <v>0</v>
      </c>
      <c r="F241" s="180"/>
      <c r="G241" s="180"/>
      <c r="H241" s="180">
        <v>0</v>
      </c>
      <c r="I241" s="180">
        <v>0</v>
      </c>
      <c r="J241" s="180"/>
      <c r="K241" s="180">
        <v>0</v>
      </c>
      <c r="L241" s="180">
        <v>0</v>
      </c>
      <c r="M241" s="180">
        <v>0</v>
      </c>
      <c r="N241" s="180">
        <v>0</v>
      </c>
      <c r="O241" s="180">
        <v>0</v>
      </c>
      <c r="P241" s="180"/>
      <c r="Q241" s="180">
        <v>0</v>
      </c>
      <c r="R241" s="180">
        <v>0</v>
      </c>
      <c r="S241" s="180">
        <v>0</v>
      </c>
      <c r="T241" s="180">
        <v>0</v>
      </c>
      <c r="U241" s="180"/>
      <c r="V241" s="180"/>
      <c r="W241" s="180"/>
      <c r="X241" s="180">
        <v>0</v>
      </c>
      <c r="Y241" s="180">
        <v>0</v>
      </c>
      <c r="Z241" s="180">
        <v>0</v>
      </c>
      <c r="AA241" s="180">
        <v>0</v>
      </c>
      <c r="AB241" s="180">
        <v>0</v>
      </c>
      <c r="AC241" s="180">
        <v>0</v>
      </c>
      <c r="AD241" s="180">
        <v>0</v>
      </c>
      <c r="AE241" s="180">
        <v>0</v>
      </c>
      <c r="AF241" s="180">
        <v>0</v>
      </c>
      <c r="AG241" s="180">
        <v>0</v>
      </c>
      <c r="AH241" s="180">
        <v>0</v>
      </c>
      <c r="AI241" s="180">
        <v>0</v>
      </c>
      <c r="AJ241" s="180">
        <v>0</v>
      </c>
      <c r="AK241" s="180">
        <v>0</v>
      </c>
      <c r="AL241" s="180">
        <v>0</v>
      </c>
      <c r="AM241" s="180">
        <v>0</v>
      </c>
      <c r="AN241" s="180">
        <v>0</v>
      </c>
      <c r="AO241" s="180">
        <v>0</v>
      </c>
      <c r="AP241" s="180">
        <v>0</v>
      </c>
      <c r="AQ241" s="180">
        <v>0</v>
      </c>
      <c r="AR241" s="180">
        <v>0</v>
      </c>
      <c r="AS241" s="180">
        <v>0</v>
      </c>
      <c r="AT241" s="180">
        <v>0</v>
      </c>
      <c r="AU241" s="180">
        <v>0</v>
      </c>
      <c r="AV241" s="180">
        <v>0</v>
      </c>
      <c r="AW241" s="180">
        <v>0</v>
      </c>
      <c r="AX241" s="180">
        <v>0</v>
      </c>
      <c r="AY241" s="180">
        <v>0</v>
      </c>
      <c r="AZ241" s="180">
        <v>0</v>
      </c>
      <c r="BA241" s="180">
        <v>0</v>
      </c>
      <c r="BB241" s="180">
        <v>0</v>
      </c>
      <c r="BC241" s="180">
        <v>0</v>
      </c>
      <c r="BD241" s="180">
        <v>0</v>
      </c>
      <c r="BE241" s="180">
        <v>0</v>
      </c>
      <c r="BF241" s="180">
        <v>405818</v>
      </c>
      <c r="BG241" s="180"/>
      <c r="BH241" s="180">
        <v>0</v>
      </c>
      <c r="BI241" s="180">
        <v>0</v>
      </c>
      <c r="BJ241" s="180">
        <v>0</v>
      </c>
      <c r="BK241" s="180">
        <v>0</v>
      </c>
      <c r="BL241" s="180">
        <v>0</v>
      </c>
      <c r="BM241" s="180">
        <v>0</v>
      </c>
      <c r="BN241" s="180">
        <v>0</v>
      </c>
      <c r="BO241" s="180">
        <v>0</v>
      </c>
      <c r="BP241" s="180"/>
      <c r="BQ241" s="180">
        <v>0</v>
      </c>
      <c r="BR241" s="180"/>
      <c r="BS241" s="180">
        <v>0</v>
      </c>
      <c r="BT241" s="180">
        <v>0</v>
      </c>
      <c r="BU241" s="180"/>
      <c r="BV241" s="180">
        <v>0</v>
      </c>
      <c r="BW241" s="180"/>
      <c r="BX241" s="180"/>
      <c r="BY241" s="180"/>
      <c r="BZ241" s="180"/>
      <c r="CA241" s="180"/>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row>
    <row r="242" spans="1:99" x14ac:dyDescent="0.3">
      <c r="A242" s="155">
        <v>1052</v>
      </c>
      <c r="B242" s="180" t="s">
        <v>1691</v>
      </c>
      <c r="C242" s="180"/>
      <c r="D242" s="180">
        <v>0</v>
      </c>
      <c r="E242" s="180">
        <v>-22468212</v>
      </c>
      <c r="F242" s="180"/>
      <c r="G242" s="180"/>
      <c r="H242" s="180">
        <v>0</v>
      </c>
      <c r="I242" s="180">
        <v>0</v>
      </c>
      <c r="J242" s="180"/>
      <c r="K242" s="180">
        <v>0</v>
      </c>
      <c r="L242" s="180">
        <v>0</v>
      </c>
      <c r="M242" s="180">
        <v>0</v>
      </c>
      <c r="N242" s="180">
        <v>0</v>
      </c>
      <c r="O242" s="180">
        <v>0</v>
      </c>
      <c r="P242" s="180"/>
      <c r="Q242" s="180">
        <v>0</v>
      </c>
      <c r="R242" s="180">
        <v>0</v>
      </c>
      <c r="S242" s="180">
        <v>0</v>
      </c>
      <c r="T242" s="180">
        <v>0</v>
      </c>
      <c r="U242" s="180"/>
      <c r="V242" s="180"/>
      <c r="W242" s="180"/>
      <c r="X242" s="180">
        <v>0</v>
      </c>
      <c r="Y242" s="180">
        <v>0</v>
      </c>
      <c r="Z242" s="180">
        <v>0</v>
      </c>
      <c r="AA242" s="180">
        <v>0</v>
      </c>
      <c r="AB242" s="180">
        <v>0</v>
      </c>
      <c r="AC242" s="180">
        <v>0</v>
      </c>
      <c r="AD242" s="180">
        <v>0</v>
      </c>
      <c r="AE242" s="180">
        <v>0</v>
      </c>
      <c r="AF242" s="180">
        <v>0</v>
      </c>
      <c r="AG242" s="180">
        <v>0</v>
      </c>
      <c r="AH242" s="180">
        <v>0</v>
      </c>
      <c r="AI242" s="180">
        <v>0</v>
      </c>
      <c r="AJ242" s="180">
        <v>0</v>
      </c>
      <c r="AK242" s="180">
        <v>0</v>
      </c>
      <c r="AL242" s="180">
        <v>0</v>
      </c>
      <c r="AM242" s="180">
        <v>0</v>
      </c>
      <c r="AN242" s="180">
        <v>0</v>
      </c>
      <c r="AO242" s="180">
        <v>0</v>
      </c>
      <c r="AP242" s="180">
        <v>0</v>
      </c>
      <c r="AQ242" s="180">
        <v>0</v>
      </c>
      <c r="AR242" s="180">
        <v>0</v>
      </c>
      <c r="AS242" s="180">
        <v>0</v>
      </c>
      <c r="AT242" s="180">
        <v>0</v>
      </c>
      <c r="AU242" s="180">
        <v>0</v>
      </c>
      <c r="AV242" s="180">
        <v>0</v>
      </c>
      <c r="AW242" s="180">
        <v>0</v>
      </c>
      <c r="AX242" s="180">
        <v>0</v>
      </c>
      <c r="AY242" s="180">
        <v>0</v>
      </c>
      <c r="AZ242" s="180">
        <v>0</v>
      </c>
      <c r="BA242" s="180">
        <v>0</v>
      </c>
      <c r="BB242" s="180">
        <v>0</v>
      </c>
      <c r="BC242" s="180">
        <v>0</v>
      </c>
      <c r="BD242" s="180">
        <v>0</v>
      </c>
      <c r="BE242" s="180">
        <v>0</v>
      </c>
      <c r="BF242" s="180">
        <v>0</v>
      </c>
      <c r="BG242" s="180"/>
      <c r="BH242" s="180">
        <v>0</v>
      </c>
      <c r="BI242" s="180">
        <v>0</v>
      </c>
      <c r="BJ242" s="180">
        <v>0</v>
      </c>
      <c r="BK242" s="180">
        <v>0</v>
      </c>
      <c r="BL242" s="180">
        <v>0</v>
      </c>
      <c r="BM242" s="180">
        <v>0</v>
      </c>
      <c r="BN242" s="180">
        <v>0</v>
      </c>
      <c r="BO242" s="180">
        <v>0</v>
      </c>
      <c r="BP242" s="180"/>
      <c r="BQ242" s="180">
        <v>0</v>
      </c>
      <c r="BR242" s="180"/>
      <c r="BS242" s="180">
        <v>0</v>
      </c>
      <c r="BT242" s="180">
        <v>0</v>
      </c>
      <c r="BU242" s="180"/>
      <c r="BV242" s="180">
        <v>0</v>
      </c>
      <c r="BW242" s="180"/>
      <c r="BX242" s="180"/>
      <c r="BY242" s="180"/>
      <c r="BZ242" s="180"/>
      <c r="CA242" s="180"/>
      <c r="CB242" s="180"/>
      <c r="CC242" s="180"/>
      <c r="CD242" s="180"/>
      <c r="CE242" s="180"/>
      <c r="CF242" s="180"/>
      <c r="CG242" s="180"/>
      <c r="CH242" s="180"/>
      <c r="CI242" s="180"/>
      <c r="CJ242" s="180"/>
      <c r="CK242" s="180"/>
      <c r="CL242" s="180"/>
      <c r="CM242" s="180"/>
      <c r="CN242" s="180"/>
      <c r="CO242" s="180"/>
      <c r="CP242" s="180"/>
      <c r="CQ242" s="180"/>
      <c r="CR242" s="180"/>
      <c r="CS242" s="180"/>
      <c r="CT242" s="180"/>
      <c r="CU242" s="180"/>
    </row>
    <row r="243" spans="1:99" x14ac:dyDescent="0.3">
      <c r="A243" s="155">
        <v>1053</v>
      </c>
      <c r="B243" s="180" t="s">
        <v>1692</v>
      </c>
      <c r="C243" s="180"/>
      <c r="D243" s="180">
        <v>0</v>
      </c>
      <c r="E243" s="180">
        <v>0</v>
      </c>
      <c r="F243" s="180"/>
      <c r="G243" s="180"/>
      <c r="H243" s="180">
        <v>0</v>
      </c>
      <c r="I243" s="180">
        <v>0</v>
      </c>
      <c r="J243" s="180"/>
      <c r="K243" s="180">
        <v>0</v>
      </c>
      <c r="L243" s="180">
        <v>0</v>
      </c>
      <c r="M243" s="180">
        <v>0</v>
      </c>
      <c r="N243" s="180">
        <v>0</v>
      </c>
      <c r="O243" s="180">
        <v>0</v>
      </c>
      <c r="P243" s="180"/>
      <c r="Q243" s="180">
        <v>0</v>
      </c>
      <c r="R243" s="180">
        <v>0</v>
      </c>
      <c r="S243" s="180">
        <v>0</v>
      </c>
      <c r="T243" s="180">
        <v>0</v>
      </c>
      <c r="U243" s="180"/>
      <c r="V243" s="180"/>
      <c r="W243" s="180"/>
      <c r="X243" s="180">
        <v>0</v>
      </c>
      <c r="Y243" s="180">
        <v>0</v>
      </c>
      <c r="Z243" s="180">
        <v>0</v>
      </c>
      <c r="AA243" s="180">
        <v>0</v>
      </c>
      <c r="AB243" s="180">
        <v>0</v>
      </c>
      <c r="AC243" s="180">
        <v>0</v>
      </c>
      <c r="AD243" s="180">
        <v>0</v>
      </c>
      <c r="AE243" s="180">
        <v>0</v>
      </c>
      <c r="AF243" s="180">
        <v>0</v>
      </c>
      <c r="AG243" s="180">
        <v>0</v>
      </c>
      <c r="AH243" s="180">
        <v>0</v>
      </c>
      <c r="AI243" s="180">
        <v>0</v>
      </c>
      <c r="AJ243" s="180">
        <v>0</v>
      </c>
      <c r="AK243" s="180">
        <v>0</v>
      </c>
      <c r="AL243" s="180">
        <v>0</v>
      </c>
      <c r="AM243" s="180">
        <v>0</v>
      </c>
      <c r="AN243" s="180">
        <v>0</v>
      </c>
      <c r="AO243" s="180">
        <v>0</v>
      </c>
      <c r="AP243" s="180">
        <v>0</v>
      </c>
      <c r="AQ243" s="180">
        <v>0</v>
      </c>
      <c r="AR243" s="180">
        <v>0</v>
      </c>
      <c r="AS243" s="180">
        <v>0</v>
      </c>
      <c r="AT243" s="180">
        <v>0</v>
      </c>
      <c r="AU243" s="180">
        <v>0</v>
      </c>
      <c r="AV243" s="180">
        <v>0</v>
      </c>
      <c r="AW243" s="180">
        <v>0</v>
      </c>
      <c r="AX243" s="180">
        <v>0</v>
      </c>
      <c r="AY243" s="180">
        <v>0</v>
      </c>
      <c r="AZ243" s="180">
        <v>0</v>
      </c>
      <c r="BA243" s="180">
        <v>0</v>
      </c>
      <c r="BB243" s="180">
        <v>0</v>
      </c>
      <c r="BC243" s="180">
        <v>0</v>
      </c>
      <c r="BD243" s="180">
        <v>0</v>
      </c>
      <c r="BE243" s="180">
        <v>0</v>
      </c>
      <c r="BF243" s="180">
        <v>0</v>
      </c>
      <c r="BG243" s="180"/>
      <c r="BH243" s="180">
        <v>0</v>
      </c>
      <c r="BI243" s="180">
        <v>0</v>
      </c>
      <c r="BJ243" s="180">
        <v>0</v>
      </c>
      <c r="BK243" s="180">
        <v>0</v>
      </c>
      <c r="BL243" s="180">
        <v>0</v>
      </c>
      <c r="BM243" s="180">
        <v>0</v>
      </c>
      <c r="BN243" s="180">
        <v>0</v>
      </c>
      <c r="BO243" s="180">
        <v>0</v>
      </c>
      <c r="BP243" s="180"/>
      <c r="BQ243" s="180">
        <v>0</v>
      </c>
      <c r="BR243" s="180"/>
      <c r="BS243" s="180">
        <v>0</v>
      </c>
      <c r="BT243" s="180">
        <v>0</v>
      </c>
      <c r="BU243" s="180"/>
      <c r="BV243" s="180">
        <v>0</v>
      </c>
      <c r="BW243" s="180"/>
      <c r="BX243" s="180"/>
      <c r="BY243" s="180"/>
      <c r="BZ243" s="180"/>
      <c r="CA243" s="180"/>
      <c r="CB243" s="180"/>
      <c r="CC243" s="180"/>
      <c r="CD243" s="180"/>
      <c r="CE243" s="180"/>
      <c r="CF243" s="180"/>
      <c r="CG243" s="180"/>
      <c r="CH243" s="180"/>
      <c r="CI243" s="180"/>
      <c r="CJ243" s="180"/>
      <c r="CK243" s="180"/>
      <c r="CL243" s="180"/>
      <c r="CM243" s="180"/>
      <c r="CN243" s="180"/>
      <c r="CO243" s="180"/>
      <c r="CP243" s="180"/>
      <c r="CQ243" s="180"/>
      <c r="CR243" s="180"/>
      <c r="CS243" s="180"/>
      <c r="CT243" s="180"/>
      <c r="CU243" s="180"/>
    </row>
    <row r="244" spans="1:99" x14ac:dyDescent="0.3">
      <c r="A244" s="155">
        <v>1054</v>
      </c>
      <c r="B244" s="180" t="s">
        <v>1693</v>
      </c>
      <c r="C244" s="180"/>
      <c r="D244" s="180">
        <v>0</v>
      </c>
      <c r="E244" s="180">
        <v>0</v>
      </c>
      <c r="F244" s="180"/>
      <c r="G244" s="180"/>
      <c r="H244" s="180">
        <v>0</v>
      </c>
      <c r="I244" s="180">
        <v>0</v>
      </c>
      <c r="J244" s="180"/>
      <c r="K244" s="180">
        <v>0</v>
      </c>
      <c r="L244" s="180">
        <v>0</v>
      </c>
      <c r="M244" s="180">
        <v>0</v>
      </c>
      <c r="N244" s="180">
        <v>0</v>
      </c>
      <c r="O244" s="180">
        <v>0</v>
      </c>
      <c r="P244" s="180"/>
      <c r="Q244" s="180">
        <v>0</v>
      </c>
      <c r="R244" s="180">
        <v>0</v>
      </c>
      <c r="S244" s="180">
        <v>0</v>
      </c>
      <c r="T244" s="180">
        <v>0</v>
      </c>
      <c r="U244" s="180"/>
      <c r="V244" s="180"/>
      <c r="W244" s="180"/>
      <c r="X244" s="180">
        <v>0</v>
      </c>
      <c r="Y244" s="180">
        <v>0</v>
      </c>
      <c r="Z244" s="180">
        <v>0</v>
      </c>
      <c r="AA244" s="180">
        <v>0</v>
      </c>
      <c r="AB244" s="180">
        <v>0</v>
      </c>
      <c r="AC244" s="180">
        <v>0</v>
      </c>
      <c r="AD244" s="180">
        <v>0</v>
      </c>
      <c r="AE244" s="180">
        <v>0</v>
      </c>
      <c r="AF244" s="180">
        <v>0</v>
      </c>
      <c r="AG244" s="180">
        <v>0</v>
      </c>
      <c r="AH244" s="180">
        <v>0</v>
      </c>
      <c r="AI244" s="180">
        <v>0</v>
      </c>
      <c r="AJ244" s="180">
        <v>0</v>
      </c>
      <c r="AK244" s="180">
        <v>0</v>
      </c>
      <c r="AL244" s="180">
        <v>0</v>
      </c>
      <c r="AM244" s="180">
        <v>0</v>
      </c>
      <c r="AN244" s="180">
        <v>0</v>
      </c>
      <c r="AO244" s="180">
        <v>0</v>
      </c>
      <c r="AP244" s="180">
        <v>0</v>
      </c>
      <c r="AQ244" s="180">
        <v>0</v>
      </c>
      <c r="AR244" s="180">
        <v>0</v>
      </c>
      <c r="AS244" s="180">
        <v>0</v>
      </c>
      <c r="AT244" s="180">
        <v>0</v>
      </c>
      <c r="AU244" s="180">
        <v>0</v>
      </c>
      <c r="AV244" s="180">
        <v>0</v>
      </c>
      <c r="AW244" s="180">
        <v>0</v>
      </c>
      <c r="AX244" s="180">
        <v>0</v>
      </c>
      <c r="AY244" s="180">
        <v>0</v>
      </c>
      <c r="AZ244" s="180">
        <v>0</v>
      </c>
      <c r="BA244" s="180">
        <v>0</v>
      </c>
      <c r="BB244" s="180">
        <v>0</v>
      </c>
      <c r="BC244" s="180">
        <v>0</v>
      </c>
      <c r="BD244" s="180">
        <v>0</v>
      </c>
      <c r="BE244" s="180">
        <v>0</v>
      </c>
      <c r="BF244" s="180">
        <v>0</v>
      </c>
      <c r="BG244" s="180"/>
      <c r="BH244" s="180">
        <v>0</v>
      </c>
      <c r="BI244" s="180">
        <v>0</v>
      </c>
      <c r="BJ244" s="180">
        <v>0</v>
      </c>
      <c r="BK244" s="180">
        <v>0</v>
      </c>
      <c r="BL244" s="180">
        <v>0</v>
      </c>
      <c r="BM244" s="180">
        <v>0</v>
      </c>
      <c r="BN244" s="180">
        <v>0</v>
      </c>
      <c r="BO244" s="180">
        <v>0</v>
      </c>
      <c r="BP244" s="180"/>
      <c r="BQ244" s="180">
        <v>0</v>
      </c>
      <c r="BR244" s="180"/>
      <c r="BS244" s="180">
        <v>0</v>
      </c>
      <c r="BT244" s="180">
        <v>0</v>
      </c>
      <c r="BU244" s="180"/>
      <c r="BV244" s="180">
        <v>0</v>
      </c>
      <c r="BW244" s="180"/>
      <c r="BX244" s="180"/>
      <c r="BY244" s="180"/>
      <c r="BZ244" s="180"/>
      <c r="CA244" s="180"/>
      <c r="CB244" s="180"/>
      <c r="CC244" s="180"/>
      <c r="CD244" s="180"/>
      <c r="CE244" s="180"/>
      <c r="CF244" s="180"/>
      <c r="CG244" s="180"/>
      <c r="CH244" s="180"/>
      <c r="CI244" s="180"/>
      <c r="CJ244" s="180"/>
      <c r="CK244" s="180"/>
      <c r="CL244" s="180"/>
      <c r="CM244" s="180"/>
      <c r="CN244" s="180"/>
      <c r="CO244" s="180"/>
      <c r="CP244" s="180"/>
      <c r="CQ244" s="180"/>
      <c r="CR244" s="180"/>
      <c r="CS244" s="180"/>
      <c r="CT244" s="180"/>
      <c r="CU244" s="180"/>
    </row>
    <row r="245" spans="1:99" s="557" customFormat="1" x14ac:dyDescent="0.3">
      <c r="A245" s="556">
        <v>1055</v>
      </c>
      <c r="B245" s="557" t="s">
        <v>1694</v>
      </c>
      <c r="D245" s="557">
        <v>2</v>
      </c>
      <c r="E245" s="557">
        <v>2</v>
      </c>
      <c r="H245" s="557">
        <v>2</v>
      </c>
      <c r="I245" s="557">
        <v>2</v>
      </c>
      <c r="K245" s="557">
        <v>2</v>
      </c>
      <c r="L245" s="557">
        <v>2</v>
      </c>
      <c r="M245" s="557">
        <v>2</v>
      </c>
      <c r="N245" s="557">
        <v>2</v>
      </c>
      <c r="O245" s="557">
        <v>2</v>
      </c>
      <c r="Q245" s="557">
        <v>2</v>
      </c>
      <c r="R245" s="557">
        <v>2</v>
      </c>
      <c r="S245" s="557">
        <v>2</v>
      </c>
      <c r="T245" s="557">
        <v>2</v>
      </c>
      <c r="X245" s="557">
        <v>2</v>
      </c>
      <c r="Y245" s="557">
        <v>2</v>
      </c>
      <c r="Z245" s="557">
        <v>2</v>
      </c>
      <c r="AA245" s="557">
        <v>2</v>
      </c>
      <c r="AB245" s="557">
        <v>2</v>
      </c>
      <c r="AC245" s="557">
        <v>2</v>
      </c>
      <c r="AD245" s="557">
        <v>2</v>
      </c>
      <c r="AE245" s="557">
        <v>2</v>
      </c>
      <c r="AF245" s="557">
        <v>2</v>
      </c>
      <c r="AG245" s="557">
        <v>2</v>
      </c>
      <c r="AH245" s="557">
        <v>2</v>
      </c>
      <c r="AI245" s="557">
        <v>2</v>
      </c>
      <c r="AJ245" s="557">
        <v>1</v>
      </c>
      <c r="AK245" s="557">
        <v>2</v>
      </c>
      <c r="AL245" s="557">
        <v>2</v>
      </c>
      <c r="AM245" s="557">
        <v>2</v>
      </c>
      <c r="AN245" s="557">
        <v>2</v>
      </c>
      <c r="AO245" s="557">
        <v>2</v>
      </c>
      <c r="AP245" s="557">
        <v>2</v>
      </c>
      <c r="AQ245" s="557">
        <v>2</v>
      </c>
      <c r="AR245" s="557">
        <v>2</v>
      </c>
      <c r="AS245" s="557">
        <v>2</v>
      </c>
      <c r="AT245" s="557">
        <v>2</v>
      </c>
      <c r="AU245" s="557">
        <v>2</v>
      </c>
      <c r="AV245" s="557">
        <v>2</v>
      </c>
      <c r="AW245" s="557">
        <v>2</v>
      </c>
      <c r="AX245" s="557">
        <v>2</v>
      </c>
      <c r="AY245" s="557">
        <v>2</v>
      </c>
      <c r="AZ245" s="557">
        <v>2</v>
      </c>
      <c r="BA245" s="557">
        <v>2</v>
      </c>
      <c r="BB245" s="557">
        <v>2</v>
      </c>
      <c r="BC245" s="557">
        <v>2</v>
      </c>
      <c r="BD245" s="557">
        <v>2</v>
      </c>
      <c r="BE245" s="557">
        <v>2</v>
      </c>
      <c r="BF245" s="557">
        <v>2</v>
      </c>
      <c r="BH245" s="557">
        <v>2</v>
      </c>
      <c r="BI245" s="557">
        <v>2</v>
      </c>
      <c r="BJ245" s="557">
        <v>2</v>
      </c>
      <c r="BK245" s="557">
        <v>2</v>
      </c>
      <c r="BL245" s="557">
        <v>2</v>
      </c>
      <c r="BM245" s="557">
        <v>2</v>
      </c>
      <c r="BN245" s="557">
        <v>2</v>
      </c>
      <c r="BO245" s="557">
        <v>2</v>
      </c>
      <c r="BQ245" s="557">
        <v>2</v>
      </c>
      <c r="BS245" s="557">
        <v>2</v>
      </c>
      <c r="BT245" s="557">
        <v>2</v>
      </c>
      <c r="BV245" s="557">
        <v>2</v>
      </c>
    </row>
    <row r="246" spans="1:99" s="557" customFormat="1" x14ac:dyDescent="0.3">
      <c r="A246" s="556">
        <v>1056</v>
      </c>
      <c r="B246" s="557" t="s">
        <v>1695</v>
      </c>
      <c r="D246" s="557">
        <v>2</v>
      </c>
      <c r="E246" s="557">
        <v>2</v>
      </c>
      <c r="H246" s="557">
        <v>2</v>
      </c>
      <c r="I246" s="557">
        <v>2</v>
      </c>
      <c r="K246" s="557">
        <v>2</v>
      </c>
      <c r="L246" s="557">
        <v>2</v>
      </c>
      <c r="M246" s="557">
        <v>2</v>
      </c>
      <c r="N246" s="557">
        <v>2</v>
      </c>
      <c r="O246" s="557">
        <v>2</v>
      </c>
      <c r="Q246" s="557">
        <v>1</v>
      </c>
      <c r="R246" s="557">
        <v>2</v>
      </c>
      <c r="S246" s="557">
        <v>2</v>
      </c>
      <c r="T246" s="557">
        <v>2</v>
      </c>
      <c r="X246" s="557">
        <v>2</v>
      </c>
      <c r="Y246" s="557">
        <v>2</v>
      </c>
      <c r="Z246" s="557">
        <v>2</v>
      </c>
      <c r="AA246" s="557">
        <v>2</v>
      </c>
      <c r="AB246" s="557">
        <v>2</v>
      </c>
      <c r="AC246" s="557">
        <v>2</v>
      </c>
      <c r="AD246" s="557">
        <v>2</v>
      </c>
      <c r="AE246" s="557">
        <v>2</v>
      </c>
      <c r="AF246" s="557">
        <v>2</v>
      </c>
      <c r="AG246" s="557">
        <v>2</v>
      </c>
      <c r="AH246" s="557">
        <v>1</v>
      </c>
      <c r="AI246" s="557">
        <v>2</v>
      </c>
      <c r="AJ246" s="557">
        <v>1</v>
      </c>
      <c r="AK246" s="557">
        <v>2</v>
      </c>
      <c r="AL246" s="557">
        <v>2</v>
      </c>
      <c r="AM246" s="557">
        <v>2</v>
      </c>
      <c r="AN246" s="557">
        <v>2</v>
      </c>
      <c r="AO246" s="557">
        <v>2</v>
      </c>
      <c r="AP246" s="557">
        <v>2</v>
      </c>
      <c r="AQ246" s="557">
        <v>2</v>
      </c>
      <c r="AR246" s="557">
        <v>2</v>
      </c>
      <c r="AS246" s="557">
        <v>2</v>
      </c>
      <c r="AT246" s="557">
        <v>2</v>
      </c>
      <c r="AU246" s="557">
        <v>2</v>
      </c>
      <c r="AV246" s="557">
        <v>2</v>
      </c>
      <c r="AW246" s="557">
        <v>2</v>
      </c>
      <c r="AX246" s="557">
        <v>2</v>
      </c>
      <c r="AY246" s="557">
        <v>2</v>
      </c>
      <c r="AZ246" s="557">
        <v>2</v>
      </c>
      <c r="BA246" s="557">
        <v>2</v>
      </c>
      <c r="BB246" s="557">
        <v>2</v>
      </c>
      <c r="BC246" s="557">
        <v>2</v>
      </c>
      <c r="BD246" s="557">
        <v>2</v>
      </c>
      <c r="BE246" s="557">
        <v>2</v>
      </c>
      <c r="BF246" s="557">
        <v>2</v>
      </c>
      <c r="BH246" s="557">
        <v>2</v>
      </c>
      <c r="BI246" s="557">
        <v>1</v>
      </c>
      <c r="BJ246" s="557">
        <v>2</v>
      </c>
      <c r="BK246" s="557">
        <v>2</v>
      </c>
      <c r="BL246" s="557">
        <v>2</v>
      </c>
      <c r="BM246" s="557">
        <v>2</v>
      </c>
      <c r="BN246" s="557">
        <v>2</v>
      </c>
      <c r="BO246" s="557">
        <v>2</v>
      </c>
      <c r="BQ246" s="557">
        <v>2</v>
      </c>
      <c r="BS246" s="557">
        <v>2</v>
      </c>
      <c r="BT246" s="557">
        <v>2</v>
      </c>
      <c r="BV246" s="557">
        <v>2</v>
      </c>
    </row>
    <row r="247" spans="1:99" s="557" customFormat="1" x14ac:dyDescent="0.3">
      <c r="A247" s="556">
        <v>1057</v>
      </c>
      <c r="B247" s="557" t="s">
        <v>1514</v>
      </c>
      <c r="D247" s="557">
        <v>2</v>
      </c>
      <c r="E247" s="557">
        <v>2</v>
      </c>
      <c r="H247" s="557">
        <v>2</v>
      </c>
      <c r="I247" s="557">
        <v>1</v>
      </c>
      <c r="K247" s="557">
        <v>2</v>
      </c>
      <c r="L247" s="557">
        <v>2</v>
      </c>
      <c r="M247" s="557">
        <v>2</v>
      </c>
      <c r="N247" s="557">
        <v>2</v>
      </c>
      <c r="O247" s="557">
        <v>2</v>
      </c>
      <c r="Q247" s="557">
        <v>1</v>
      </c>
      <c r="R247" s="557">
        <v>2</v>
      </c>
      <c r="S247" s="557">
        <v>2</v>
      </c>
      <c r="T247" s="557">
        <v>2</v>
      </c>
      <c r="X247" s="557">
        <v>2</v>
      </c>
      <c r="Y247" s="557">
        <v>2</v>
      </c>
      <c r="Z247" s="557">
        <v>2</v>
      </c>
      <c r="AA247" s="557">
        <v>1</v>
      </c>
      <c r="AB247" s="557">
        <v>2</v>
      </c>
      <c r="AC247" s="557">
        <v>2</v>
      </c>
      <c r="AD247" s="557">
        <v>2</v>
      </c>
      <c r="AE247" s="557">
        <v>2</v>
      </c>
      <c r="AF247" s="557">
        <v>1</v>
      </c>
      <c r="AG247" s="557">
        <v>1</v>
      </c>
      <c r="AH247" s="557">
        <v>2</v>
      </c>
      <c r="AI247" s="557">
        <v>1</v>
      </c>
      <c r="AJ247" s="557">
        <v>1</v>
      </c>
      <c r="AK247" s="557">
        <v>2</v>
      </c>
      <c r="AL247" s="557">
        <v>2</v>
      </c>
      <c r="AM247" s="557">
        <v>2</v>
      </c>
      <c r="AN247" s="557">
        <v>2</v>
      </c>
      <c r="AO247" s="557">
        <v>2</v>
      </c>
      <c r="AP247" s="557">
        <v>2</v>
      </c>
      <c r="AQ247" s="557">
        <v>2</v>
      </c>
      <c r="AR247" s="557">
        <v>2</v>
      </c>
      <c r="AS247" s="557">
        <v>2</v>
      </c>
      <c r="AT247" s="557">
        <v>2</v>
      </c>
      <c r="AU247" s="557">
        <v>2</v>
      </c>
      <c r="AV247" s="557">
        <v>1</v>
      </c>
      <c r="AW247" s="557">
        <v>2</v>
      </c>
      <c r="AX247" s="557">
        <v>1</v>
      </c>
      <c r="AY247" s="557">
        <v>2</v>
      </c>
      <c r="AZ247" s="557">
        <v>2</v>
      </c>
      <c r="BA247" s="557">
        <v>2</v>
      </c>
      <c r="BB247" s="557">
        <v>2</v>
      </c>
      <c r="BC247" s="557">
        <v>2</v>
      </c>
      <c r="BD247" s="557">
        <v>2</v>
      </c>
      <c r="BE247" s="557">
        <v>2</v>
      </c>
      <c r="BF247" s="557">
        <v>2</v>
      </c>
      <c r="BH247" s="557">
        <v>2</v>
      </c>
      <c r="BI247" s="557">
        <v>2</v>
      </c>
      <c r="BJ247" s="557">
        <v>2</v>
      </c>
      <c r="BK247" s="557">
        <v>2</v>
      </c>
      <c r="BL247" s="557">
        <v>2</v>
      </c>
      <c r="BM247" s="557">
        <v>2</v>
      </c>
      <c r="BN247" s="557">
        <v>1</v>
      </c>
      <c r="BO247" s="557">
        <v>2</v>
      </c>
      <c r="BQ247" s="557">
        <v>2</v>
      </c>
      <c r="BS247" s="557">
        <v>2</v>
      </c>
      <c r="BT247" s="557">
        <v>1</v>
      </c>
      <c r="BV247" s="557">
        <v>2</v>
      </c>
    </row>
    <row r="248" spans="1:99" s="557" customFormat="1" x14ac:dyDescent="0.3">
      <c r="A248" s="556">
        <v>1058</v>
      </c>
      <c r="B248" s="557" t="s">
        <v>1515</v>
      </c>
      <c r="D248" s="557">
        <v>2</v>
      </c>
      <c r="E248" s="557">
        <v>2</v>
      </c>
      <c r="H248" s="557">
        <v>2</v>
      </c>
      <c r="I248" s="557">
        <v>2</v>
      </c>
      <c r="K248" s="557">
        <v>2</v>
      </c>
      <c r="L248" s="557">
        <v>2</v>
      </c>
      <c r="M248" s="557">
        <v>2</v>
      </c>
      <c r="N248" s="557">
        <v>2</v>
      </c>
      <c r="O248" s="557">
        <v>2</v>
      </c>
      <c r="Q248" s="557">
        <v>1</v>
      </c>
      <c r="R248" s="557">
        <v>2</v>
      </c>
      <c r="S248" s="557">
        <v>2</v>
      </c>
      <c r="T248" s="557">
        <v>2</v>
      </c>
      <c r="X248" s="557">
        <v>2</v>
      </c>
      <c r="Y248" s="557">
        <v>2</v>
      </c>
      <c r="Z248" s="557">
        <v>2</v>
      </c>
      <c r="AA248" s="557">
        <v>2</v>
      </c>
      <c r="AB248" s="557">
        <v>2</v>
      </c>
      <c r="AC248" s="557">
        <v>2</v>
      </c>
      <c r="AD248" s="557">
        <v>2</v>
      </c>
      <c r="AE248" s="557">
        <v>2</v>
      </c>
      <c r="AF248" s="557">
        <v>2</v>
      </c>
      <c r="AG248" s="557">
        <v>2</v>
      </c>
      <c r="AH248" s="557">
        <v>2</v>
      </c>
      <c r="AI248" s="557">
        <v>2</v>
      </c>
      <c r="AJ248" s="557">
        <v>1</v>
      </c>
      <c r="AK248" s="557">
        <v>2</v>
      </c>
      <c r="AL248" s="557">
        <v>2</v>
      </c>
      <c r="AM248" s="557">
        <v>1</v>
      </c>
      <c r="AN248" s="557">
        <v>1</v>
      </c>
      <c r="AO248" s="557">
        <v>1</v>
      </c>
      <c r="AP248" s="557">
        <v>2</v>
      </c>
      <c r="AQ248" s="557">
        <v>2</v>
      </c>
      <c r="AR248" s="557">
        <v>2</v>
      </c>
      <c r="AS248" s="557">
        <v>2</v>
      </c>
      <c r="AT248" s="557">
        <v>2</v>
      </c>
      <c r="AU248" s="557">
        <v>2</v>
      </c>
      <c r="AV248" s="557">
        <v>2</v>
      </c>
      <c r="AW248" s="557">
        <v>2</v>
      </c>
      <c r="AX248" s="557">
        <v>2</v>
      </c>
      <c r="AY248" s="557">
        <v>2</v>
      </c>
      <c r="AZ248" s="557">
        <v>2</v>
      </c>
      <c r="BA248" s="557">
        <v>2</v>
      </c>
      <c r="BB248" s="557">
        <v>1</v>
      </c>
      <c r="BC248" s="557">
        <v>2</v>
      </c>
      <c r="BD248" s="557">
        <v>2</v>
      </c>
      <c r="BE248" s="557">
        <v>2</v>
      </c>
      <c r="BF248" s="557">
        <v>2</v>
      </c>
      <c r="BH248" s="557">
        <v>2</v>
      </c>
      <c r="BI248" s="557">
        <v>1</v>
      </c>
      <c r="BJ248" s="557">
        <v>2</v>
      </c>
      <c r="BK248" s="557">
        <v>2</v>
      </c>
      <c r="BL248" s="557">
        <v>2</v>
      </c>
      <c r="BM248" s="557">
        <v>2</v>
      </c>
      <c r="BN248" s="557">
        <v>1</v>
      </c>
      <c r="BO248" s="557">
        <v>2</v>
      </c>
      <c r="BQ248" s="557">
        <v>2</v>
      </c>
      <c r="BS248" s="557">
        <v>2</v>
      </c>
      <c r="BT248" s="557">
        <v>2</v>
      </c>
      <c r="BV248" s="557">
        <v>2</v>
      </c>
    </row>
    <row r="249" spans="1:99" s="557" customFormat="1" x14ac:dyDescent="0.3">
      <c r="A249" s="556">
        <v>1059</v>
      </c>
      <c r="B249" s="557" t="s">
        <v>1696</v>
      </c>
      <c r="D249" s="557">
        <v>1</v>
      </c>
      <c r="E249" s="557">
        <v>1</v>
      </c>
      <c r="H249" s="557">
        <v>1</v>
      </c>
      <c r="I249" s="557">
        <v>1</v>
      </c>
      <c r="K249" s="557">
        <v>1</v>
      </c>
      <c r="L249" s="557">
        <v>1</v>
      </c>
      <c r="M249" s="557">
        <v>1</v>
      </c>
      <c r="N249" s="557">
        <v>1</v>
      </c>
      <c r="O249" s="557">
        <v>1</v>
      </c>
      <c r="Q249" s="557">
        <v>1</v>
      </c>
      <c r="R249" s="557">
        <v>1</v>
      </c>
      <c r="S249" s="557">
        <v>1</v>
      </c>
      <c r="T249" s="557">
        <v>1</v>
      </c>
      <c r="X249" s="557">
        <v>1</v>
      </c>
      <c r="Y249" s="557">
        <v>1</v>
      </c>
      <c r="Z249" s="557">
        <v>1</v>
      </c>
      <c r="AA249" s="557">
        <v>1</v>
      </c>
      <c r="AB249" s="557">
        <v>1</v>
      </c>
      <c r="AC249" s="557">
        <v>1</v>
      </c>
      <c r="AD249" s="557">
        <v>1</v>
      </c>
      <c r="AE249" s="557">
        <v>1</v>
      </c>
      <c r="AF249" s="557">
        <v>2</v>
      </c>
      <c r="AG249" s="557">
        <v>1</v>
      </c>
      <c r="AH249" s="557">
        <v>1</v>
      </c>
      <c r="AI249" s="557">
        <v>1</v>
      </c>
      <c r="AJ249" s="557">
        <v>1</v>
      </c>
      <c r="AK249" s="557">
        <v>1</v>
      </c>
      <c r="AL249" s="557">
        <v>1</v>
      </c>
      <c r="AM249" s="557">
        <v>1</v>
      </c>
      <c r="AN249" s="557">
        <v>1</v>
      </c>
      <c r="AO249" s="557">
        <v>1</v>
      </c>
      <c r="AP249" s="557">
        <v>1</v>
      </c>
      <c r="AQ249" s="557">
        <v>1</v>
      </c>
      <c r="AR249" s="557">
        <v>1</v>
      </c>
      <c r="AS249" s="557">
        <v>1</v>
      </c>
      <c r="AT249" s="557">
        <v>1</v>
      </c>
      <c r="AU249" s="557">
        <v>1</v>
      </c>
      <c r="AV249" s="557">
        <v>1</v>
      </c>
      <c r="AW249" s="557">
        <v>1</v>
      </c>
      <c r="AX249" s="557">
        <v>1</v>
      </c>
      <c r="AY249" s="557">
        <v>1</v>
      </c>
      <c r="AZ249" s="557">
        <v>1</v>
      </c>
      <c r="BA249" s="557">
        <v>1</v>
      </c>
      <c r="BB249" s="557">
        <v>1</v>
      </c>
      <c r="BC249" s="557">
        <v>1</v>
      </c>
      <c r="BD249" s="557">
        <v>1</v>
      </c>
      <c r="BE249" s="557">
        <v>1</v>
      </c>
      <c r="BF249" s="557">
        <v>1</v>
      </c>
      <c r="BH249" s="557">
        <v>1</v>
      </c>
      <c r="BI249" s="557">
        <v>1</v>
      </c>
      <c r="BJ249" s="557">
        <v>1</v>
      </c>
      <c r="BK249" s="557">
        <v>1</v>
      </c>
      <c r="BL249" s="557">
        <v>1</v>
      </c>
      <c r="BM249" s="557">
        <v>1</v>
      </c>
      <c r="BN249" s="557">
        <v>1</v>
      </c>
      <c r="BO249" s="557">
        <v>1</v>
      </c>
      <c r="BQ249" s="557">
        <v>1</v>
      </c>
      <c r="BS249" s="557">
        <v>1</v>
      </c>
      <c r="BT249" s="557">
        <v>1</v>
      </c>
      <c r="BV249" s="557">
        <v>1</v>
      </c>
    </row>
    <row r="250" spans="1:99" s="562" customFormat="1" x14ac:dyDescent="0.3">
      <c r="A250" s="561">
        <v>1060</v>
      </c>
      <c r="B250" s="562" t="s">
        <v>1697</v>
      </c>
      <c r="D250" s="562">
        <v>790004</v>
      </c>
      <c r="E250" s="562">
        <v>8570345</v>
      </c>
      <c r="H250" s="562">
        <v>584548</v>
      </c>
      <c r="I250" s="562">
        <v>7875</v>
      </c>
      <c r="K250" s="562">
        <v>250000</v>
      </c>
      <c r="L250" s="562">
        <v>526549</v>
      </c>
      <c r="M250" s="562">
        <v>0</v>
      </c>
      <c r="N250" s="562">
        <v>33750</v>
      </c>
      <c r="O250" s="562">
        <v>38473</v>
      </c>
      <c r="Q250" s="562">
        <v>0</v>
      </c>
      <c r="R250" s="562">
        <v>0</v>
      </c>
      <c r="S250" s="562">
        <v>964378</v>
      </c>
      <c r="T250" s="562">
        <v>2281874</v>
      </c>
      <c r="X250" s="562">
        <v>0</v>
      </c>
      <c r="Y250" s="562">
        <v>158029</v>
      </c>
      <c r="Z250" s="562">
        <v>1160942</v>
      </c>
      <c r="AA250" s="562">
        <v>0</v>
      </c>
      <c r="AB250" s="562">
        <v>0</v>
      </c>
      <c r="AC250" s="562">
        <v>0</v>
      </c>
      <c r="AD250" s="562">
        <v>57990</v>
      </c>
      <c r="AE250" s="562">
        <v>3746</v>
      </c>
      <c r="AF250" s="562">
        <v>98000</v>
      </c>
      <c r="AG250" s="562">
        <v>158074</v>
      </c>
      <c r="AH250" s="562">
        <v>0</v>
      </c>
      <c r="AI250" s="562">
        <v>0</v>
      </c>
      <c r="AJ250" s="562">
        <v>0</v>
      </c>
      <c r="AK250" s="562">
        <v>0</v>
      </c>
      <c r="AL250" s="562">
        <v>81007</v>
      </c>
      <c r="AM250" s="562">
        <v>248437</v>
      </c>
      <c r="AN250" s="562">
        <v>65970</v>
      </c>
      <c r="AO250" s="562">
        <v>5691543</v>
      </c>
      <c r="AP250" s="562">
        <v>0</v>
      </c>
      <c r="AQ250" s="562">
        <v>0</v>
      </c>
      <c r="AR250" s="562">
        <v>0</v>
      </c>
      <c r="AS250" s="562">
        <v>494682</v>
      </c>
      <c r="AT250" s="562">
        <v>60674</v>
      </c>
      <c r="AU250" s="562">
        <v>238952</v>
      </c>
      <c r="AV250" s="562">
        <v>586403</v>
      </c>
      <c r="AW250" s="562">
        <v>0</v>
      </c>
      <c r="AX250" s="562">
        <v>6900</v>
      </c>
      <c r="AY250" s="562">
        <v>7800</v>
      </c>
      <c r="AZ250" s="562">
        <v>1131535</v>
      </c>
      <c r="BA250" s="562">
        <v>0</v>
      </c>
      <c r="BB250" s="562">
        <v>0</v>
      </c>
      <c r="BC250" s="562">
        <v>15671</v>
      </c>
      <c r="BD250" s="562">
        <v>129030</v>
      </c>
      <c r="BE250" s="562">
        <v>0</v>
      </c>
      <c r="BF250" s="562">
        <v>0</v>
      </c>
      <c r="BH250" s="562">
        <v>35747</v>
      </c>
      <c r="BI250" s="562">
        <v>0</v>
      </c>
      <c r="BJ250" s="562">
        <v>169952</v>
      </c>
      <c r="BK250" s="562">
        <v>0</v>
      </c>
      <c r="BL250" s="562">
        <v>0</v>
      </c>
      <c r="BM250" s="562">
        <v>471354</v>
      </c>
      <c r="BN250" s="562">
        <v>0</v>
      </c>
      <c r="BO250" s="562">
        <v>0</v>
      </c>
      <c r="BQ250" s="562">
        <v>0</v>
      </c>
      <c r="BS250" s="562">
        <v>525000</v>
      </c>
      <c r="BT250" s="562">
        <v>0</v>
      </c>
      <c r="BV250" s="562">
        <v>318863</v>
      </c>
    </row>
    <row r="251" spans="1:99" s="562" customFormat="1" x14ac:dyDescent="0.3">
      <c r="A251" s="561">
        <v>1061</v>
      </c>
      <c r="B251" s="562" t="s">
        <v>1698</v>
      </c>
      <c r="D251" s="562">
        <v>0</v>
      </c>
      <c r="E251" s="562">
        <v>16961251</v>
      </c>
      <c r="H251" s="562">
        <v>0</v>
      </c>
      <c r="I251" s="562">
        <v>0</v>
      </c>
      <c r="K251" s="562">
        <v>187083</v>
      </c>
      <c r="L251" s="562">
        <v>0</v>
      </c>
      <c r="M251" s="562">
        <v>0</v>
      </c>
      <c r="N251" s="562">
        <v>0</v>
      </c>
      <c r="O251" s="562">
        <v>124700</v>
      </c>
      <c r="Q251" s="562">
        <v>0</v>
      </c>
      <c r="R251" s="562">
        <v>0</v>
      </c>
      <c r="S251" s="562">
        <v>0</v>
      </c>
      <c r="T251" s="562">
        <v>0</v>
      </c>
      <c r="X251" s="562">
        <v>717405</v>
      </c>
      <c r="Y251" s="562">
        <v>0</v>
      </c>
      <c r="Z251" s="562">
        <v>0</v>
      </c>
      <c r="AA251" s="562">
        <v>0</v>
      </c>
      <c r="AB251" s="562">
        <v>0</v>
      </c>
      <c r="AC251" s="562">
        <v>0</v>
      </c>
      <c r="AD251" s="562">
        <v>199836</v>
      </c>
      <c r="AE251" s="562">
        <v>182214</v>
      </c>
      <c r="AF251" s="562">
        <v>0</v>
      </c>
      <c r="AG251" s="562">
        <v>0</v>
      </c>
      <c r="AH251" s="562">
        <v>0</v>
      </c>
      <c r="AI251" s="562">
        <v>0</v>
      </c>
      <c r="AJ251" s="562">
        <v>0</v>
      </c>
      <c r="AK251" s="562">
        <v>65811</v>
      </c>
      <c r="AL251" s="562">
        <v>126784</v>
      </c>
      <c r="AM251" s="562">
        <v>0</v>
      </c>
      <c r="AN251" s="562">
        <v>0</v>
      </c>
      <c r="AO251" s="562">
        <v>0</v>
      </c>
      <c r="AP251" s="562">
        <v>0</v>
      </c>
      <c r="AQ251" s="562">
        <v>0</v>
      </c>
      <c r="AR251" s="562">
        <v>0</v>
      </c>
      <c r="AS251" s="562">
        <v>4299325</v>
      </c>
      <c r="AT251" s="562">
        <v>0</v>
      </c>
      <c r="AU251" s="562">
        <v>587909</v>
      </c>
      <c r="AV251" s="562">
        <v>0</v>
      </c>
      <c r="AW251" s="562">
        <v>0</v>
      </c>
      <c r="AX251" s="562">
        <v>0</v>
      </c>
      <c r="AY251" s="562">
        <v>0</v>
      </c>
      <c r="AZ251" s="562">
        <v>0</v>
      </c>
      <c r="BA251" s="562">
        <v>34419</v>
      </c>
      <c r="BB251" s="562">
        <v>0</v>
      </c>
      <c r="BC251" s="562">
        <v>0</v>
      </c>
      <c r="BD251" s="562">
        <v>564396</v>
      </c>
      <c r="BE251" s="562">
        <v>0</v>
      </c>
      <c r="BF251" s="562">
        <v>0</v>
      </c>
      <c r="BH251" s="562">
        <v>0</v>
      </c>
      <c r="BI251" s="562">
        <v>0</v>
      </c>
      <c r="BJ251" s="562">
        <v>0</v>
      </c>
      <c r="BK251" s="562">
        <v>0</v>
      </c>
      <c r="BL251" s="562">
        <v>0</v>
      </c>
      <c r="BM251" s="562">
        <v>0</v>
      </c>
      <c r="BN251" s="562">
        <v>631977</v>
      </c>
      <c r="BO251" s="562">
        <v>274558</v>
      </c>
      <c r="BQ251" s="562">
        <v>0</v>
      </c>
      <c r="BS251" s="562">
        <v>0</v>
      </c>
      <c r="BT251" s="562">
        <v>0</v>
      </c>
      <c r="BV251" s="562">
        <v>0</v>
      </c>
    </row>
    <row r="252" spans="1:99" s="562" customFormat="1" x14ac:dyDescent="0.3">
      <c r="A252" s="561">
        <v>1062</v>
      </c>
      <c r="B252" s="562" t="s">
        <v>1699</v>
      </c>
      <c r="D252" s="562">
        <v>1</v>
      </c>
      <c r="E252" s="562">
        <v>1</v>
      </c>
      <c r="H252" s="562">
        <v>1</v>
      </c>
      <c r="I252" s="562">
        <v>0</v>
      </c>
      <c r="K252" s="562">
        <v>1</v>
      </c>
      <c r="L252" s="562">
        <v>1</v>
      </c>
      <c r="M252" s="562">
        <v>1</v>
      </c>
      <c r="N252" s="562">
        <v>0</v>
      </c>
      <c r="O252" s="562">
        <v>1</v>
      </c>
      <c r="Q252" s="562">
        <v>1</v>
      </c>
      <c r="R252" s="562">
        <v>1</v>
      </c>
      <c r="S252" s="562">
        <v>1</v>
      </c>
      <c r="T252" s="562">
        <v>1</v>
      </c>
      <c r="X252" s="562">
        <v>1</v>
      </c>
      <c r="Y252" s="562">
        <v>1</v>
      </c>
      <c r="Z252" s="562">
        <v>1</v>
      </c>
      <c r="AA252" s="562">
        <v>1</v>
      </c>
      <c r="AB252" s="562">
        <v>1</v>
      </c>
      <c r="AC252" s="562">
        <v>0</v>
      </c>
      <c r="AD252" s="562">
        <v>1</v>
      </c>
      <c r="AE252" s="562">
        <v>1</v>
      </c>
      <c r="AF252" s="562">
        <v>1</v>
      </c>
      <c r="AG252" s="562">
        <v>1</v>
      </c>
      <c r="AH252" s="562">
        <v>2</v>
      </c>
      <c r="AI252" s="562">
        <v>0</v>
      </c>
      <c r="AJ252" s="562">
        <v>1</v>
      </c>
      <c r="AK252" s="562">
        <v>1</v>
      </c>
      <c r="AL252" s="562">
        <v>1</v>
      </c>
      <c r="AM252" s="562">
        <v>1</v>
      </c>
      <c r="AN252" s="562">
        <v>3</v>
      </c>
      <c r="AO252" s="562">
        <v>1</v>
      </c>
      <c r="AP252" s="562">
        <v>1</v>
      </c>
      <c r="AQ252" s="562">
        <v>1</v>
      </c>
      <c r="AR252" s="562">
        <v>1</v>
      </c>
      <c r="AS252" s="562">
        <v>1</v>
      </c>
      <c r="AT252" s="562">
        <v>1</v>
      </c>
      <c r="AU252" s="562">
        <v>1</v>
      </c>
      <c r="AV252" s="562">
        <v>1</v>
      </c>
      <c r="AW252" s="562">
        <v>0</v>
      </c>
      <c r="AX252" s="562">
        <v>1</v>
      </c>
      <c r="AY252" s="562">
        <v>1</v>
      </c>
      <c r="AZ252" s="562">
        <v>1</v>
      </c>
      <c r="BA252" s="562">
        <v>1</v>
      </c>
      <c r="BB252" s="562">
        <v>1</v>
      </c>
      <c r="BC252" s="562">
        <v>0</v>
      </c>
      <c r="BD252" s="562">
        <v>1</v>
      </c>
      <c r="BE252" s="562">
        <v>1</v>
      </c>
      <c r="BF252" s="562">
        <v>1</v>
      </c>
      <c r="BH252" s="562">
        <v>1</v>
      </c>
      <c r="BI252" s="562">
        <v>1</v>
      </c>
      <c r="BJ252" s="562">
        <v>1</v>
      </c>
      <c r="BK252" s="562">
        <v>1</v>
      </c>
      <c r="BL252" s="562">
        <v>1</v>
      </c>
      <c r="BM252" s="562">
        <v>1</v>
      </c>
      <c r="BN252" s="562">
        <v>1</v>
      </c>
      <c r="BO252" s="562">
        <v>1</v>
      </c>
      <c r="BQ252" s="562">
        <v>1</v>
      </c>
      <c r="BS252" s="562">
        <v>1</v>
      </c>
      <c r="BT252" s="562">
        <v>1</v>
      </c>
      <c r="BV252" s="562">
        <v>1</v>
      </c>
    </row>
    <row r="253" spans="1:99" s="562" customFormat="1" x14ac:dyDescent="0.3">
      <c r="A253" s="561">
        <v>1063</v>
      </c>
      <c r="B253" s="562" t="s">
        <v>1700</v>
      </c>
      <c r="D253" s="562">
        <v>1</v>
      </c>
      <c r="E253" s="562">
        <v>1</v>
      </c>
      <c r="H253" s="562">
        <v>1</v>
      </c>
      <c r="I253" s="562">
        <v>0</v>
      </c>
      <c r="K253" s="562">
        <v>1</v>
      </c>
      <c r="L253" s="562">
        <v>1</v>
      </c>
      <c r="M253" s="562">
        <v>1</v>
      </c>
      <c r="N253" s="562">
        <v>0</v>
      </c>
      <c r="O253" s="562">
        <v>1</v>
      </c>
      <c r="Q253" s="562">
        <v>1</v>
      </c>
      <c r="R253" s="562">
        <v>1</v>
      </c>
      <c r="S253" s="562">
        <v>1</v>
      </c>
      <c r="T253" s="562">
        <v>1</v>
      </c>
      <c r="X253" s="562">
        <v>1</v>
      </c>
      <c r="Y253" s="562">
        <v>1</v>
      </c>
      <c r="Z253" s="562">
        <v>1</v>
      </c>
      <c r="AA253" s="562">
        <v>1</v>
      </c>
      <c r="AB253" s="562">
        <v>1</v>
      </c>
      <c r="AC253" s="562">
        <v>0</v>
      </c>
      <c r="AD253" s="562">
        <v>1</v>
      </c>
      <c r="AE253" s="562">
        <v>1</v>
      </c>
      <c r="AF253" s="562">
        <v>1</v>
      </c>
      <c r="AG253" s="562">
        <v>1</v>
      </c>
      <c r="AH253" s="562">
        <v>2</v>
      </c>
      <c r="AI253" s="562">
        <v>0</v>
      </c>
      <c r="AJ253" s="562">
        <v>1</v>
      </c>
      <c r="AK253" s="562">
        <v>1</v>
      </c>
      <c r="AL253" s="562">
        <v>1</v>
      </c>
      <c r="AM253" s="562">
        <v>1</v>
      </c>
      <c r="AN253" s="562">
        <v>3</v>
      </c>
      <c r="AO253" s="562">
        <v>1</v>
      </c>
      <c r="AP253" s="562">
        <v>1</v>
      </c>
      <c r="AQ253" s="562">
        <v>1</v>
      </c>
      <c r="AR253" s="562">
        <v>1</v>
      </c>
      <c r="AS253" s="562">
        <v>1</v>
      </c>
      <c r="AT253" s="562">
        <v>1</v>
      </c>
      <c r="AU253" s="562">
        <v>1</v>
      </c>
      <c r="AV253" s="562">
        <v>1</v>
      </c>
      <c r="AW253" s="562">
        <v>0</v>
      </c>
      <c r="AX253" s="562">
        <v>1</v>
      </c>
      <c r="AY253" s="562">
        <v>1</v>
      </c>
      <c r="AZ253" s="562">
        <v>1</v>
      </c>
      <c r="BA253" s="562">
        <v>1</v>
      </c>
      <c r="BB253" s="562">
        <v>1</v>
      </c>
      <c r="BC253" s="562">
        <v>0</v>
      </c>
      <c r="BD253" s="562">
        <v>1</v>
      </c>
      <c r="BE253" s="562">
        <v>1</v>
      </c>
      <c r="BF253" s="562">
        <v>1</v>
      </c>
      <c r="BH253" s="562">
        <v>1</v>
      </c>
      <c r="BI253" s="562">
        <v>1</v>
      </c>
      <c r="BJ253" s="562">
        <v>1</v>
      </c>
      <c r="BK253" s="562">
        <v>1</v>
      </c>
      <c r="BL253" s="562">
        <v>1</v>
      </c>
      <c r="BM253" s="562">
        <v>1</v>
      </c>
      <c r="BN253" s="562">
        <v>1</v>
      </c>
      <c r="BO253" s="562">
        <v>1</v>
      </c>
      <c r="BQ253" s="562">
        <v>1</v>
      </c>
      <c r="BS253" s="562">
        <v>1</v>
      </c>
      <c r="BT253" s="562">
        <v>1</v>
      </c>
      <c r="BV253" s="562">
        <v>1</v>
      </c>
    </row>
    <row r="254" spans="1:99" s="555" customFormat="1" x14ac:dyDescent="0.3">
      <c r="A254" s="558">
        <v>1064</v>
      </c>
      <c r="B254" s="555" t="s">
        <v>1701</v>
      </c>
      <c r="D254" s="555">
        <v>790004</v>
      </c>
      <c r="E254" s="555">
        <v>12191711</v>
      </c>
      <c r="L254" s="555">
        <v>526548</v>
      </c>
      <c r="M254" s="555">
        <v>0</v>
      </c>
      <c r="T254" s="555">
        <v>2281874</v>
      </c>
      <c r="Z254" s="555">
        <v>1160942</v>
      </c>
      <c r="AH254" s="555">
        <v>0</v>
      </c>
      <c r="AM254" s="555">
        <v>248437</v>
      </c>
      <c r="AO254" s="555">
        <v>1535786</v>
      </c>
      <c r="AS254" s="555">
        <v>494682</v>
      </c>
      <c r="AZ254" s="555">
        <v>1131535</v>
      </c>
      <c r="BF254" s="555">
        <v>0</v>
      </c>
      <c r="BJ254" s="555">
        <v>169952</v>
      </c>
      <c r="BN254" s="555">
        <v>0</v>
      </c>
      <c r="BV254" s="555">
        <v>318863</v>
      </c>
    </row>
    <row r="255" spans="1:99" s="555" customFormat="1" x14ac:dyDescent="0.3">
      <c r="A255" s="558">
        <v>1065</v>
      </c>
      <c r="B255" s="555" t="s">
        <v>1702</v>
      </c>
      <c r="D255" s="555">
        <v>0</v>
      </c>
      <c r="E255" s="555">
        <v>0</v>
      </c>
      <c r="L255" s="555">
        <v>0</v>
      </c>
      <c r="M255" s="555">
        <v>0</v>
      </c>
      <c r="T255" s="555">
        <v>0</v>
      </c>
      <c r="Z255" s="555">
        <v>0</v>
      </c>
      <c r="AH255" s="555">
        <v>0</v>
      </c>
      <c r="AM255" s="555">
        <v>0</v>
      </c>
      <c r="AO255" s="555">
        <v>0</v>
      </c>
      <c r="AS255" s="555">
        <v>0</v>
      </c>
      <c r="AZ255" s="555">
        <v>0</v>
      </c>
      <c r="BF255" s="555">
        <v>0</v>
      </c>
      <c r="BJ255" s="555">
        <v>0</v>
      </c>
      <c r="BN255" s="555">
        <v>0</v>
      </c>
      <c r="BV255" s="555">
        <v>0</v>
      </c>
    </row>
    <row r="256" spans="1:99" s="562" customFormat="1" x14ac:dyDescent="0.3">
      <c r="A256" s="561">
        <v>1066</v>
      </c>
      <c r="B256" s="562" t="s">
        <v>1703</v>
      </c>
      <c r="D256" s="562" t="s">
        <v>2566</v>
      </c>
      <c r="E256" s="562" t="s">
        <v>1705</v>
      </c>
      <c r="H256" s="562" t="s">
        <v>2567</v>
      </c>
      <c r="I256" s="562" t="s">
        <v>2568</v>
      </c>
      <c r="K256" s="562" t="s">
        <v>2569</v>
      </c>
      <c r="L256" s="562" t="s">
        <v>1706</v>
      </c>
      <c r="M256" s="562" t="s">
        <v>1707</v>
      </c>
      <c r="N256" s="562" t="s">
        <v>2067</v>
      </c>
      <c r="O256" s="562" t="s">
        <v>2570</v>
      </c>
      <c r="Q256" s="562" t="s">
        <v>2571</v>
      </c>
      <c r="R256" s="562" t="s">
        <v>2572</v>
      </c>
      <c r="S256" s="562" t="s">
        <v>1997</v>
      </c>
      <c r="T256" s="562" t="s">
        <v>1707</v>
      </c>
      <c r="X256" s="562" t="s">
        <v>1704</v>
      </c>
      <c r="Y256" s="562" t="s">
        <v>2573</v>
      </c>
      <c r="Z256" s="562" t="s">
        <v>2019</v>
      </c>
      <c r="AA256" s="562" t="s">
        <v>2574</v>
      </c>
      <c r="AB256" s="562" t="s">
        <v>2575</v>
      </c>
      <c r="AC256" s="562" t="s">
        <v>2576</v>
      </c>
      <c r="AD256" s="562" t="s">
        <v>2577</v>
      </c>
      <c r="AE256" s="562" t="s">
        <v>2578</v>
      </c>
      <c r="AF256" s="562" t="s">
        <v>2579</v>
      </c>
      <c r="AG256" s="562" t="s">
        <v>2580</v>
      </c>
      <c r="AH256" s="562" t="s">
        <v>2581</v>
      </c>
      <c r="AI256" s="562" t="s">
        <v>2570</v>
      </c>
      <c r="AJ256" s="562" t="s">
        <v>2582</v>
      </c>
      <c r="AK256" s="562" t="s">
        <v>2037</v>
      </c>
      <c r="AL256" s="562" t="s">
        <v>2583</v>
      </c>
      <c r="AM256" s="562" t="s">
        <v>2574</v>
      </c>
      <c r="AN256" s="562" t="s">
        <v>1994</v>
      </c>
      <c r="AO256" s="562" t="s">
        <v>1997</v>
      </c>
      <c r="AP256" s="562" t="s">
        <v>1706</v>
      </c>
      <c r="AQ256" s="562" t="s">
        <v>2584</v>
      </c>
      <c r="AR256" s="562" t="s">
        <v>2066</v>
      </c>
      <c r="AS256" s="562" t="s">
        <v>1706</v>
      </c>
      <c r="AT256" s="562" t="s">
        <v>2069</v>
      </c>
      <c r="AU256" s="562" t="s">
        <v>2018</v>
      </c>
      <c r="AV256" s="562" t="s">
        <v>2578</v>
      </c>
      <c r="AW256" s="562" t="s">
        <v>2585</v>
      </c>
      <c r="AX256" s="562" t="s">
        <v>2586</v>
      </c>
      <c r="AY256" s="562" t="s">
        <v>1996</v>
      </c>
      <c r="AZ256" s="562" t="s">
        <v>1705</v>
      </c>
      <c r="BA256" s="562" t="s">
        <v>2587</v>
      </c>
      <c r="BB256" s="562" t="s">
        <v>2588</v>
      </c>
      <c r="BC256" s="562" t="s">
        <v>2589</v>
      </c>
      <c r="BD256" s="562" t="s">
        <v>2590</v>
      </c>
      <c r="BE256" s="562" t="s">
        <v>1995</v>
      </c>
      <c r="BF256" s="562" t="s">
        <v>2591</v>
      </c>
      <c r="BH256" s="562" t="s">
        <v>1706</v>
      </c>
      <c r="BI256" s="562" t="s">
        <v>2592</v>
      </c>
      <c r="BJ256" s="562" t="s">
        <v>2036</v>
      </c>
      <c r="BK256" s="562" t="s">
        <v>1706</v>
      </c>
      <c r="BL256" s="562" t="s">
        <v>1707</v>
      </c>
      <c r="BM256" s="562" t="s">
        <v>2593</v>
      </c>
      <c r="BN256" s="562" t="s">
        <v>2068</v>
      </c>
      <c r="BO256" s="562" t="s">
        <v>2568</v>
      </c>
      <c r="BQ256" s="562" t="s">
        <v>2070</v>
      </c>
      <c r="BS256" s="562" t="s">
        <v>2594</v>
      </c>
      <c r="BT256" s="562" t="s">
        <v>2595</v>
      </c>
      <c r="BV256" s="562" t="s">
        <v>1705</v>
      </c>
    </row>
    <row r="257" spans="1:74" s="562" customFormat="1" x14ac:dyDescent="0.3">
      <c r="A257" s="561">
        <v>9000</v>
      </c>
      <c r="B257" s="562" t="s">
        <v>1025</v>
      </c>
      <c r="C257" s="562" t="s">
        <v>351</v>
      </c>
      <c r="D257" s="562">
        <v>313841816.41000003</v>
      </c>
      <c r="E257" s="562">
        <v>30027948064.112999</v>
      </c>
      <c r="F257" s="562">
        <v>50364.01</v>
      </c>
      <c r="G257" s="562">
        <v>50365.01</v>
      </c>
      <c r="H257" s="562">
        <v>102438221.55</v>
      </c>
      <c r="I257" s="562">
        <v>839504.71499999997</v>
      </c>
      <c r="J257" s="562">
        <v>50611</v>
      </c>
      <c r="K257" s="562">
        <v>74338146</v>
      </c>
      <c r="L257" s="562">
        <v>243373524.12</v>
      </c>
      <c r="M257" s="562">
        <v>852811460.53740001</v>
      </c>
      <c r="N257" s="562">
        <v>8148097.6310000001</v>
      </c>
      <c r="O257" s="562">
        <v>43321168.039999999</v>
      </c>
      <c r="P257" s="562">
        <v>50373.01</v>
      </c>
      <c r="Q257" s="562">
        <v>15728303.369999999</v>
      </c>
      <c r="R257" s="562">
        <v>27649865.760000002</v>
      </c>
      <c r="S257" s="562">
        <v>80685809.609999999</v>
      </c>
      <c r="T257" s="562">
        <v>302433476.34100002</v>
      </c>
      <c r="U257" s="562">
        <v>50375.01</v>
      </c>
      <c r="V257" s="562">
        <v>50376.01</v>
      </c>
      <c r="W257" s="562">
        <v>50377.09</v>
      </c>
      <c r="X257" s="562">
        <v>408850861.31999999</v>
      </c>
      <c r="Y257" s="562">
        <v>42518403.719999999</v>
      </c>
      <c r="Z257" s="562">
        <v>3559633901.4450002</v>
      </c>
      <c r="AA257" s="562">
        <v>351257078.18000001</v>
      </c>
      <c r="AB257" s="562">
        <v>13721309.449999999</v>
      </c>
      <c r="AC257" s="562">
        <v>39179560.210000001</v>
      </c>
      <c r="AD257" s="562">
        <v>71255011.290000007</v>
      </c>
      <c r="AE257" s="562">
        <v>63140865.450000003</v>
      </c>
      <c r="AF257" s="562">
        <v>38683904.579999998</v>
      </c>
      <c r="AG257" s="562">
        <v>42650314.509999998</v>
      </c>
      <c r="AH257" s="562">
        <v>408554872.08999997</v>
      </c>
      <c r="AI257" s="562">
        <v>4365411.1624999996</v>
      </c>
      <c r="AJ257" s="562">
        <v>81902436.030000001</v>
      </c>
      <c r="AK257" s="562">
        <v>6702558.8600000003</v>
      </c>
      <c r="AL257" s="562">
        <v>51754128.240000002</v>
      </c>
      <c r="AM257" s="562">
        <v>152159891.52000001</v>
      </c>
      <c r="AN257" s="562">
        <v>22867128.010000002</v>
      </c>
      <c r="AO257" s="562">
        <v>2137285840.5495999</v>
      </c>
      <c r="AP257" s="562">
        <v>62240402.630000003</v>
      </c>
      <c r="AQ257" s="562">
        <v>7411312.9199999999</v>
      </c>
      <c r="AR257" s="562">
        <v>14940919.630000001</v>
      </c>
      <c r="AS257" s="562">
        <v>1906878869.8199999</v>
      </c>
      <c r="AT257" s="562">
        <v>38400079.229999997</v>
      </c>
      <c r="AU257" s="562">
        <v>151659824.19999999</v>
      </c>
      <c r="AV257" s="562">
        <v>134434434.23500001</v>
      </c>
      <c r="AW257" s="562">
        <v>45189622.630000003</v>
      </c>
      <c r="AX257" s="562">
        <v>23129583.760000002</v>
      </c>
      <c r="AY257" s="562">
        <v>8305907.1749999998</v>
      </c>
      <c r="AZ257" s="562">
        <v>383659094.37</v>
      </c>
      <c r="BA257" s="562">
        <v>48986971.710000001</v>
      </c>
      <c r="BB257" s="562">
        <v>21431940.649999999</v>
      </c>
      <c r="BC257" s="562">
        <v>22861382.870000001</v>
      </c>
      <c r="BD257" s="562">
        <v>291616374.60250002</v>
      </c>
      <c r="BE257" s="562">
        <v>115177764.06</v>
      </c>
      <c r="BF257" s="562">
        <v>1816397564.1775</v>
      </c>
      <c r="BG257" s="562">
        <v>50407.01</v>
      </c>
      <c r="BH257" s="562">
        <v>7286565.5099999998</v>
      </c>
      <c r="BI257" s="562">
        <v>21140866.800000001</v>
      </c>
      <c r="BJ257" s="562">
        <v>1035274761.41</v>
      </c>
      <c r="BK257" s="562">
        <v>78897663.939999998</v>
      </c>
      <c r="BL257" s="562">
        <v>875945256.67999995</v>
      </c>
      <c r="BM257" s="562">
        <v>222388742.97580001</v>
      </c>
      <c r="BN257" s="562">
        <v>493165014.92559999</v>
      </c>
      <c r="BO257" s="562">
        <v>164896231.25</v>
      </c>
      <c r="BP257" s="562">
        <v>50415</v>
      </c>
      <c r="BQ257" s="562">
        <v>89521681.680000007</v>
      </c>
      <c r="BR257" s="562">
        <v>50417</v>
      </c>
      <c r="BS257" s="562">
        <v>160073782.48300001</v>
      </c>
      <c r="BT257" s="562">
        <v>50964020.210000001</v>
      </c>
      <c r="BU257" s="562">
        <v>50420.01</v>
      </c>
      <c r="BV257" s="562">
        <v>159602637.84999999</v>
      </c>
    </row>
    <row r="258" spans="1:74" s="564" customFormat="1" x14ac:dyDescent="0.3">
      <c r="A258" s="155">
        <v>9001</v>
      </c>
      <c r="B258" s="564" t="s">
        <v>1026</v>
      </c>
      <c r="C258" s="564" t="s">
        <v>1027</v>
      </c>
      <c r="D258" s="564">
        <v>17216847</v>
      </c>
      <c r="E258" s="564">
        <v>2400160543</v>
      </c>
      <c r="F258" s="564">
        <v>0</v>
      </c>
      <c r="G258" s="564">
        <v>0</v>
      </c>
      <c r="H258" s="564">
        <v>8747747</v>
      </c>
      <c r="I258" s="564">
        <v>84078</v>
      </c>
      <c r="J258" s="564">
        <v>0</v>
      </c>
      <c r="K258" s="564">
        <v>12661286</v>
      </c>
      <c r="L258" s="564">
        <v>11160862</v>
      </c>
      <c r="M258" s="564">
        <v>53688654</v>
      </c>
      <c r="N258" s="564">
        <v>981073</v>
      </c>
      <c r="O258" s="564">
        <v>2198347</v>
      </c>
      <c r="P258" s="564">
        <v>0</v>
      </c>
      <c r="Q258" s="564">
        <v>2320704</v>
      </c>
      <c r="R258" s="564">
        <v>3093408</v>
      </c>
      <c r="S258" s="564">
        <v>6649941</v>
      </c>
      <c r="T258" s="564">
        <v>33378338</v>
      </c>
      <c r="U258" s="564">
        <v>0</v>
      </c>
      <c r="V258" s="564">
        <v>0</v>
      </c>
      <c r="W258" s="564">
        <v>0</v>
      </c>
      <c r="X258" s="564">
        <v>39879777</v>
      </c>
      <c r="Y258" s="564">
        <v>5387512</v>
      </c>
      <c r="Z258" s="564">
        <v>255865141</v>
      </c>
      <c r="AA258" s="564">
        <v>68605074</v>
      </c>
      <c r="AB258" s="564">
        <v>527517</v>
      </c>
      <c r="AC258" s="564">
        <v>1495507</v>
      </c>
      <c r="AD258" s="564">
        <v>2798817</v>
      </c>
      <c r="AE258" s="564">
        <v>4056426</v>
      </c>
      <c r="AF258" s="564">
        <v>1364519</v>
      </c>
      <c r="AG258" s="564">
        <v>1743475</v>
      </c>
      <c r="AH258" s="564">
        <v>15683523</v>
      </c>
      <c r="AI258" s="564">
        <v>706159</v>
      </c>
      <c r="AJ258" s="564">
        <v>10015118</v>
      </c>
      <c r="AK258" s="564">
        <v>832280</v>
      </c>
      <c r="AL258" s="564">
        <v>3172779</v>
      </c>
      <c r="AM258" s="564">
        <v>10709847</v>
      </c>
      <c r="AN258" s="564">
        <v>1417945</v>
      </c>
      <c r="AO258" s="564">
        <v>110735006</v>
      </c>
      <c r="AP258" s="564">
        <v>3551140</v>
      </c>
      <c r="AQ258" s="564">
        <v>843820</v>
      </c>
      <c r="AR258" s="564">
        <v>1535934</v>
      </c>
      <c r="AS258" s="564">
        <v>99001289</v>
      </c>
      <c r="AT258" s="564">
        <v>1058758</v>
      </c>
      <c r="AU258" s="564">
        <v>11737900</v>
      </c>
      <c r="AV258" s="564">
        <v>4794228</v>
      </c>
      <c r="AW258" s="564">
        <v>1340290</v>
      </c>
      <c r="AX258" s="564">
        <v>5000533</v>
      </c>
      <c r="AY258" s="564">
        <v>990244</v>
      </c>
      <c r="AZ258" s="564">
        <v>17811113</v>
      </c>
      <c r="BA258" s="564">
        <v>4402663</v>
      </c>
      <c r="BB258" s="564">
        <v>256532</v>
      </c>
      <c r="BC258" s="564">
        <v>1658458</v>
      </c>
      <c r="BD258" s="564">
        <v>28915730</v>
      </c>
      <c r="BE258" s="564">
        <v>2961086</v>
      </c>
      <c r="BF258" s="564">
        <v>110171760</v>
      </c>
      <c r="BG258" s="564">
        <v>0</v>
      </c>
      <c r="BH258" s="564">
        <v>718723</v>
      </c>
      <c r="BI258" s="564">
        <v>874183</v>
      </c>
      <c r="BJ258" s="564">
        <v>57857014</v>
      </c>
      <c r="BK258" s="564">
        <v>3819113</v>
      </c>
      <c r="BL258" s="564">
        <v>72284163</v>
      </c>
      <c r="BM258" s="564">
        <v>31651930</v>
      </c>
      <c r="BN258" s="564">
        <v>26204120</v>
      </c>
      <c r="BO258" s="564">
        <v>5452799</v>
      </c>
      <c r="BP258" s="564">
        <v>0</v>
      </c>
      <c r="BQ258" s="564">
        <v>12411961</v>
      </c>
      <c r="BR258" s="564">
        <v>0</v>
      </c>
      <c r="BS258" s="564">
        <v>8921617</v>
      </c>
      <c r="BT258" s="564">
        <v>3842494</v>
      </c>
      <c r="BU258" s="564">
        <v>0</v>
      </c>
      <c r="BV258" s="564">
        <v>9065190</v>
      </c>
    </row>
    <row r="259" spans="1:74" s="564" customFormat="1" x14ac:dyDescent="0.3">
      <c r="A259" s="155">
        <v>9002</v>
      </c>
      <c r="B259" s="564" t="s">
        <v>1028</v>
      </c>
      <c r="C259" s="564" t="s">
        <v>1029</v>
      </c>
      <c r="D259" s="564">
        <v>673261</v>
      </c>
      <c r="E259" s="564">
        <v>295069172</v>
      </c>
      <c r="F259" s="564">
        <v>0</v>
      </c>
      <c r="G259" s="564">
        <v>0</v>
      </c>
      <c r="H259" s="564">
        <v>74063</v>
      </c>
      <c r="I259" s="564">
        <v>0</v>
      </c>
      <c r="J259" s="564">
        <v>0</v>
      </c>
      <c r="K259" s="564">
        <v>271523</v>
      </c>
      <c r="L259" s="564">
        <v>369221</v>
      </c>
      <c r="M259" s="564">
        <v>4068534</v>
      </c>
      <c r="N259" s="564">
        <v>2892</v>
      </c>
      <c r="O259" s="564">
        <v>204899</v>
      </c>
      <c r="P259" s="564">
        <v>0</v>
      </c>
      <c r="Q259" s="564">
        <v>124432</v>
      </c>
      <c r="R259" s="564">
        <v>387923</v>
      </c>
      <c r="S259" s="564">
        <v>65757</v>
      </c>
      <c r="T259" s="564">
        <v>2746175</v>
      </c>
      <c r="U259" s="564">
        <v>0</v>
      </c>
      <c r="V259" s="564">
        <v>0</v>
      </c>
      <c r="W259" s="564">
        <v>0</v>
      </c>
      <c r="X259" s="564">
        <v>1244459</v>
      </c>
      <c r="Y259" s="564">
        <v>325598</v>
      </c>
      <c r="Z259" s="564">
        <v>23453601</v>
      </c>
      <c r="AA259" s="564">
        <v>2718144</v>
      </c>
      <c r="AB259" s="564">
        <v>69990</v>
      </c>
      <c r="AC259" s="564">
        <v>17486</v>
      </c>
      <c r="AD259" s="564">
        <v>254374</v>
      </c>
      <c r="AE259" s="564">
        <v>56504</v>
      </c>
      <c r="AF259" s="564">
        <v>30263</v>
      </c>
      <c r="AG259" s="564">
        <v>35784</v>
      </c>
      <c r="AH259" s="564">
        <v>8347358</v>
      </c>
      <c r="AI259" s="564">
        <v>3654</v>
      </c>
      <c r="AJ259" s="564">
        <v>747091</v>
      </c>
      <c r="AK259" s="564">
        <v>65811</v>
      </c>
      <c r="AL259" s="564">
        <v>158936</v>
      </c>
      <c r="AM259" s="564">
        <v>1462018</v>
      </c>
      <c r="AN259" s="564">
        <v>38825</v>
      </c>
      <c r="AO259" s="564">
        <v>6729822</v>
      </c>
      <c r="AP259" s="564">
        <v>73243</v>
      </c>
      <c r="AQ259" s="564">
        <v>15311</v>
      </c>
      <c r="AR259" s="564">
        <v>12869</v>
      </c>
      <c r="AS259" s="564">
        <v>4685069</v>
      </c>
      <c r="AT259" s="564">
        <v>18722</v>
      </c>
      <c r="AU259" s="564">
        <v>758567</v>
      </c>
      <c r="AV259" s="564">
        <v>11382</v>
      </c>
      <c r="AW259" s="564">
        <v>23261</v>
      </c>
      <c r="AX259" s="564">
        <v>1276884</v>
      </c>
      <c r="AY259" s="564">
        <v>18045</v>
      </c>
      <c r="AZ259" s="564">
        <v>424800</v>
      </c>
      <c r="BA259" s="564">
        <v>244640</v>
      </c>
      <c r="BB259" s="564">
        <v>23121</v>
      </c>
      <c r="BC259" s="564">
        <v>38210</v>
      </c>
      <c r="BD259" s="564">
        <v>1124190</v>
      </c>
      <c r="BE259" s="564">
        <v>147122</v>
      </c>
      <c r="BF259" s="564">
        <v>9207161</v>
      </c>
      <c r="BG259" s="564">
        <v>0</v>
      </c>
      <c r="BH259" s="564">
        <v>66638</v>
      </c>
      <c r="BI259" s="564">
        <v>57716</v>
      </c>
      <c r="BJ259" s="564">
        <v>5459982</v>
      </c>
      <c r="BK259" s="564">
        <v>423475</v>
      </c>
      <c r="BL259" s="564">
        <v>5911070</v>
      </c>
      <c r="BM259" s="564">
        <v>2454961</v>
      </c>
      <c r="BN259" s="564">
        <v>2008152</v>
      </c>
      <c r="BO259" s="564">
        <v>325034</v>
      </c>
      <c r="BP259" s="564">
        <v>0</v>
      </c>
      <c r="BQ259" s="564">
        <v>722480</v>
      </c>
      <c r="BR259" s="564">
        <v>0</v>
      </c>
      <c r="BS259" s="564">
        <v>705990</v>
      </c>
      <c r="BT259" s="564">
        <v>113373</v>
      </c>
      <c r="BU259" s="564">
        <v>0</v>
      </c>
      <c r="BV259" s="564">
        <v>503974</v>
      </c>
    </row>
    <row r="260" spans="1:74" s="564" customFormat="1" x14ac:dyDescent="0.3">
      <c r="A260" s="155">
        <v>9003</v>
      </c>
      <c r="B260" s="564" t="s">
        <v>1030</v>
      </c>
      <c r="C260" s="564" t="s">
        <v>1031</v>
      </c>
      <c r="D260" s="564">
        <v>6151158</v>
      </c>
      <c r="E260" s="564">
        <v>1132445666</v>
      </c>
      <c r="F260" s="564">
        <v>0</v>
      </c>
      <c r="G260" s="564">
        <v>0</v>
      </c>
      <c r="H260" s="564">
        <v>4843676</v>
      </c>
      <c r="I260" s="564">
        <v>0</v>
      </c>
      <c r="J260" s="564">
        <v>0</v>
      </c>
      <c r="K260" s="564">
        <v>336023</v>
      </c>
      <c r="L260" s="564">
        <v>8681435</v>
      </c>
      <c r="M260" s="564">
        <v>25601158</v>
      </c>
      <c r="N260" s="564">
        <v>2892</v>
      </c>
      <c r="O260" s="564">
        <v>357603</v>
      </c>
      <c r="P260" s="564">
        <v>0</v>
      </c>
      <c r="Q260" s="564">
        <v>611330</v>
      </c>
      <c r="R260" s="564">
        <v>764489</v>
      </c>
      <c r="S260" s="564">
        <v>726762</v>
      </c>
      <c r="T260" s="564">
        <v>26188723</v>
      </c>
      <c r="U260" s="564">
        <v>0</v>
      </c>
      <c r="V260" s="564">
        <v>0</v>
      </c>
      <c r="W260" s="564">
        <v>0</v>
      </c>
      <c r="X260" s="564">
        <v>15932891</v>
      </c>
      <c r="Y260" s="564">
        <v>1466904</v>
      </c>
      <c r="Z260" s="564">
        <v>142351195</v>
      </c>
      <c r="AA260" s="564">
        <v>11044740</v>
      </c>
      <c r="AB260" s="564">
        <v>69990</v>
      </c>
      <c r="AC260" s="564">
        <v>69274</v>
      </c>
      <c r="AD260" s="564">
        <v>1166898</v>
      </c>
      <c r="AE260" s="564">
        <v>401832</v>
      </c>
      <c r="AF260" s="564">
        <v>209047</v>
      </c>
      <c r="AG260" s="564">
        <v>1299087</v>
      </c>
      <c r="AH260" s="564">
        <v>11706599</v>
      </c>
      <c r="AI260" s="564">
        <v>3654</v>
      </c>
      <c r="AJ260" s="564">
        <v>3430412</v>
      </c>
      <c r="AK260" s="564">
        <v>65811</v>
      </c>
      <c r="AL260" s="564">
        <v>1076444</v>
      </c>
      <c r="AM260" s="564">
        <v>4178794</v>
      </c>
      <c r="AN260" s="564">
        <v>77700</v>
      </c>
      <c r="AO260" s="564">
        <v>38777846</v>
      </c>
      <c r="AP260" s="564">
        <v>610332</v>
      </c>
      <c r="AQ260" s="564">
        <v>63753</v>
      </c>
      <c r="AR260" s="564">
        <v>497762</v>
      </c>
      <c r="AS260" s="564">
        <v>78983721</v>
      </c>
      <c r="AT260" s="564">
        <v>18757</v>
      </c>
      <c r="AU260" s="564">
        <v>991121</v>
      </c>
      <c r="AV260" s="564">
        <v>1119824</v>
      </c>
      <c r="AW260" s="564">
        <v>410281</v>
      </c>
      <c r="AX260" s="564">
        <v>1495031</v>
      </c>
      <c r="AY260" s="564">
        <v>97388</v>
      </c>
      <c r="AZ260" s="564">
        <v>10896443</v>
      </c>
      <c r="BA260" s="564">
        <v>1512411</v>
      </c>
      <c r="BB260" s="564">
        <v>23121</v>
      </c>
      <c r="BC260" s="564">
        <v>69323</v>
      </c>
      <c r="BD260" s="564">
        <v>6548634</v>
      </c>
      <c r="BE260" s="564">
        <v>1342187</v>
      </c>
      <c r="BF260" s="564">
        <v>50951660</v>
      </c>
      <c r="BG260" s="564">
        <v>0</v>
      </c>
      <c r="BH260" s="564">
        <v>235278</v>
      </c>
      <c r="BI260" s="564">
        <v>57716</v>
      </c>
      <c r="BJ260" s="564">
        <v>29236583</v>
      </c>
      <c r="BK260" s="564">
        <v>729388</v>
      </c>
      <c r="BL260" s="564">
        <v>21177746</v>
      </c>
      <c r="BM260" s="564">
        <v>12367127</v>
      </c>
      <c r="BN260" s="564">
        <v>11625285</v>
      </c>
      <c r="BO260" s="564">
        <v>540196</v>
      </c>
      <c r="BP260" s="564">
        <v>0</v>
      </c>
      <c r="BQ260" s="564">
        <v>4417908</v>
      </c>
      <c r="BR260" s="564">
        <v>0</v>
      </c>
      <c r="BS260" s="564">
        <v>4348572</v>
      </c>
      <c r="BT260" s="564">
        <v>1209038</v>
      </c>
      <c r="BU260" s="564">
        <v>0</v>
      </c>
      <c r="BV260" s="564">
        <v>1716762</v>
      </c>
    </row>
    <row r="261" spans="1:74" s="562" customFormat="1" x14ac:dyDescent="0.3">
      <c r="A261" s="561">
        <v>9004</v>
      </c>
      <c r="B261" s="562" t="s">
        <v>1032</v>
      </c>
      <c r="C261" s="562" t="s">
        <v>1033</v>
      </c>
      <c r="D261" s="562" t="s">
        <v>1034</v>
      </c>
      <c r="E261" s="562" t="s">
        <v>1034</v>
      </c>
      <c r="F261" s="562" t="s">
        <v>1034</v>
      </c>
      <c r="G261" s="562" t="s">
        <v>1034</v>
      </c>
      <c r="H261" s="562" t="s">
        <v>1034</v>
      </c>
      <c r="I261" s="562" t="s">
        <v>351</v>
      </c>
      <c r="J261" s="562" t="s">
        <v>351</v>
      </c>
      <c r="K261" s="562" t="s">
        <v>351</v>
      </c>
      <c r="L261" s="562" t="s">
        <v>1034</v>
      </c>
      <c r="M261" s="562" t="s">
        <v>1034</v>
      </c>
      <c r="N261" s="562" t="s">
        <v>351</v>
      </c>
      <c r="O261" s="562" t="s">
        <v>1034</v>
      </c>
      <c r="P261" s="562" t="s">
        <v>1034</v>
      </c>
      <c r="Q261" s="562" t="s">
        <v>351</v>
      </c>
      <c r="R261" s="562" t="s">
        <v>351</v>
      </c>
      <c r="S261" s="562" t="s">
        <v>1034</v>
      </c>
      <c r="T261" s="562" t="s">
        <v>351</v>
      </c>
      <c r="U261" s="562" t="s">
        <v>1034</v>
      </c>
      <c r="V261" s="562" t="s">
        <v>1034</v>
      </c>
      <c r="W261" s="562" t="s">
        <v>1034</v>
      </c>
      <c r="X261" s="562" t="s">
        <v>1034</v>
      </c>
      <c r="Y261" s="562" t="s">
        <v>351</v>
      </c>
      <c r="Z261" s="562" t="s">
        <v>1034</v>
      </c>
      <c r="AA261" s="562" t="s">
        <v>351</v>
      </c>
      <c r="AB261" s="562" t="s">
        <v>1034</v>
      </c>
      <c r="AC261" s="562" t="s">
        <v>1034</v>
      </c>
      <c r="AD261" s="562" t="s">
        <v>1034</v>
      </c>
      <c r="AE261" s="562" t="s">
        <v>1034</v>
      </c>
      <c r="AF261" s="562" t="s">
        <v>1034</v>
      </c>
      <c r="AG261" s="562" t="s">
        <v>1034</v>
      </c>
      <c r="AH261" s="562" t="s">
        <v>1034</v>
      </c>
      <c r="AI261" s="562" t="s">
        <v>351</v>
      </c>
      <c r="AJ261" s="562" t="s">
        <v>351</v>
      </c>
      <c r="AK261" s="562" t="s">
        <v>351</v>
      </c>
      <c r="AL261" s="562" t="s">
        <v>1034</v>
      </c>
      <c r="AM261" s="562" t="s">
        <v>1034</v>
      </c>
      <c r="AN261" s="562" t="s">
        <v>1034</v>
      </c>
      <c r="AO261" s="562" t="s">
        <v>1034</v>
      </c>
      <c r="AP261" s="562" t="s">
        <v>1034</v>
      </c>
      <c r="AQ261" s="562" t="s">
        <v>351</v>
      </c>
      <c r="AR261" s="562" t="s">
        <v>1034</v>
      </c>
      <c r="AS261" s="562" t="s">
        <v>1034</v>
      </c>
      <c r="AT261" s="562" t="s">
        <v>1034</v>
      </c>
      <c r="AU261" s="562" t="s">
        <v>1034</v>
      </c>
      <c r="AV261" s="562" t="s">
        <v>1034</v>
      </c>
      <c r="AW261" s="562" t="s">
        <v>1034</v>
      </c>
      <c r="AX261" s="562" t="s">
        <v>351</v>
      </c>
      <c r="AY261" s="562" t="s">
        <v>351</v>
      </c>
      <c r="AZ261" s="562" t="s">
        <v>1034</v>
      </c>
      <c r="BA261" s="562" t="s">
        <v>1034</v>
      </c>
      <c r="BB261" s="562" t="s">
        <v>1034</v>
      </c>
      <c r="BC261" s="562" t="s">
        <v>1034</v>
      </c>
      <c r="BD261" s="562" t="s">
        <v>1034</v>
      </c>
      <c r="BE261" s="562" t="s">
        <v>1034</v>
      </c>
      <c r="BF261" s="562" t="s">
        <v>1034</v>
      </c>
      <c r="BG261" s="562" t="s">
        <v>1034</v>
      </c>
      <c r="BH261" s="562" t="s">
        <v>351</v>
      </c>
      <c r="BI261" s="562" t="s">
        <v>1034</v>
      </c>
      <c r="BJ261" s="562" t="s">
        <v>1034</v>
      </c>
      <c r="BK261" s="562" t="s">
        <v>1034</v>
      </c>
      <c r="BL261" s="562" t="s">
        <v>1034</v>
      </c>
      <c r="BM261" s="562" t="s">
        <v>351</v>
      </c>
      <c r="BN261" s="562" t="s">
        <v>1034</v>
      </c>
      <c r="BO261" s="562" t="s">
        <v>1034</v>
      </c>
      <c r="BP261" s="562" t="s">
        <v>351</v>
      </c>
      <c r="BQ261" s="562" t="s">
        <v>351</v>
      </c>
      <c r="BR261" s="562" t="s">
        <v>351</v>
      </c>
      <c r="BS261" s="562" t="s">
        <v>1034</v>
      </c>
      <c r="BT261" s="562" t="s">
        <v>1034</v>
      </c>
      <c r="BU261" s="562" t="s">
        <v>1034</v>
      </c>
      <c r="BV261" s="562" t="s">
        <v>1034</v>
      </c>
    </row>
    <row r="262" spans="1:74" s="180" customFormat="1" x14ac:dyDescent="0.3">
      <c r="A262" s="155">
        <v>9005</v>
      </c>
      <c r="B262" s="572" t="s">
        <v>1035</v>
      </c>
      <c r="C262" s="572" t="s">
        <v>1036</v>
      </c>
      <c r="D262" s="180">
        <v>8703642</v>
      </c>
      <c r="E262" s="180">
        <v>486822991</v>
      </c>
      <c r="F262" s="180">
        <v>0</v>
      </c>
      <c r="G262" s="180">
        <v>0</v>
      </c>
      <c r="H262" s="180">
        <v>1597080</v>
      </c>
      <c r="I262" s="180">
        <v>74302</v>
      </c>
      <c r="J262" s="180">
        <v>0</v>
      </c>
      <c r="K262" s="180">
        <v>7945093</v>
      </c>
      <c r="L262" s="180">
        <v>1757008</v>
      </c>
      <c r="M262" s="180">
        <v>7446319</v>
      </c>
      <c r="N262" s="180">
        <v>842044</v>
      </c>
      <c r="O262" s="180">
        <v>1164760</v>
      </c>
      <c r="P262" s="180">
        <v>0</v>
      </c>
      <c r="Q262" s="180">
        <v>770888</v>
      </c>
      <c r="R262" s="180">
        <v>1200022</v>
      </c>
      <c r="S262" s="180">
        <v>1202358</v>
      </c>
      <c r="T262" s="180">
        <v>6435824</v>
      </c>
      <c r="U262" s="180">
        <v>0</v>
      </c>
      <c r="V262" s="180">
        <v>0</v>
      </c>
      <c r="W262" s="180">
        <v>0</v>
      </c>
      <c r="X262" s="180">
        <v>4901245</v>
      </c>
      <c r="Y262" s="180">
        <v>1722261</v>
      </c>
      <c r="Z262" s="180">
        <v>30346128</v>
      </c>
      <c r="AA262" s="180">
        <v>8039051</v>
      </c>
      <c r="AB262" s="180">
        <v>224181</v>
      </c>
      <c r="AC262" s="180">
        <v>521974</v>
      </c>
      <c r="AD262" s="180">
        <v>965260</v>
      </c>
      <c r="AE262" s="180">
        <v>2076386</v>
      </c>
      <c r="AF262" s="180">
        <v>459880</v>
      </c>
      <c r="AG262" s="180">
        <v>391638</v>
      </c>
      <c r="AH262" s="180">
        <v>3157651</v>
      </c>
      <c r="AI262" s="180">
        <v>326100</v>
      </c>
      <c r="AJ262" s="180">
        <v>3516040</v>
      </c>
      <c r="AK262" s="180">
        <v>636593</v>
      </c>
      <c r="AL262" s="180">
        <v>807761</v>
      </c>
      <c r="AM262" s="180">
        <v>1721921</v>
      </c>
      <c r="AN262" s="180">
        <v>674068</v>
      </c>
      <c r="AO262" s="180">
        <v>20451268</v>
      </c>
      <c r="AP262" s="180">
        <v>1469545</v>
      </c>
      <c r="AQ262" s="180">
        <v>686967</v>
      </c>
      <c r="AR262" s="180">
        <v>710767</v>
      </c>
      <c r="AS262" s="180">
        <v>22822160</v>
      </c>
      <c r="AT262" s="180">
        <v>386060</v>
      </c>
      <c r="AU262" s="180">
        <v>6287340</v>
      </c>
      <c r="AV262" s="180">
        <v>862331</v>
      </c>
      <c r="AW262" s="180">
        <v>399699</v>
      </c>
      <c r="AX262" s="180">
        <v>215229</v>
      </c>
      <c r="AY262" s="180">
        <v>479540</v>
      </c>
      <c r="AZ262" s="180">
        <v>5079681</v>
      </c>
      <c r="BA262" s="180">
        <v>1014902</v>
      </c>
      <c r="BB262" s="180">
        <v>166713</v>
      </c>
      <c r="BC262" s="180">
        <v>1415949</v>
      </c>
      <c r="BD262" s="180">
        <v>7403056</v>
      </c>
      <c r="BE262" s="180">
        <v>1042524</v>
      </c>
      <c r="BF262" s="180">
        <v>9915095</v>
      </c>
      <c r="BG262" s="180">
        <v>0</v>
      </c>
      <c r="BH262" s="180">
        <v>275335</v>
      </c>
      <c r="BI262" s="180">
        <v>459610</v>
      </c>
      <c r="BJ262" s="180">
        <v>12139182</v>
      </c>
      <c r="BK262" s="180">
        <v>1551791</v>
      </c>
      <c r="BL262" s="180">
        <v>12267635</v>
      </c>
      <c r="BM262" s="180">
        <v>9368987</v>
      </c>
      <c r="BN262" s="180">
        <v>6169220</v>
      </c>
      <c r="BO262" s="180">
        <v>2733650</v>
      </c>
      <c r="BP262" s="180">
        <v>0</v>
      </c>
      <c r="BQ262" s="180">
        <v>2645267</v>
      </c>
      <c r="BR262" s="180">
        <v>0</v>
      </c>
      <c r="BS262" s="180">
        <v>2415812</v>
      </c>
      <c r="BT262" s="180">
        <v>1546906</v>
      </c>
      <c r="BU262" s="180">
        <v>0</v>
      </c>
      <c r="BV262" s="180">
        <v>4273427</v>
      </c>
    </row>
    <row r="263" spans="1:74" s="180" customFormat="1" x14ac:dyDescent="0.3">
      <c r="A263" s="155">
        <v>9006</v>
      </c>
      <c r="B263" s="572" t="s">
        <v>1037</v>
      </c>
      <c r="C263" s="572" t="s">
        <v>1038</v>
      </c>
      <c r="D263" s="180">
        <v>5969752</v>
      </c>
      <c r="E263" s="180">
        <v>498384725</v>
      </c>
      <c r="F263" s="180">
        <v>0</v>
      </c>
      <c r="G263" s="180">
        <v>0</v>
      </c>
      <c r="H263" s="180">
        <v>2395659</v>
      </c>
      <c r="I263" s="180">
        <v>36366</v>
      </c>
      <c r="J263" s="180">
        <v>0</v>
      </c>
      <c r="K263" s="180">
        <v>1141778</v>
      </c>
      <c r="L263" s="180">
        <v>3911362</v>
      </c>
      <c r="M263" s="180">
        <v>16787032</v>
      </c>
      <c r="N263" s="180">
        <v>89311</v>
      </c>
      <c r="O263" s="180">
        <v>540311</v>
      </c>
      <c r="P263" s="180">
        <v>0</v>
      </c>
      <c r="Q263" s="180">
        <v>393269</v>
      </c>
      <c r="R263" s="180">
        <v>1542731</v>
      </c>
      <c r="S263" s="180">
        <v>2225407</v>
      </c>
      <c r="T263" s="180">
        <v>16851697</v>
      </c>
      <c r="U263" s="180">
        <v>0</v>
      </c>
      <c r="V263" s="180">
        <v>0</v>
      </c>
      <c r="W263" s="180">
        <v>0</v>
      </c>
      <c r="X263" s="180">
        <v>9885363</v>
      </c>
      <c r="Y263" s="180">
        <v>1820790</v>
      </c>
      <c r="Z263" s="180">
        <v>70945475</v>
      </c>
      <c r="AA263" s="180">
        <v>13018851</v>
      </c>
      <c r="AB263" s="180">
        <v>312174</v>
      </c>
      <c r="AC263" s="180">
        <v>301825</v>
      </c>
      <c r="AD263" s="180">
        <v>1260280</v>
      </c>
      <c r="AE263" s="180">
        <v>1622755</v>
      </c>
      <c r="AF263" s="180">
        <v>525871</v>
      </c>
      <c r="AG263" s="180">
        <v>1179470</v>
      </c>
      <c r="AH263" s="180">
        <v>11127518</v>
      </c>
      <c r="AI263" s="180">
        <v>108331</v>
      </c>
      <c r="AJ263" s="180">
        <v>3168532</v>
      </c>
      <c r="AK263" s="180">
        <v>169561</v>
      </c>
      <c r="AL263" s="180">
        <v>1287650</v>
      </c>
      <c r="AM263" s="180">
        <v>5293216</v>
      </c>
      <c r="AN263" s="180">
        <v>356009</v>
      </c>
      <c r="AO263" s="180">
        <v>42448185</v>
      </c>
      <c r="AP263" s="180">
        <v>1258858</v>
      </c>
      <c r="AQ263" s="180">
        <v>101723</v>
      </c>
      <c r="AR263" s="180">
        <v>142669</v>
      </c>
      <c r="AS263" s="180">
        <v>34231698</v>
      </c>
      <c r="AT263" s="180">
        <v>279062</v>
      </c>
      <c r="AU263" s="180">
        <v>2930189</v>
      </c>
      <c r="AV263" s="180">
        <v>1875929</v>
      </c>
      <c r="AW263" s="180">
        <v>339535</v>
      </c>
      <c r="AX263" s="180">
        <v>359311</v>
      </c>
      <c r="AY263" s="180">
        <v>367745</v>
      </c>
      <c r="AZ263" s="180">
        <v>7301889</v>
      </c>
      <c r="BA263" s="180">
        <v>2175167</v>
      </c>
      <c r="BB263" s="180">
        <v>57262</v>
      </c>
      <c r="BC263" s="180">
        <v>332243</v>
      </c>
      <c r="BD263" s="180">
        <v>6649335</v>
      </c>
      <c r="BE263" s="180">
        <v>1415982</v>
      </c>
      <c r="BF263" s="180">
        <v>31181212</v>
      </c>
      <c r="BG263" s="180">
        <v>0</v>
      </c>
      <c r="BH263" s="180">
        <v>358912</v>
      </c>
      <c r="BI263" s="180">
        <v>238829</v>
      </c>
      <c r="BJ263" s="180">
        <v>16143324</v>
      </c>
      <c r="BK263" s="180">
        <v>1248829</v>
      </c>
      <c r="BL263" s="180">
        <v>21436643</v>
      </c>
      <c r="BM263" s="180">
        <v>5937174</v>
      </c>
      <c r="BN263" s="180">
        <v>7350708</v>
      </c>
      <c r="BO263" s="180">
        <v>1492314</v>
      </c>
      <c r="BP263" s="180">
        <v>0</v>
      </c>
      <c r="BQ263" s="180">
        <v>3359748</v>
      </c>
      <c r="BR263" s="180">
        <v>0</v>
      </c>
      <c r="BS263" s="180">
        <v>3979009</v>
      </c>
      <c r="BT263" s="180">
        <v>1289248</v>
      </c>
      <c r="BU263" s="180">
        <v>0</v>
      </c>
      <c r="BV263" s="180">
        <v>2626903</v>
      </c>
    </row>
    <row r="264" spans="1:74" s="180" customFormat="1" x14ac:dyDescent="0.3">
      <c r="A264" s="155">
        <v>9007</v>
      </c>
      <c r="B264" s="572" t="s">
        <v>1606</v>
      </c>
      <c r="C264" s="572" t="s">
        <v>1039</v>
      </c>
      <c r="D264" s="180">
        <v>1.458</v>
      </c>
      <c r="E264" s="180">
        <v>0.9768</v>
      </c>
      <c r="F264" s="180">
        <v>0</v>
      </c>
      <c r="G264" s="180">
        <v>0</v>
      </c>
      <c r="H264" s="180">
        <v>0.66669999999999996</v>
      </c>
      <c r="I264" s="180">
        <v>2.0432000000000001</v>
      </c>
      <c r="J264" s="180">
        <v>0</v>
      </c>
      <c r="K264" s="180">
        <v>6.9584999999999999</v>
      </c>
      <c r="L264" s="180">
        <v>0.44919999999999999</v>
      </c>
      <c r="M264" s="180">
        <v>0.44359999999999999</v>
      </c>
      <c r="N264" s="180">
        <v>9.4282000000000004</v>
      </c>
      <c r="O264" s="180">
        <v>2.1556999999999999</v>
      </c>
      <c r="P264" s="180">
        <v>0</v>
      </c>
      <c r="Q264" s="180">
        <v>1.9601999999999999</v>
      </c>
      <c r="R264" s="180">
        <v>0.77790000000000004</v>
      </c>
      <c r="S264" s="180">
        <v>0.5403</v>
      </c>
      <c r="T264" s="180">
        <v>0.38190000000000002</v>
      </c>
      <c r="U264" s="180">
        <v>0</v>
      </c>
      <c r="V264" s="180">
        <v>0</v>
      </c>
      <c r="W264" s="180">
        <v>0</v>
      </c>
      <c r="X264" s="180">
        <v>0.49580000000000002</v>
      </c>
      <c r="Y264" s="180">
        <v>0.94589999999999996</v>
      </c>
      <c r="Z264" s="180">
        <v>0.42770000000000002</v>
      </c>
      <c r="AA264" s="180">
        <v>0.61750000000000005</v>
      </c>
      <c r="AB264" s="180">
        <v>0.71809999999999996</v>
      </c>
      <c r="AC264" s="180">
        <v>1.7294</v>
      </c>
      <c r="AD264" s="180">
        <v>0.76590000000000003</v>
      </c>
      <c r="AE264" s="180">
        <v>1.2795000000000001</v>
      </c>
      <c r="AF264" s="180">
        <v>0.87450000000000006</v>
      </c>
      <c r="AG264" s="180">
        <v>0.33200000000000002</v>
      </c>
      <c r="AH264" s="180">
        <v>0.2838</v>
      </c>
      <c r="AI264" s="180">
        <v>3.0102000000000002</v>
      </c>
      <c r="AJ264" s="180">
        <v>1.1096999999999999</v>
      </c>
      <c r="AK264" s="180">
        <v>3.7544</v>
      </c>
      <c r="AL264" s="180">
        <v>0.62729999999999997</v>
      </c>
      <c r="AM264" s="180">
        <v>0.32529999999999998</v>
      </c>
      <c r="AN264" s="180">
        <v>1.8934</v>
      </c>
      <c r="AO264" s="180">
        <v>0.48180000000000001</v>
      </c>
      <c r="AP264" s="180">
        <v>1.1674</v>
      </c>
      <c r="AQ264" s="180">
        <v>6.7533000000000003</v>
      </c>
      <c r="AR264" s="180">
        <v>4.9819000000000004</v>
      </c>
      <c r="AS264" s="180">
        <v>0.66669999999999996</v>
      </c>
      <c r="AT264" s="180">
        <v>1.3834</v>
      </c>
      <c r="AU264" s="180">
        <v>2.1457000000000002</v>
      </c>
      <c r="AV264" s="180">
        <v>0.4597</v>
      </c>
      <c r="AW264" s="180">
        <v>1.1772</v>
      </c>
      <c r="AX264" s="180">
        <v>0.59899999999999998</v>
      </c>
      <c r="AY264" s="180">
        <v>1.304</v>
      </c>
      <c r="AZ264" s="180">
        <v>0.69569999999999999</v>
      </c>
      <c r="BA264" s="180">
        <v>0.46660000000000001</v>
      </c>
      <c r="BB264" s="180">
        <v>2.9114</v>
      </c>
      <c r="BC264" s="180">
        <v>4.2618</v>
      </c>
      <c r="BD264" s="180">
        <v>1.1133999999999999</v>
      </c>
      <c r="BE264" s="180">
        <v>0.73629999999999995</v>
      </c>
      <c r="BF264" s="180">
        <v>0.318</v>
      </c>
      <c r="BG264" s="180">
        <v>0</v>
      </c>
      <c r="BH264" s="180">
        <v>0.7671</v>
      </c>
      <c r="BI264" s="180">
        <v>1.9244000000000001</v>
      </c>
      <c r="BJ264" s="180">
        <v>0.752</v>
      </c>
      <c r="BK264" s="180">
        <v>1.2425999999999999</v>
      </c>
      <c r="BL264" s="180">
        <v>0.57230000000000003</v>
      </c>
      <c r="BM264" s="180">
        <v>1.5780000000000001</v>
      </c>
      <c r="BN264" s="180">
        <v>0.83930000000000005</v>
      </c>
      <c r="BO264" s="180">
        <v>1.8318000000000001</v>
      </c>
      <c r="BP264" s="180">
        <v>0</v>
      </c>
      <c r="BQ264" s="180">
        <v>0.7873</v>
      </c>
      <c r="BR264" s="180">
        <v>0</v>
      </c>
      <c r="BS264" s="180">
        <v>0.60709999999999997</v>
      </c>
      <c r="BT264" s="180">
        <v>1.1999</v>
      </c>
      <c r="BU264" s="180">
        <v>0</v>
      </c>
      <c r="BV264" s="180">
        <v>1.6268</v>
      </c>
    </row>
    <row r="265" spans="1:74" s="180" customFormat="1" x14ac:dyDescent="0.3">
      <c r="A265" s="155">
        <v>9008</v>
      </c>
      <c r="B265" s="572" t="s">
        <v>1040</v>
      </c>
      <c r="C265" s="180" t="s">
        <v>351</v>
      </c>
      <c r="D265" s="180">
        <v>0</v>
      </c>
      <c r="E265" s="180">
        <v>0</v>
      </c>
      <c r="F265" s="180">
        <v>0</v>
      </c>
      <c r="G265" s="180">
        <v>0</v>
      </c>
      <c r="H265" s="180">
        <v>0</v>
      </c>
      <c r="I265" s="180">
        <v>0</v>
      </c>
      <c r="J265" s="180">
        <v>0</v>
      </c>
      <c r="K265" s="180">
        <v>0</v>
      </c>
      <c r="L265" s="180">
        <v>0</v>
      </c>
      <c r="M265" s="180">
        <v>0</v>
      </c>
      <c r="N265" s="180">
        <v>0</v>
      </c>
      <c r="O265" s="180">
        <v>0</v>
      </c>
      <c r="P265" s="180">
        <v>0</v>
      </c>
      <c r="Q265" s="180">
        <v>0</v>
      </c>
      <c r="R265" s="180">
        <v>0</v>
      </c>
      <c r="S265" s="180">
        <v>0</v>
      </c>
      <c r="T265" s="180">
        <v>0</v>
      </c>
      <c r="U265" s="180">
        <v>0</v>
      </c>
      <c r="V265" s="180">
        <v>0</v>
      </c>
      <c r="W265" s="180">
        <v>0</v>
      </c>
      <c r="X265" s="180">
        <v>0</v>
      </c>
      <c r="Y265" s="180">
        <v>0</v>
      </c>
      <c r="Z265" s="180">
        <v>0</v>
      </c>
      <c r="AA265" s="180">
        <v>0</v>
      </c>
      <c r="AB265" s="180">
        <v>0</v>
      </c>
      <c r="AC265" s="180">
        <v>0</v>
      </c>
      <c r="AD265" s="180">
        <v>0</v>
      </c>
      <c r="AE265" s="180">
        <v>0</v>
      </c>
      <c r="AF265" s="180">
        <v>0</v>
      </c>
      <c r="AG265" s="180">
        <v>0</v>
      </c>
      <c r="AH265" s="180">
        <v>0</v>
      </c>
      <c r="AI265" s="180">
        <v>0</v>
      </c>
      <c r="AJ265" s="180">
        <v>0</v>
      </c>
      <c r="AK265" s="180">
        <v>0</v>
      </c>
      <c r="AL265" s="180">
        <v>0</v>
      </c>
      <c r="AM265" s="180">
        <v>0</v>
      </c>
      <c r="AN265" s="180">
        <v>0</v>
      </c>
      <c r="AO265" s="180">
        <v>0</v>
      </c>
      <c r="AP265" s="180">
        <v>0</v>
      </c>
      <c r="AQ265" s="180">
        <v>0</v>
      </c>
      <c r="AR265" s="180">
        <v>0</v>
      </c>
      <c r="AS265" s="180">
        <v>0</v>
      </c>
      <c r="AT265" s="180">
        <v>0</v>
      </c>
      <c r="AU265" s="180">
        <v>0</v>
      </c>
      <c r="AV265" s="180">
        <v>0</v>
      </c>
      <c r="AW265" s="180">
        <v>0</v>
      </c>
      <c r="AX265" s="180">
        <v>0</v>
      </c>
      <c r="AY265" s="180">
        <v>0</v>
      </c>
      <c r="AZ265" s="180">
        <v>0</v>
      </c>
      <c r="BA265" s="180">
        <v>0</v>
      </c>
      <c r="BB265" s="180">
        <v>0</v>
      </c>
      <c r="BC265" s="180">
        <v>0</v>
      </c>
      <c r="BD265" s="180">
        <v>0</v>
      </c>
      <c r="BE265" s="180">
        <v>0</v>
      </c>
      <c r="BF265" s="180">
        <v>0</v>
      </c>
      <c r="BG265" s="180">
        <v>0</v>
      </c>
      <c r="BH265" s="180">
        <v>0</v>
      </c>
      <c r="BI265" s="180">
        <v>0</v>
      </c>
      <c r="BJ265" s="180">
        <v>0</v>
      </c>
      <c r="BK265" s="180">
        <v>0</v>
      </c>
      <c r="BL265" s="180">
        <v>0</v>
      </c>
      <c r="BM265" s="180">
        <v>0</v>
      </c>
      <c r="BN265" s="180">
        <v>0</v>
      </c>
      <c r="BO265" s="180">
        <v>0</v>
      </c>
      <c r="BP265" s="180">
        <v>0</v>
      </c>
      <c r="BQ265" s="180">
        <v>0</v>
      </c>
      <c r="BR265" s="180">
        <v>0</v>
      </c>
      <c r="BS265" s="180">
        <v>0</v>
      </c>
      <c r="BT265" s="180">
        <v>0</v>
      </c>
      <c r="BU265" s="180">
        <v>0</v>
      </c>
      <c r="BV265" s="180">
        <v>0</v>
      </c>
    </row>
    <row r="266" spans="1:74" s="180" customFormat="1" x14ac:dyDescent="0.3">
      <c r="A266" s="155">
        <v>9010</v>
      </c>
      <c r="B266" s="572" t="s">
        <v>1041</v>
      </c>
      <c r="C266" s="572" t="s">
        <v>1042</v>
      </c>
      <c r="D266" s="180">
        <v>16.77</v>
      </c>
      <c r="E266" s="180">
        <v>11.09</v>
      </c>
      <c r="F266" s="180">
        <v>0</v>
      </c>
      <c r="G266" s="180">
        <v>0</v>
      </c>
      <c r="H266" s="180">
        <v>243.12</v>
      </c>
      <c r="I266" s="180">
        <v>0</v>
      </c>
      <c r="J266" s="180">
        <v>0</v>
      </c>
      <c r="K266" s="180">
        <v>0</v>
      </c>
      <c r="L266" s="180">
        <v>2.0099999999999998</v>
      </c>
      <c r="M266" s="180">
        <v>4.6500000000000004</v>
      </c>
      <c r="N266" s="180">
        <v>0</v>
      </c>
      <c r="O266" s="180">
        <v>20.69</v>
      </c>
      <c r="P266" s="180">
        <v>0</v>
      </c>
      <c r="Q266" s="180">
        <v>0</v>
      </c>
      <c r="R266" s="180">
        <v>0</v>
      </c>
      <c r="S266" s="180">
        <v>7.52</v>
      </c>
      <c r="T266" s="180">
        <v>0</v>
      </c>
      <c r="U266" s="180">
        <v>0</v>
      </c>
      <c r="V266" s="180">
        <v>0</v>
      </c>
      <c r="W266" s="180">
        <v>0</v>
      </c>
      <c r="X266" s="180">
        <v>16.63</v>
      </c>
      <c r="Y266" s="180">
        <v>0</v>
      </c>
      <c r="Z266" s="180">
        <v>9.66</v>
      </c>
      <c r="AA266" s="180">
        <v>0</v>
      </c>
      <c r="AB266" s="180">
        <v>0.8</v>
      </c>
      <c r="AC266" s="180">
        <v>1.34</v>
      </c>
      <c r="AD266" s="180">
        <v>11.75</v>
      </c>
      <c r="AE266" s="180">
        <v>1.1000000000000001</v>
      </c>
      <c r="AF266" s="180">
        <v>8.6</v>
      </c>
      <c r="AG266" s="180">
        <v>2.06</v>
      </c>
      <c r="AH266" s="180">
        <v>1.35</v>
      </c>
      <c r="AI266" s="180">
        <v>0</v>
      </c>
      <c r="AJ266" s="180">
        <v>0</v>
      </c>
      <c r="AK266" s="180">
        <v>0</v>
      </c>
      <c r="AL266" s="180">
        <v>10.38</v>
      </c>
      <c r="AM266" s="180">
        <v>6.84</v>
      </c>
      <c r="AN266" s="180">
        <v>10.16</v>
      </c>
      <c r="AO266" s="180">
        <v>4.3899999999999997</v>
      </c>
      <c r="AP266" s="180">
        <v>7.02</v>
      </c>
      <c r="AQ266" s="180">
        <v>0</v>
      </c>
      <c r="AR266" s="180">
        <v>4.33</v>
      </c>
      <c r="AS266" s="180">
        <v>3.85</v>
      </c>
      <c r="AT266" s="180">
        <v>10.79</v>
      </c>
      <c r="AU266" s="180">
        <v>25.17</v>
      </c>
      <c r="AV266" s="180">
        <v>9.6300000000000008</v>
      </c>
      <c r="AW266" s="180">
        <v>10.71</v>
      </c>
      <c r="AX266" s="180">
        <v>0</v>
      </c>
      <c r="AY266" s="180">
        <v>0</v>
      </c>
      <c r="AZ266" s="180">
        <v>22.35</v>
      </c>
      <c r="BA266" s="180">
        <v>8.3699999999999992</v>
      </c>
      <c r="BB266" s="180">
        <v>29.95</v>
      </c>
      <c r="BC266" s="180">
        <v>233.58</v>
      </c>
      <c r="BD266" s="180">
        <v>35.56</v>
      </c>
      <c r="BE266" s="180">
        <v>2.48</v>
      </c>
      <c r="BF266" s="180">
        <v>4.6900000000000004</v>
      </c>
      <c r="BG266" s="180">
        <v>0</v>
      </c>
      <c r="BH266" s="180">
        <v>0</v>
      </c>
      <c r="BI266" s="180">
        <v>26.14</v>
      </c>
      <c r="BJ266" s="180">
        <v>14.5</v>
      </c>
      <c r="BK266" s="180">
        <v>7.27</v>
      </c>
      <c r="BL266" s="180">
        <v>13.34</v>
      </c>
      <c r="BM266" s="180">
        <v>0</v>
      </c>
      <c r="BN266" s="180">
        <v>8.83</v>
      </c>
      <c r="BO266" s="180">
        <v>6.25</v>
      </c>
      <c r="BP266" s="180">
        <v>0</v>
      </c>
      <c r="BQ266" s="180">
        <v>0</v>
      </c>
      <c r="BR266" s="180">
        <v>0</v>
      </c>
      <c r="BS266" s="180">
        <v>1.63</v>
      </c>
      <c r="BT266" s="180">
        <v>5.09</v>
      </c>
      <c r="BU266" s="180">
        <v>0</v>
      </c>
      <c r="BV266" s="180">
        <v>1.18</v>
      </c>
    </row>
    <row r="267" spans="1:74" s="180" customFormat="1" x14ac:dyDescent="0.3">
      <c r="A267" s="155">
        <v>9011</v>
      </c>
      <c r="B267" s="572" t="s">
        <v>1708</v>
      </c>
      <c r="C267" s="572" t="s">
        <v>1043</v>
      </c>
      <c r="D267" s="180">
        <v>545100</v>
      </c>
      <c r="E267" s="180">
        <v>109313747</v>
      </c>
      <c r="F267" s="180">
        <v>0</v>
      </c>
      <c r="G267" s="180">
        <v>0</v>
      </c>
      <c r="H267" s="180">
        <v>465271</v>
      </c>
      <c r="I267" s="180">
        <v>0</v>
      </c>
      <c r="J267" s="180">
        <v>0</v>
      </c>
      <c r="K267" s="180">
        <v>0</v>
      </c>
      <c r="L267" s="180">
        <v>120793</v>
      </c>
      <c r="M267" s="180">
        <v>552719</v>
      </c>
      <c r="N267" s="180">
        <v>0</v>
      </c>
      <c r="O267" s="180">
        <v>95093</v>
      </c>
      <c r="P267" s="180">
        <v>0</v>
      </c>
      <c r="Q267" s="180">
        <v>0</v>
      </c>
      <c r="R267" s="180">
        <v>0</v>
      </c>
      <c r="S267" s="180">
        <v>87631</v>
      </c>
      <c r="T267" s="180">
        <v>0</v>
      </c>
      <c r="U267" s="180">
        <v>0</v>
      </c>
      <c r="V267" s="180">
        <v>0</v>
      </c>
      <c r="W267" s="180">
        <v>0</v>
      </c>
      <c r="X267" s="180">
        <v>965588</v>
      </c>
      <c r="Y267" s="180">
        <v>0</v>
      </c>
      <c r="Z267" s="180">
        <v>-283932</v>
      </c>
      <c r="AA267" s="180">
        <v>0</v>
      </c>
      <c r="AB267" s="180">
        <v>-72278</v>
      </c>
      <c r="AC267" s="180">
        <v>-75909</v>
      </c>
      <c r="AD267" s="180">
        <v>126237</v>
      </c>
      <c r="AE267" s="180">
        <v>-198012</v>
      </c>
      <c r="AF267" s="180">
        <v>230558</v>
      </c>
      <c r="AG267" s="180">
        <v>-58953</v>
      </c>
      <c r="AH267" s="180">
        <v>-1060610</v>
      </c>
      <c r="AI267" s="180">
        <v>0</v>
      </c>
      <c r="AJ267" s="180">
        <v>0</v>
      </c>
      <c r="AK267" s="180">
        <v>0</v>
      </c>
      <c r="AL267" s="180">
        <v>30117</v>
      </c>
      <c r="AM267" s="180">
        <v>45418</v>
      </c>
      <c r="AN267" s="180">
        <v>50473</v>
      </c>
      <c r="AO267" s="180">
        <v>8045157</v>
      </c>
      <c r="AP267" s="180">
        <v>349964</v>
      </c>
      <c r="AQ267" s="180">
        <v>0</v>
      </c>
      <c r="AR267" s="180">
        <v>12212</v>
      </c>
      <c r="AS267" s="180">
        <v>1968216</v>
      </c>
      <c r="AT267" s="180">
        <v>56630</v>
      </c>
      <c r="AU267" s="180">
        <v>325348</v>
      </c>
      <c r="AV267" s="180">
        <v>492138</v>
      </c>
      <c r="AW267" s="180">
        <v>366209</v>
      </c>
      <c r="AX267" s="180">
        <v>0</v>
      </c>
      <c r="AY267" s="180">
        <v>0</v>
      </c>
      <c r="AZ267" s="180">
        <v>1579960</v>
      </c>
      <c r="BA267" s="180">
        <v>103973</v>
      </c>
      <c r="BB267" s="180">
        <v>170199</v>
      </c>
      <c r="BC267" s="180">
        <v>41964</v>
      </c>
      <c r="BD267" s="180">
        <v>2880467</v>
      </c>
      <c r="BE267" s="180">
        <v>49851</v>
      </c>
      <c r="BF267" s="180">
        <v>387585</v>
      </c>
      <c r="BG267" s="180">
        <v>0</v>
      </c>
      <c r="BH267" s="180">
        <v>0</v>
      </c>
      <c r="BI267" s="180">
        <v>110892</v>
      </c>
      <c r="BJ267" s="180">
        <v>3191149</v>
      </c>
      <c r="BK267" s="180">
        <v>4787</v>
      </c>
      <c r="BL267" s="180">
        <v>3093175</v>
      </c>
      <c r="BM267" s="180">
        <v>0</v>
      </c>
      <c r="BN267" s="180">
        <v>1810869</v>
      </c>
      <c r="BO267" s="180">
        <v>246436</v>
      </c>
      <c r="BP267" s="180">
        <v>0</v>
      </c>
      <c r="BQ267" s="180">
        <v>0</v>
      </c>
      <c r="BR267" s="180">
        <v>0</v>
      </c>
      <c r="BS267" s="180">
        <v>-390219</v>
      </c>
      <c r="BT267" s="180">
        <v>-204387</v>
      </c>
      <c r="BU267" s="180">
        <v>0</v>
      </c>
      <c r="BV267" s="180">
        <v>147710</v>
      </c>
    </row>
    <row r="268" spans="1:74" s="180" customFormat="1" x14ac:dyDescent="0.3">
      <c r="A268" s="155">
        <v>9012</v>
      </c>
      <c r="B268" s="572" t="s">
        <v>1709</v>
      </c>
      <c r="C268" s="572" t="s">
        <v>1043</v>
      </c>
      <c r="D268" s="180">
        <v>3.3039999999999998</v>
      </c>
      <c r="E268" s="180">
        <v>2.8374999999999999</v>
      </c>
      <c r="F268" s="180">
        <v>0</v>
      </c>
      <c r="G268" s="180">
        <v>0</v>
      </c>
      <c r="H268" s="180">
        <v>0.90210000000000001</v>
      </c>
      <c r="I268" s="180">
        <v>0</v>
      </c>
      <c r="J268" s="180">
        <v>0</v>
      </c>
      <c r="K268" s="180">
        <v>0</v>
      </c>
      <c r="L268" s="180">
        <v>0.22090000000000001</v>
      </c>
      <c r="M268" s="180">
        <v>0.83209999999999995</v>
      </c>
      <c r="N268" s="180">
        <v>0</v>
      </c>
      <c r="O268" s="180">
        <v>2.2616000000000001</v>
      </c>
      <c r="P268" s="180">
        <v>0</v>
      </c>
      <c r="Q268" s="180">
        <v>0</v>
      </c>
      <c r="R268" s="180">
        <v>0</v>
      </c>
      <c r="S268" s="180">
        <v>1.7327999999999999</v>
      </c>
      <c r="T268" s="180">
        <v>0</v>
      </c>
      <c r="U268" s="180">
        <v>0</v>
      </c>
      <c r="V268" s="180">
        <v>0</v>
      </c>
      <c r="W268" s="180">
        <v>0</v>
      </c>
      <c r="X268" s="180">
        <v>0.64239999999999997</v>
      </c>
      <c r="Y268" s="180">
        <v>0</v>
      </c>
      <c r="Z268" s="180">
        <v>0.60140000000000005</v>
      </c>
      <c r="AA268" s="180">
        <v>0</v>
      </c>
      <c r="AB268" s="180">
        <v>0</v>
      </c>
      <c r="AC268" s="180">
        <v>0.41399999999999998</v>
      </c>
      <c r="AD268" s="180">
        <v>0.91700000000000004</v>
      </c>
      <c r="AE268" s="180">
        <v>0.52449999999999997</v>
      </c>
      <c r="AF268" s="180">
        <v>0.7056</v>
      </c>
      <c r="AG268" s="180">
        <v>0.17330000000000001</v>
      </c>
      <c r="AH268" s="180">
        <v>0.39579999999999999</v>
      </c>
      <c r="AI268" s="180">
        <v>0</v>
      </c>
      <c r="AJ268" s="180">
        <v>0</v>
      </c>
      <c r="AK268" s="180">
        <v>0</v>
      </c>
      <c r="AL268" s="180">
        <v>1.3931</v>
      </c>
      <c r="AM268" s="180">
        <v>0.81399999999999995</v>
      </c>
      <c r="AN268" s="180">
        <v>0.67130000000000001</v>
      </c>
      <c r="AO268" s="180">
        <v>1.5559000000000001</v>
      </c>
      <c r="AP268" s="180">
        <v>0.66020000000000001</v>
      </c>
      <c r="AQ268" s="180">
        <v>0</v>
      </c>
      <c r="AR268" s="180">
        <v>1.68</v>
      </c>
      <c r="AS268" s="180">
        <v>0.67520000000000002</v>
      </c>
      <c r="AT268" s="180">
        <v>3.0998999999999999</v>
      </c>
      <c r="AU268" s="180">
        <v>6.1814</v>
      </c>
      <c r="AV268" s="180">
        <v>0.53580000000000005</v>
      </c>
      <c r="AW268" s="180">
        <v>1.4668000000000001</v>
      </c>
      <c r="AX268" s="180">
        <v>0</v>
      </c>
      <c r="AY268" s="180">
        <v>0</v>
      </c>
      <c r="AZ268" s="180">
        <v>1.5866</v>
      </c>
      <c r="BA268" s="180">
        <v>1.7428999999999999</v>
      </c>
      <c r="BB268" s="180">
        <v>1.9849000000000001</v>
      </c>
      <c r="BC268" s="180">
        <v>10.9033</v>
      </c>
      <c r="BD268" s="180">
        <v>2.1215000000000002</v>
      </c>
      <c r="BE268" s="180">
        <v>0.1716</v>
      </c>
      <c r="BF268" s="180">
        <v>0.94469999999999998</v>
      </c>
      <c r="BG268" s="180">
        <v>0</v>
      </c>
      <c r="BH268" s="180">
        <v>0</v>
      </c>
      <c r="BI268" s="180">
        <v>6.6462000000000003</v>
      </c>
      <c r="BJ268" s="180">
        <v>2.0876999999999999</v>
      </c>
      <c r="BK268" s="180">
        <v>0.84570000000000001</v>
      </c>
      <c r="BL268" s="180">
        <v>2.2589999999999999</v>
      </c>
      <c r="BM268" s="180">
        <v>0</v>
      </c>
      <c r="BN268" s="180">
        <v>1.1647000000000001</v>
      </c>
      <c r="BO268" s="180">
        <v>0.94210000000000005</v>
      </c>
      <c r="BP268" s="180">
        <v>0</v>
      </c>
      <c r="BQ268" s="180">
        <v>0</v>
      </c>
      <c r="BR268" s="180">
        <v>0</v>
      </c>
      <c r="BS268" s="180">
        <v>0.4355</v>
      </c>
      <c r="BT268" s="180">
        <v>0.7984</v>
      </c>
      <c r="BU268" s="180">
        <v>0</v>
      </c>
      <c r="BV268" s="180">
        <v>9.0399999999999994E-2</v>
      </c>
    </row>
    <row r="269" spans="1:74" s="180" customFormat="1" x14ac:dyDescent="0.3">
      <c r="A269" s="155">
        <v>9013</v>
      </c>
      <c r="B269" s="557" t="s">
        <v>1044</v>
      </c>
      <c r="C269" s="557" t="s">
        <v>1045</v>
      </c>
      <c r="D269" s="180">
        <v>16.77</v>
      </c>
      <c r="E269" s="180">
        <v>11.09</v>
      </c>
      <c r="F269" s="180">
        <v>0</v>
      </c>
      <c r="G269" s="180">
        <v>0</v>
      </c>
      <c r="H269" s="180">
        <v>243.12</v>
      </c>
      <c r="I269" s="180">
        <v>0</v>
      </c>
      <c r="J269" s="180">
        <v>0</v>
      </c>
      <c r="K269" s="180">
        <v>0</v>
      </c>
      <c r="L269" s="180">
        <v>2.0099999999999998</v>
      </c>
      <c r="M269" s="180">
        <v>4.6500000000000004</v>
      </c>
      <c r="N269" s="180">
        <v>0</v>
      </c>
      <c r="O269" s="180">
        <v>20.69</v>
      </c>
      <c r="P269" s="180">
        <v>0</v>
      </c>
      <c r="Q269" s="180">
        <v>0</v>
      </c>
      <c r="R269" s="180">
        <v>0</v>
      </c>
      <c r="S269" s="180">
        <v>7.52</v>
      </c>
      <c r="T269" s="180">
        <v>0</v>
      </c>
      <c r="U269" s="180">
        <v>0</v>
      </c>
      <c r="V269" s="180">
        <v>0</v>
      </c>
      <c r="W269" s="180">
        <v>0</v>
      </c>
      <c r="X269" s="180">
        <v>16.63</v>
      </c>
      <c r="Y269" s="180">
        <v>0</v>
      </c>
      <c r="Z269" s="180">
        <v>9.66</v>
      </c>
      <c r="AA269" s="180">
        <v>0</v>
      </c>
      <c r="AB269" s="180">
        <v>0.8</v>
      </c>
      <c r="AC269" s="180">
        <v>1.34</v>
      </c>
      <c r="AD269" s="180">
        <v>11.75</v>
      </c>
      <c r="AE269" s="180">
        <v>1.1000000000000001</v>
      </c>
      <c r="AF269" s="180">
        <v>8.6</v>
      </c>
      <c r="AG269" s="180">
        <v>2.06</v>
      </c>
      <c r="AH269" s="180">
        <v>1.35</v>
      </c>
      <c r="AI269" s="180">
        <v>0</v>
      </c>
      <c r="AJ269" s="180">
        <v>0</v>
      </c>
      <c r="AK269" s="180">
        <v>0</v>
      </c>
      <c r="AL269" s="180">
        <v>10.38</v>
      </c>
      <c r="AM269" s="180">
        <v>6.84</v>
      </c>
      <c r="AN269" s="180">
        <v>10.16</v>
      </c>
      <c r="AO269" s="180">
        <v>4.3899999999999997</v>
      </c>
      <c r="AP269" s="180">
        <v>7.02</v>
      </c>
      <c r="AQ269" s="180">
        <v>0</v>
      </c>
      <c r="AR269" s="180">
        <v>4.33</v>
      </c>
      <c r="AS269" s="180">
        <v>3.85</v>
      </c>
      <c r="AT269" s="180">
        <v>10.79</v>
      </c>
      <c r="AU269" s="180">
        <v>25.17</v>
      </c>
      <c r="AV269" s="180">
        <v>9.6300000000000008</v>
      </c>
      <c r="AW269" s="180">
        <v>10.71</v>
      </c>
      <c r="AX269" s="180">
        <v>0</v>
      </c>
      <c r="AY269" s="180">
        <v>0</v>
      </c>
      <c r="AZ269" s="180">
        <v>22.35</v>
      </c>
      <c r="BA269" s="180">
        <v>8.3699999999999992</v>
      </c>
      <c r="BB269" s="180">
        <v>29.95</v>
      </c>
      <c r="BC269" s="180">
        <v>233.58</v>
      </c>
      <c r="BD269" s="180">
        <v>35.56</v>
      </c>
      <c r="BE269" s="180">
        <v>2.48</v>
      </c>
      <c r="BF269" s="180">
        <v>4.6900000000000004</v>
      </c>
      <c r="BG269" s="180">
        <v>0</v>
      </c>
      <c r="BH269" s="180">
        <v>0</v>
      </c>
      <c r="BI269" s="180">
        <v>26.14</v>
      </c>
      <c r="BJ269" s="180">
        <v>14.5</v>
      </c>
      <c r="BK269" s="180">
        <v>7.27</v>
      </c>
      <c r="BL269" s="180">
        <v>13.34</v>
      </c>
      <c r="BM269" s="180">
        <v>0</v>
      </c>
      <c r="BN269" s="180">
        <v>8.83</v>
      </c>
      <c r="BO269" s="180">
        <v>6.25</v>
      </c>
      <c r="BP269" s="180">
        <v>0</v>
      </c>
      <c r="BQ269" s="180">
        <v>0</v>
      </c>
      <c r="BR269" s="180">
        <v>0</v>
      </c>
      <c r="BS269" s="180">
        <v>1.63</v>
      </c>
      <c r="BT269" s="180">
        <v>5.09</v>
      </c>
      <c r="BU269" s="180">
        <v>0</v>
      </c>
      <c r="BV269" s="180">
        <v>1.18</v>
      </c>
    </row>
    <row r="270" spans="1:74" s="180" customFormat="1" x14ac:dyDescent="0.3">
      <c r="A270" s="155">
        <v>9014</v>
      </c>
      <c r="B270" s="572" t="s">
        <v>1046</v>
      </c>
      <c r="C270" s="572" t="s">
        <v>1047</v>
      </c>
      <c r="D270" s="180">
        <v>0</v>
      </c>
      <c r="E270" s="180">
        <v>0</v>
      </c>
      <c r="F270" s="180">
        <v>0</v>
      </c>
      <c r="G270" s="180">
        <v>0</v>
      </c>
      <c r="H270" s="180">
        <v>0</v>
      </c>
      <c r="I270" s="180">
        <v>0</v>
      </c>
      <c r="J270" s="180">
        <v>0</v>
      </c>
      <c r="K270" s="180">
        <v>0</v>
      </c>
      <c r="L270" s="180">
        <v>1.9</v>
      </c>
      <c r="M270" s="180">
        <v>0</v>
      </c>
      <c r="N270" s="180">
        <v>0</v>
      </c>
      <c r="O270" s="180">
        <v>0</v>
      </c>
      <c r="P270" s="180">
        <v>0</v>
      </c>
      <c r="Q270" s="180">
        <v>0</v>
      </c>
      <c r="R270" s="180">
        <v>0</v>
      </c>
      <c r="S270" s="180">
        <v>0</v>
      </c>
      <c r="T270" s="180">
        <v>0</v>
      </c>
      <c r="U270" s="180">
        <v>0</v>
      </c>
      <c r="V270" s="180">
        <v>0</v>
      </c>
      <c r="W270" s="180">
        <v>0</v>
      </c>
      <c r="X270" s="180">
        <v>0</v>
      </c>
      <c r="Y270" s="180">
        <v>0</v>
      </c>
      <c r="Z270" s="180">
        <v>5.68</v>
      </c>
      <c r="AA270" s="180">
        <v>0</v>
      </c>
      <c r="AB270" s="180">
        <v>0</v>
      </c>
      <c r="AC270" s="180">
        <v>0</v>
      </c>
      <c r="AD270" s="180">
        <v>0</v>
      </c>
      <c r="AE270" s="180">
        <v>0</v>
      </c>
      <c r="AF270" s="180">
        <v>0</v>
      </c>
      <c r="AG270" s="180">
        <v>0</v>
      </c>
      <c r="AH270" s="180">
        <v>0</v>
      </c>
      <c r="AI270" s="180">
        <v>0</v>
      </c>
      <c r="AJ270" s="180">
        <v>0</v>
      </c>
      <c r="AK270" s="180">
        <v>0</v>
      </c>
      <c r="AL270" s="180">
        <v>0</v>
      </c>
      <c r="AM270" s="180">
        <v>0</v>
      </c>
      <c r="AN270" s="180">
        <v>0</v>
      </c>
      <c r="AO270" s="180">
        <v>0</v>
      </c>
      <c r="AP270" s="180">
        <v>0</v>
      </c>
      <c r="AQ270" s="180">
        <v>0</v>
      </c>
      <c r="AR270" s="180">
        <v>0</v>
      </c>
      <c r="AS270" s="180">
        <v>0</v>
      </c>
      <c r="AT270" s="180">
        <v>0</v>
      </c>
      <c r="AU270" s="180">
        <v>0</v>
      </c>
      <c r="AV270" s="180">
        <v>7.36</v>
      </c>
      <c r="AW270" s="180">
        <v>0</v>
      </c>
      <c r="AX270" s="180">
        <v>0</v>
      </c>
      <c r="AY270" s="180">
        <v>0</v>
      </c>
      <c r="AZ270" s="180">
        <v>4.6900000000000004</v>
      </c>
      <c r="BA270" s="180">
        <v>0</v>
      </c>
      <c r="BB270" s="180">
        <v>0</v>
      </c>
      <c r="BC270" s="180">
        <v>0</v>
      </c>
      <c r="BD270" s="180">
        <v>0</v>
      </c>
      <c r="BE270" s="180">
        <v>11.53</v>
      </c>
      <c r="BF270" s="180">
        <v>4.8499999999999996</v>
      </c>
      <c r="BG270" s="180">
        <v>0</v>
      </c>
      <c r="BH270" s="180">
        <v>0</v>
      </c>
      <c r="BI270" s="180">
        <v>0</v>
      </c>
      <c r="BJ270" s="180">
        <v>6.36</v>
      </c>
      <c r="BK270" s="180">
        <v>0</v>
      </c>
      <c r="BL270" s="180">
        <v>0</v>
      </c>
      <c r="BM270" s="180">
        <v>0</v>
      </c>
      <c r="BN270" s="180">
        <v>10.039999999999999</v>
      </c>
      <c r="BO270" s="180">
        <v>0</v>
      </c>
      <c r="BP270" s="180">
        <v>0</v>
      </c>
      <c r="BQ270" s="180">
        <v>0</v>
      </c>
      <c r="BR270" s="180">
        <v>0</v>
      </c>
      <c r="BS270" s="180">
        <v>0</v>
      </c>
      <c r="BT270" s="180">
        <v>0</v>
      </c>
      <c r="BU270" s="180">
        <v>0</v>
      </c>
      <c r="BV270" s="180">
        <v>0</v>
      </c>
    </row>
    <row r="271" spans="1:74" s="180" customFormat="1" x14ac:dyDescent="0.3">
      <c r="A271" s="155">
        <v>9015</v>
      </c>
      <c r="B271" s="572" t="s">
        <v>1710</v>
      </c>
      <c r="C271" s="572" t="s">
        <v>351</v>
      </c>
      <c r="D271" s="180">
        <v>0</v>
      </c>
      <c r="E271" s="180">
        <v>0</v>
      </c>
      <c r="F271" s="180">
        <v>0</v>
      </c>
      <c r="G271" s="180">
        <v>0</v>
      </c>
      <c r="H271" s="180">
        <v>0</v>
      </c>
      <c r="I271" s="180">
        <v>0</v>
      </c>
      <c r="J271" s="180">
        <v>0</v>
      </c>
      <c r="K271" s="180">
        <v>0</v>
      </c>
      <c r="L271" s="180">
        <v>-239402</v>
      </c>
      <c r="M271" s="180">
        <v>0</v>
      </c>
      <c r="N271" s="180">
        <v>0</v>
      </c>
      <c r="O271" s="180">
        <v>0</v>
      </c>
      <c r="P271" s="180">
        <v>0</v>
      </c>
      <c r="Q271" s="180">
        <v>0</v>
      </c>
      <c r="R271" s="180">
        <v>0</v>
      </c>
      <c r="S271" s="180">
        <v>0</v>
      </c>
      <c r="T271" s="180">
        <v>0</v>
      </c>
      <c r="U271" s="180">
        <v>0</v>
      </c>
      <c r="V271" s="180">
        <v>0</v>
      </c>
      <c r="W271" s="180">
        <v>0</v>
      </c>
      <c r="X271" s="180">
        <v>0</v>
      </c>
      <c r="Y271" s="180">
        <v>0</v>
      </c>
      <c r="Z271" s="180">
        <v>3515016</v>
      </c>
      <c r="AA271" s="180">
        <v>0</v>
      </c>
      <c r="AB271" s="180">
        <v>0</v>
      </c>
      <c r="AC271" s="180">
        <v>0</v>
      </c>
      <c r="AD271" s="180">
        <v>0</v>
      </c>
      <c r="AE271" s="180">
        <v>0</v>
      </c>
      <c r="AF271" s="180">
        <v>0</v>
      </c>
      <c r="AG271" s="180">
        <v>0</v>
      </c>
      <c r="AH271" s="180">
        <v>0</v>
      </c>
      <c r="AI271" s="180">
        <v>0</v>
      </c>
      <c r="AJ271" s="180">
        <v>0</v>
      </c>
      <c r="AK271" s="180">
        <v>0</v>
      </c>
      <c r="AL271" s="180">
        <v>0</v>
      </c>
      <c r="AM271" s="180">
        <v>0</v>
      </c>
      <c r="AN271" s="180">
        <v>0</v>
      </c>
      <c r="AO271" s="180">
        <v>0</v>
      </c>
      <c r="AP271" s="180">
        <v>0</v>
      </c>
      <c r="AQ271" s="180">
        <v>0</v>
      </c>
      <c r="AR271" s="180">
        <v>0</v>
      </c>
      <c r="AS271" s="180">
        <v>0</v>
      </c>
      <c r="AT271" s="180">
        <v>0</v>
      </c>
      <c r="AU271" s="180">
        <v>0</v>
      </c>
      <c r="AV271" s="180">
        <v>511359</v>
      </c>
      <c r="AW271" s="180">
        <v>0</v>
      </c>
      <c r="AX271" s="180">
        <v>0</v>
      </c>
      <c r="AY271" s="180">
        <v>0</v>
      </c>
      <c r="AZ271" s="180">
        <v>1096813</v>
      </c>
      <c r="BA271" s="180">
        <v>0</v>
      </c>
      <c r="BB271" s="180">
        <v>0</v>
      </c>
      <c r="BC271" s="180">
        <v>0</v>
      </c>
      <c r="BD271" s="180">
        <v>0</v>
      </c>
      <c r="BE271" s="180">
        <v>-21869</v>
      </c>
      <c r="BF271" s="180">
        <v>4168482</v>
      </c>
      <c r="BG271" s="180">
        <v>0</v>
      </c>
      <c r="BH271" s="180">
        <v>0</v>
      </c>
      <c r="BI271" s="180">
        <v>0</v>
      </c>
      <c r="BJ271" s="180">
        <v>1198107</v>
      </c>
      <c r="BK271" s="180">
        <v>0</v>
      </c>
      <c r="BL271" s="180">
        <v>0</v>
      </c>
      <c r="BM271" s="180">
        <v>0</v>
      </c>
      <c r="BN271" s="180">
        <v>975152</v>
      </c>
      <c r="BO271" s="180">
        <v>0</v>
      </c>
      <c r="BP271" s="180">
        <v>0</v>
      </c>
      <c r="BQ271" s="180">
        <v>0</v>
      </c>
      <c r="BR271" s="180">
        <v>0</v>
      </c>
      <c r="BS271" s="180">
        <v>0</v>
      </c>
      <c r="BT271" s="180">
        <v>0</v>
      </c>
      <c r="BU271" s="180">
        <v>0</v>
      </c>
      <c r="BV271" s="180">
        <v>0</v>
      </c>
    </row>
    <row r="272" spans="1:74" s="180" customFormat="1" x14ac:dyDescent="0.3">
      <c r="A272" s="155">
        <v>9016</v>
      </c>
      <c r="B272" s="572" t="s">
        <v>1711</v>
      </c>
      <c r="C272" s="572" t="s">
        <v>351</v>
      </c>
      <c r="D272" s="180">
        <v>0</v>
      </c>
      <c r="E272" s="180">
        <v>0</v>
      </c>
      <c r="F272" s="180">
        <v>0</v>
      </c>
      <c r="G272" s="180">
        <v>0</v>
      </c>
      <c r="H272" s="180">
        <v>0</v>
      </c>
      <c r="I272" s="180">
        <v>0</v>
      </c>
      <c r="J272" s="180">
        <v>0</v>
      </c>
      <c r="K272" s="180">
        <v>0</v>
      </c>
      <c r="L272" s="180">
        <v>8.0199999999999994E-2</v>
      </c>
      <c r="M272" s="180">
        <v>0</v>
      </c>
      <c r="N272" s="180">
        <v>0</v>
      </c>
      <c r="O272" s="180">
        <v>0</v>
      </c>
      <c r="P272" s="180">
        <v>0</v>
      </c>
      <c r="Q272" s="180">
        <v>0</v>
      </c>
      <c r="R272" s="180">
        <v>0</v>
      </c>
      <c r="S272" s="180">
        <v>0</v>
      </c>
      <c r="T272" s="180">
        <v>0</v>
      </c>
      <c r="U272" s="180">
        <v>0</v>
      </c>
      <c r="V272" s="180">
        <v>0</v>
      </c>
      <c r="W272" s="180">
        <v>0</v>
      </c>
      <c r="X272" s="180">
        <v>0</v>
      </c>
      <c r="Y272" s="180">
        <v>0</v>
      </c>
      <c r="Z272" s="180">
        <v>0.51819999999999999</v>
      </c>
      <c r="AA272" s="180">
        <v>0</v>
      </c>
      <c r="AB272" s="180">
        <v>0</v>
      </c>
      <c r="AC272" s="180">
        <v>0</v>
      </c>
      <c r="AD272" s="180">
        <v>0</v>
      </c>
      <c r="AE272" s="180">
        <v>0</v>
      </c>
      <c r="AF272" s="180">
        <v>0</v>
      </c>
      <c r="AG272" s="180">
        <v>0</v>
      </c>
      <c r="AH272" s="180">
        <v>0</v>
      </c>
      <c r="AI272" s="180">
        <v>0</v>
      </c>
      <c r="AJ272" s="180">
        <v>0</v>
      </c>
      <c r="AK272" s="180">
        <v>0</v>
      </c>
      <c r="AL272" s="180">
        <v>0</v>
      </c>
      <c r="AM272" s="180">
        <v>0</v>
      </c>
      <c r="AN272" s="180">
        <v>0</v>
      </c>
      <c r="AO272" s="180">
        <v>0</v>
      </c>
      <c r="AP272" s="180">
        <v>0</v>
      </c>
      <c r="AQ272" s="180">
        <v>0</v>
      </c>
      <c r="AR272" s="180">
        <v>0</v>
      </c>
      <c r="AS272" s="180">
        <v>0</v>
      </c>
      <c r="AT272" s="180">
        <v>0</v>
      </c>
      <c r="AU272" s="180">
        <v>0</v>
      </c>
      <c r="AV272" s="180">
        <v>0.60750000000000004</v>
      </c>
      <c r="AW272" s="180">
        <v>0</v>
      </c>
      <c r="AX272" s="180">
        <v>0</v>
      </c>
      <c r="AY272" s="180">
        <v>0</v>
      </c>
      <c r="AZ272" s="180">
        <v>0.41039999999999999</v>
      </c>
      <c r="BA272" s="180">
        <v>0</v>
      </c>
      <c r="BB272" s="180">
        <v>0</v>
      </c>
      <c r="BC272" s="180">
        <v>0</v>
      </c>
      <c r="BD272" s="180">
        <v>0</v>
      </c>
      <c r="BE272" s="180">
        <v>0.92500000000000004</v>
      </c>
      <c r="BF272" s="180">
        <v>0.41720000000000002</v>
      </c>
      <c r="BG272" s="180">
        <v>0</v>
      </c>
      <c r="BH272" s="180">
        <v>0</v>
      </c>
      <c r="BI272" s="180">
        <v>0</v>
      </c>
      <c r="BJ272" s="180">
        <v>0.77639999999999998</v>
      </c>
      <c r="BK272" s="180">
        <v>0</v>
      </c>
      <c r="BL272" s="180">
        <v>0</v>
      </c>
      <c r="BM272" s="180">
        <v>0</v>
      </c>
      <c r="BN272" s="180">
        <v>1.0497000000000001</v>
      </c>
      <c r="BO272" s="180">
        <v>0</v>
      </c>
      <c r="BP272" s="180">
        <v>0</v>
      </c>
      <c r="BQ272" s="180">
        <v>0</v>
      </c>
      <c r="BR272" s="180">
        <v>0</v>
      </c>
      <c r="BS272" s="180">
        <v>0</v>
      </c>
      <c r="BT272" s="180">
        <v>0</v>
      </c>
      <c r="BU272" s="180">
        <v>0</v>
      </c>
      <c r="BV272" s="180">
        <v>0</v>
      </c>
    </row>
    <row r="273" spans="1:104" s="180" customFormat="1" x14ac:dyDescent="0.3">
      <c r="A273" s="155">
        <v>9017</v>
      </c>
      <c r="B273" s="557" t="s">
        <v>1048</v>
      </c>
      <c r="C273" s="557" t="s">
        <v>1049</v>
      </c>
      <c r="D273" s="180">
        <v>0</v>
      </c>
      <c r="E273" s="180">
        <v>0</v>
      </c>
      <c r="F273" s="180">
        <v>0</v>
      </c>
      <c r="G273" s="180">
        <v>0</v>
      </c>
      <c r="H273" s="180">
        <v>0</v>
      </c>
      <c r="I273" s="180">
        <v>0</v>
      </c>
      <c r="J273" s="180">
        <v>0</v>
      </c>
      <c r="K273" s="180">
        <v>0</v>
      </c>
      <c r="L273" s="180">
        <v>1.9</v>
      </c>
      <c r="M273" s="180">
        <v>0</v>
      </c>
      <c r="N273" s="180">
        <v>0</v>
      </c>
      <c r="O273" s="180">
        <v>0</v>
      </c>
      <c r="P273" s="180">
        <v>0</v>
      </c>
      <c r="Q273" s="180">
        <v>0</v>
      </c>
      <c r="R273" s="180">
        <v>0</v>
      </c>
      <c r="S273" s="180">
        <v>0</v>
      </c>
      <c r="T273" s="180">
        <v>0</v>
      </c>
      <c r="U273" s="180">
        <v>0</v>
      </c>
      <c r="V273" s="180">
        <v>0</v>
      </c>
      <c r="W273" s="180">
        <v>0</v>
      </c>
      <c r="X273" s="180">
        <v>0</v>
      </c>
      <c r="Y273" s="180">
        <v>0</v>
      </c>
      <c r="Z273" s="180">
        <v>5.68</v>
      </c>
      <c r="AA273" s="180">
        <v>0</v>
      </c>
      <c r="AB273" s="180">
        <v>0</v>
      </c>
      <c r="AC273" s="180">
        <v>0</v>
      </c>
      <c r="AD273" s="180">
        <v>0</v>
      </c>
      <c r="AE273" s="180">
        <v>0</v>
      </c>
      <c r="AF273" s="180">
        <v>0</v>
      </c>
      <c r="AG273" s="180">
        <v>0</v>
      </c>
      <c r="AH273" s="180">
        <v>0</v>
      </c>
      <c r="AI273" s="180">
        <v>0</v>
      </c>
      <c r="AJ273" s="180">
        <v>0</v>
      </c>
      <c r="AK273" s="180">
        <v>0</v>
      </c>
      <c r="AL273" s="180">
        <v>0</v>
      </c>
      <c r="AM273" s="180">
        <v>0</v>
      </c>
      <c r="AN273" s="180">
        <v>0</v>
      </c>
      <c r="AO273" s="180">
        <v>0</v>
      </c>
      <c r="AP273" s="180">
        <v>0</v>
      </c>
      <c r="AQ273" s="180">
        <v>0</v>
      </c>
      <c r="AR273" s="180">
        <v>0</v>
      </c>
      <c r="AS273" s="180">
        <v>0</v>
      </c>
      <c r="AT273" s="180">
        <v>0</v>
      </c>
      <c r="AU273" s="180">
        <v>0</v>
      </c>
      <c r="AV273" s="180">
        <v>7.36</v>
      </c>
      <c r="AW273" s="180">
        <v>0</v>
      </c>
      <c r="AX273" s="180">
        <v>0</v>
      </c>
      <c r="AY273" s="180">
        <v>0</v>
      </c>
      <c r="AZ273" s="180">
        <v>4.6900000000000004</v>
      </c>
      <c r="BA273" s="180">
        <v>0</v>
      </c>
      <c r="BB273" s="180">
        <v>0</v>
      </c>
      <c r="BC273" s="180">
        <v>0</v>
      </c>
      <c r="BD273" s="180">
        <v>0</v>
      </c>
      <c r="BE273" s="180">
        <v>11.53</v>
      </c>
      <c r="BF273" s="180">
        <v>4.8499999999999996</v>
      </c>
      <c r="BG273" s="180">
        <v>0</v>
      </c>
      <c r="BH273" s="180">
        <v>0</v>
      </c>
      <c r="BI273" s="180">
        <v>0</v>
      </c>
      <c r="BJ273" s="180">
        <v>6.36</v>
      </c>
      <c r="BK273" s="180">
        <v>0</v>
      </c>
      <c r="BL273" s="180">
        <v>0</v>
      </c>
      <c r="BM273" s="180">
        <v>0</v>
      </c>
      <c r="BN273" s="180">
        <v>10.039999999999999</v>
      </c>
      <c r="BO273" s="180">
        <v>0</v>
      </c>
      <c r="BP273" s="180">
        <v>0</v>
      </c>
      <c r="BQ273" s="180">
        <v>0</v>
      </c>
      <c r="BR273" s="180">
        <v>0</v>
      </c>
      <c r="BS273" s="180">
        <v>0</v>
      </c>
      <c r="BT273" s="180">
        <v>0</v>
      </c>
      <c r="BU273" s="180">
        <v>0</v>
      </c>
      <c r="BV273" s="180">
        <v>0</v>
      </c>
    </row>
    <row r="274" spans="1:104" s="180" customFormat="1" ht="86.4" x14ac:dyDescent="0.3">
      <c r="A274" s="155">
        <v>9018</v>
      </c>
      <c r="B274" s="527" t="s">
        <v>1050</v>
      </c>
      <c r="C274" s="527" t="s">
        <v>1051</v>
      </c>
      <c r="D274" s="180">
        <v>613261</v>
      </c>
      <c r="E274" s="180">
        <v>279537188</v>
      </c>
      <c r="F274" s="180">
        <v>0</v>
      </c>
      <c r="G274" s="180">
        <v>0</v>
      </c>
      <c r="H274" s="180">
        <v>74063</v>
      </c>
      <c r="I274" s="180">
        <v>0</v>
      </c>
      <c r="J274" s="180">
        <v>0</v>
      </c>
      <c r="K274" s="180">
        <v>271523</v>
      </c>
      <c r="L274" s="180">
        <v>363288</v>
      </c>
      <c r="M274" s="180">
        <v>3991688</v>
      </c>
      <c r="N274" s="180">
        <v>2892</v>
      </c>
      <c r="O274" s="180">
        <v>190986</v>
      </c>
      <c r="P274" s="180">
        <v>0</v>
      </c>
      <c r="Q274" s="180">
        <v>23899</v>
      </c>
      <c r="R274" s="180">
        <v>336644</v>
      </c>
      <c r="S274" s="180">
        <v>33250</v>
      </c>
      <c r="T274" s="180">
        <v>1242731</v>
      </c>
      <c r="U274" s="180">
        <v>0</v>
      </c>
      <c r="V274" s="180">
        <v>0</v>
      </c>
      <c r="W274" s="180">
        <v>0</v>
      </c>
      <c r="X274" s="180">
        <v>350600</v>
      </c>
      <c r="Y274" s="180">
        <v>108184</v>
      </c>
      <c r="Z274" s="180">
        <v>21924742</v>
      </c>
      <c r="AA274" s="180">
        <v>2140999</v>
      </c>
      <c r="AB274" s="180">
        <v>72574</v>
      </c>
      <c r="AC274" s="180">
        <v>17486</v>
      </c>
      <c r="AD274" s="180">
        <v>250661</v>
      </c>
      <c r="AE274" s="180">
        <v>52985</v>
      </c>
      <c r="AF274" s="180">
        <v>29513</v>
      </c>
      <c r="AG274" s="180">
        <v>63698</v>
      </c>
      <c r="AH274" s="180">
        <v>8320103</v>
      </c>
      <c r="AI274" s="180">
        <v>3654</v>
      </c>
      <c r="AJ274" s="180">
        <v>744988</v>
      </c>
      <c r="AK274" s="180">
        <v>0</v>
      </c>
      <c r="AL274" s="180">
        <v>155301</v>
      </c>
      <c r="AM274" s="180">
        <v>1448426</v>
      </c>
      <c r="AN274" s="180">
        <v>38825</v>
      </c>
      <c r="AO274" s="180">
        <v>6524866</v>
      </c>
      <c r="AP274" s="180">
        <v>73243</v>
      </c>
      <c r="AQ274" s="180">
        <v>15311</v>
      </c>
      <c r="AR274" s="180">
        <v>12869</v>
      </c>
      <c r="AS274" s="180">
        <v>3501072</v>
      </c>
      <c r="AT274" s="180">
        <v>18722</v>
      </c>
      <c r="AU274" s="180">
        <v>170422</v>
      </c>
      <c r="AV274" s="180">
        <v>11382</v>
      </c>
      <c r="AW274" s="180">
        <v>16602</v>
      </c>
      <c r="AX274" s="180">
        <v>1274358</v>
      </c>
      <c r="AY274" s="180">
        <v>18045</v>
      </c>
      <c r="AZ274" s="180">
        <v>345072</v>
      </c>
      <c r="BA274" s="180">
        <v>244640</v>
      </c>
      <c r="BB274" s="180">
        <v>23121</v>
      </c>
      <c r="BC274" s="180">
        <v>38210</v>
      </c>
      <c r="BD274" s="180">
        <v>1006218</v>
      </c>
      <c r="BE274" s="180">
        <v>147122</v>
      </c>
      <c r="BF274" s="180">
        <v>9704208</v>
      </c>
      <c r="BG274" s="180">
        <v>0</v>
      </c>
      <c r="BH274" s="180">
        <v>66638</v>
      </c>
      <c r="BI274" s="180">
        <v>57716</v>
      </c>
      <c r="BJ274" s="180">
        <v>5344704</v>
      </c>
      <c r="BK274" s="180">
        <v>225044</v>
      </c>
      <c r="BL274" s="180">
        <v>4647544</v>
      </c>
      <c r="BM274" s="180">
        <v>1344298</v>
      </c>
      <c r="BN274" s="180">
        <v>1954368</v>
      </c>
      <c r="BO274" s="180">
        <v>325034</v>
      </c>
      <c r="BP274" s="180">
        <v>0</v>
      </c>
      <c r="BQ274" s="180">
        <v>203482</v>
      </c>
      <c r="BR274" s="180">
        <v>0</v>
      </c>
      <c r="BS274" s="180">
        <v>670990</v>
      </c>
      <c r="BT274" s="180">
        <v>89373</v>
      </c>
      <c r="BU274" s="180">
        <v>0</v>
      </c>
      <c r="BV274" s="180">
        <v>450353</v>
      </c>
    </row>
    <row r="275" spans="1:104" s="180" customFormat="1" ht="115.2" x14ac:dyDescent="0.3">
      <c r="A275" s="155">
        <v>9019</v>
      </c>
      <c r="B275" s="557" t="s">
        <v>1052</v>
      </c>
      <c r="C275" s="578" t="s">
        <v>1053</v>
      </c>
      <c r="D275" s="180">
        <v>613261</v>
      </c>
      <c r="E275" s="180">
        <v>279537188</v>
      </c>
      <c r="F275" s="180">
        <v>0</v>
      </c>
      <c r="G275" s="180">
        <v>0</v>
      </c>
      <c r="H275" s="180">
        <v>74063</v>
      </c>
      <c r="I275" s="180">
        <v>0</v>
      </c>
      <c r="J275" s="180">
        <v>0</v>
      </c>
      <c r="K275" s="180">
        <v>271523</v>
      </c>
      <c r="L275" s="180">
        <v>363288</v>
      </c>
      <c r="M275" s="180">
        <v>3991688</v>
      </c>
      <c r="N275" s="180">
        <v>2892</v>
      </c>
      <c r="O275" s="180">
        <v>190986</v>
      </c>
      <c r="P275" s="180">
        <v>0</v>
      </c>
      <c r="Q275" s="180">
        <v>23899</v>
      </c>
      <c r="R275" s="180">
        <v>336644</v>
      </c>
      <c r="S275" s="180">
        <v>33250</v>
      </c>
      <c r="T275" s="180">
        <v>1242731</v>
      </c>
      <c r="U275" s="180">
        <v>0</v>
      </c>
      <c r="V275" s="180">
        <v>0</v>
      </c>
      <c r="W275" s="180">
        <v>0</v>
      </c>
      <c r="X275" s="180">
        <v>350600</v>
      </c>
      <c r="Y275" s="180">
        <v>108184</v>
      </c>
      <c r="Z275" s="180">
        <v>21924742</v>
      </c>
      <c r="AA275" s="180">
        <v>2140999</v>
      </c>
      <c r="AB275" s="180">
        <v>72574</v>
      </c>
      <c r="AC275" s="180">
        <v>17486</v>
      </c>
      <c r="AD275" s="180">
        <v>250661</v>
      </c>
      <c r="AE275" s="180">
        <v>52985</v>
      </c>
      <c r="AF275" s="180">
        <v>29513</v>
      </c>
      <c r="AG275" s="180">
        <v>63698</v>
      </c>
      <c r="AH275" s="180">
        <v>8320103</v>
      </c>
      <c r="AI275" s="180">
        <v>3654</v>
      </c>
      <c r="AJ275" s="180">
        <v>744988</v>
      </c>
      <c r="AK275" s="180">
        <v>0</v>
      </c>
      <c r="AL275" s="180">
        <v>155301</v>
      </c>
      <c r="AM275" s="180">
        <v>1448426</v>
      </c>
      <c r="AN275" s="180">
        <v>38825</v>
      </c>
      <c r="AO275" s="180">
        <v>6524866</v>
      </c>
      <c r="AP275" s="180">
        <v>73243</v>
      </c>
      <c r="AQ275" s="180">
        <v>15311</v>
      </c>
      <c r="AR275" s="180">
        <v>12869</v>
      </c>
      <c r="AS275" s="180">
        <v>3501072</v>
      </c>
      <c r="AT275" s="180">
        <v>18722</v>
      </c>
      <c r="AU275" s="180">
        <v>170422</v>
      </c>
      <c r="AV275" s="180">
        <v>11382</v>
      </c>
      <c r="AW275" s="180">
        <v>16602</v>
      </c>
      <c r="AX275" s="180">
        <v>1274358</v>
      </c>
      <c r="AY275" s="180">
        <v>18045</v>
      </c>
      <c r="AZ275" s="180">
        <v>345072</v>
      </c>
      <c r="BA275" s="180">
        <v>244640</v>
      </c>
      <c r="BB275" s="180">
        <v>23121</v>
      </c>
      <c r="BC275" s="180">
        <v>38210</v>
      </c>
      <c r="BD275" s="180">
        <v>1006218</v>
      </c>
      <c r="BE275" s="180">
        <v>147122</v>
      </c>
      <c r="BF275" s="180">
        <v>9704208</v>
      </c>
      <c r="BG275" s="180">
        <v>0</v>
      </c>
      <c r="BH275" s="180">
        <v>66638</v>
      </c>
      <c r="BI275" s="180">
        <v>57716</v>
      </c>
      <c r="BJ275" s="180">
        <v>5344704</v>
      </c>
      <c r="BK275" s="180">
        <v>225044</v>
      </c>
      <c r="BL275" s="180">
        <v>4647544</v>
      </c>
      <c r="BM275" s="180">
        <v>1344298</v>
      </c>
      <c r="BN275" s="180">
        <v>1954368</v>
      </c>
      <c r="BO275" s="180">
        <v>325034</v>
      </c>
      <c r="BP275" s="180">
        <v>0</v>
      </c>
      <c r="BQ275" s="180">
        <v>203482</v>
      </c>
      <c r="BR275" s="180">
        <v>0</v>
      </c>
      <c r="BS275" s="180">
        <v>670990</v>
      </c>
      <c r="BT275" s="180">
        <v>89373</v>
      </c>
      <c r="BU275" s="180">
        <v>0</v>
      </c>
      <c r="BV275" s="180">
        <v>450353</v>
      </c>
    </row>
    <row r="276" spans="1:104" s="801" customFormat="1" ht="28.8" x14ac:dyDescent="0.3">
      <c r="A276" s="802"/>
      <c r="B276" s="801" t="s">
        <v>1924</v>
      </c>
      <c r="C276" s="929" t="s">
        <v>1716</v>
      </c>
      <c r="D276" s="801">
        <f t="shared" ref="D276:J276" si="0">(D106+D135-D3-D4-D5-D8+D191)/(D132+D109+D11-D133-D108-D240)</f>
        <v>1.5001409025311265</v>
      </c>
      <c r="E276" s="801">
        <f t="shared" si="0"/>
        <v>0.97680158837131292</v>
      </c>
      <c r="F276" s="801" t="e">
        <f t="shared" si="0"/>
        <v>#DIV/0!</v>
      </c>
      <c r="G276" s="801" t="e">
        <f t="shared" si="0"/>
        <v>#DIV/0!</v>
      </c>
      <c r="H276" s="801">
        <f t="shared" si="0"/>
        <v>0.66665581370303539</v>
      </c>
      <c r="I276" s="801">
        <f t="shared" si="0"/>
        <v>2.2709823338834894</v>
      </c>
      <c r="J276" s="801" t="e">
        <f t="shared" si="0"/>
        <v>#DIV/0!</v>
      </c>
      <c r="K276" s="801">
        <f>(L106+L135-L3-L4-L5-L8+L191)/(L132+L109+L11-L133-L108-L240)</f>
        <v>0.4621561102046603</v>
      </c>
      <c r="L276" s="801">
        <f t="shared" ref="L276:T276" si="1">(L106+L135-L3-L4-L5-L8+L191)/(L132+L109+L11-L133-L108-L240)</f>
        <v>0.4621561102046603</v>
      </c>
      <c r="M276" s="801">
        <f t="shared" si="1"/>
        <v>0.45299496476846629</v>
      </c>
      <c r="N276" s="801">
        <f t="shared" si="1"/>
        <v>10.15550865344027</v>
      </c>
      <c r="O276" s="801">
        <f t="shared" si="1"/>
        <v>2.1557214271040199</v>
      </c>
      <c r="P276" s="801" t="e">
        <f t="shared" si="1"/>
        <v>#DIV/0!</v>
      </c>
      <c r="Q276" s="801">
        <f t="shared" si="1"/>
        <v>2.065500065644752</v>
      </c>
      <c r="R276" s="801">
        <f t="shared" si="1"/>
        <v>0.80324048043609808</v>
      </c>
      <c r="S276" s="801">
        <f t="shared" si="1"/>
        <v>0.5729879908501716</v>
      </c>
      <c r="T276" s="801">
        <f t="shared" si="1"/>
        <v>0.39329137540248388</v>
      </c>
      <c r="V276" s="801" t="e">
        <f t="shared" ref="V276:AU276" si="2">(V106+V135-V3-V4-V5-V8+V191)/(V132+V109+V11-V133-V108-V240)</f>
        <v>#DIV/0!</v>
      </c>
      <c r="W276" s="801" t="e">
        <f t="shared" si="2"/>
        <v>#DIV/0!</v>
      </c>
      <c r="X276" s="801">
        <f t="shared" si="2"/>
        <v>0.50626713123986178</v>
      </c>
      <c r="Y276" s="801">
        <f t="shared" si="2"/>
        <v>0.96760258572547397</v>
      </c>
      <c r="Z276" s="801">
        <f t="shared" si="2"/>
        <v>0.42773873879905661</v>
      </c>
      <c r="AA276" s="801">
        <f t="shared" si="2"/>
        <v>0.61749312592946948</v>
      </c>
      <c r="AB276" s="801">
        <f t="shared" si="2"/>
        <v>0.88147795725138012</v>
      </c>
      <c r="AC276" s="801">
        <f t="shared" si="2"/>
        <v>1.7664991454726975</v>
      </c>
      <c r="AD276" s="801">
        <f t="shared" si="2"/>
        <v>0.79888765202709688</v>
      </c>
      <c r="AE276" s="801">
        <f t="shared" si="2"/>
        <v>1.3156913921241742</v>
      </c>
      <c r="AF276" s="801">
        <f t="shared" si="2"/>
        <v>0.87484377110397948</v>
      </c>
      <c r="AG276" s="801">
        <f t="shared" si="2"/>
        <v>0.35497124522453199</v>
      </c>
      <c r="AH276" s="801">
        <f t="shared" si="2"/>
        <v>0.28376957017728482</v>
      </c>
      <c r="AI276" s="801">
        <f t="shared" si="2"/>
        <v>3.0102186816331429</v>
      </c>
      <c r="AJ276" s="801">
        <f t="shared" si="2"/>
        <v>1.1285882664105653</v>
      </c>
      <c r="AK276" s="801">
        <f t="shared" si="2"/>
        <v>3.9732926387796628</v>
      </c>
      <c r="AL276" s="801">
        <f t="shared" si="2"/>
        <v>0.64745138870520302</v>
      </c>
      <c r="AM276" s="801">
        <f t="shared" si="2"/>
        <v>0.33685429385684168</v>
      </c>
      <c r="AN276" s="801">
        <f t="shared" si="2"/>
        <v>2.1471168149429349</v>
      </c>
      <c r="AO276" s="801">
        <f t="shared" si="2"/>
        <v>0.49445696131444189</v>
      </c>
      <c r="AP276" s="801">
        <f t="shared" si="2"/>
        <v>1.1673635946230632</v>
      </c>
      <c r="AQ276" s="801">
        <f t="shared" si="2"/>
        <v>6.7533104607610861</v>
      </c>
      <c r="AR276" s="801">
        <f t="shared" si="2"/>
        <v>5.1397218867733514</v>
      </c>
      <c r="AS276" s="801">
        <f t="shared" si="2"/>
        <v>0.66669669731253178</v>
      </c>
      <c r="AT276" s="801">
        <f t="shared" si="2"/>
        <v>1.4105894689919507</v>
      </c>
      <c r="AU276" s="801">
        <f t="shared" si="2"/>
        <v>2.2437556875970239</v>
      </c>
      <c r="AV276" s="801">
        <f>(AW106+AW135-AW3-AW4-AW5-AW8+AW191)/(AW132+AW109+AW11-AW133-AW108-AW240)</f>
        <v>1.1771952817824378</v>
      </c>
      <c r="AW276" s="801">
        <f t="shared" ref="AW276:BR276" si="3">(AW106+AW135-AW3-AW4-AW5-AW8+AW191)/(AW132+AW109+AW11-AW133-AW108-AW240)</f>
        <v>1.1771952817824378</v>
      </c>
      <c r="AX276" s="801">
        <f t="shared" si="3"/>
        <v>0.61036920659858607</v>
      </c>
      <c r="AY276" s="801">
        <f t="shared" si="3"/>
        <v>1.3040014140233043</v>
      </c>
      <c r="AZ276" s="801">
        <f t="shared" si="3"/>
        <v>0.7074738019787391</v>
      </c>
      <c r="BA276" s="801">
        <f t="shared" si="3"/>
        <v>0.46658578398807998</v>
      </c>
      <c r="BB276" s="801">
        <f t="shared" si="3"/>
        <v>3.1648157639956715</v>
      </c>
      <c r="BC276" s="801">
        <f t="shared" si="3"/>
        <v>4.2686995975339537</v>
      </c>
      <c r="BD276" s="801">
        <f t="shared" si="3"/>
        <v>1.1181053460829304</v>
      </c>
      <c r="BE276" s="801">
        <f t="shared" si="3"/>
        <v>0.74491965770925861</v>
      </c>
      <c r="BF276" s="801">
        <f t="shared" si="3"/>
        <v>0.32466552894564382</v>
      </c>
      <c r="BG276" s="801" t="e">
        <f t="shared" si="3"/>
        <v>#DIV/0!</v>
      </c>
      <c r="BH276" s="801">
        <f t="shared" si="3"/>
        <v>0.7671379056704708</v>
      </c>
      <c r="BI276" s="801">
        <f t="shared" si="3"/>
        <v>2.0093118824866663</v>
      </c>
      <c r="BJ276" s="801">
        <f t="shared" si="3"/>
        <v>0.76791340389545582</v>
      </c>
      <c r="BK276" s="801">
        <f t="shared" si="3"/>
        <v>1.2425968647428911</v>
      </c>
      <c r="BL276" s="801">
        <f t="shared" si="3"/>
        <v>0.57227407295069477</v>
      </c>
      <c r="BM276" s="801">
        <f t="shared" si="3"/>
        <v>1.5780212943060117</v>
      </c>
      <c r="BN276" s="801">
        <f t="shared" si="3"/>
        <v>0.84430521455180474</v>
      </c>
      <c r="BO276" s="801">
        <f t="shared" si="3"/>
        <v>1.8710968194126167</v>
      </c>
      <c r="BP276" s="801" t="e">
        <f t="shared" si="3"/>
        <v>#DIV/0!</v>
      </c>
      <c r="BQ276" s="801">
        <f t="shared" si="3"/>
        <v>0.79500498743898684</v>
      </c>
      <c r="BR276" s="801" t="e">
        <f t="shared" si="3"/>
        <v>#DIV/0!</v>
      </c>
      <c r="BS276" s="801">
        <f t="shared" ref="BS276:CA276" si="4">(BS106+BS135-BS3-BS4-BS5-BS8+BS191)/(BS132+BS109+BS11-BS133-BS108-BS240)</f>
        <v>0.63022634869412208</v>
      </c>
      <c r="BT276" s="801">
        <f t="shared" si="4"/>
        <v>1.199851386234456</v>
      </c>
      <c r="BU276" s="801" t="e">
        <f t="shared" si="4"/>
        <v>#DIV/0!</v>
      </c>
      <c r="BV276" s="801">
        <f t="shared" si="4"/>
        <v>1.6838483734341834</v>
      </c>
      <c r="BW276" s="801" t="e">
        <f t="shared" si="4"/>
        <v>#DIV/0!</v>
      </c>
      <c r="BX276" s="801" t="e">
        <f t="shared" si="4"/>
        <v>#DIV/0!</v>
      </c>
      <c r="BY276" s="801" t="e">
        <f t="shared" si="4"/>
        <v>#DIV/0!</v>
      </c>
      <c r="BZ276" s="801" t="e">
        <f t="shared" si="4"/>
        <v>#DIV/0!</v>
      </c>
      <c r="CA276" s="801" t="e">
        <f t="shared" si="4"/>
        <v>#DIV/0!</v>
      </c>
      <c r="CB276" s="801" t="e">
        <f t="shared" ref="CB276:CD276" si="5">(CB106+CB135-CB3-CB4-CB5-CB8+CB191)/(CB132+CB109+CB11-CB133-CB108-CB240)</f>
        <v>#DIV/0!</v>
      </c>
      <c r="CC276" s="801" t="e">
        <f t="shared" si="5"/>
        <v>#DIV/0!</v>
      </c>
      <c r="CD276" s="801" t="e">
        <f t="shared" si="5"/>
        <v>#DIV/0!</v>
      </c>
    </row>
    <row r="277" spans="1:104" s="571" customFormat="1" ht="25.2" customHeight="1" x14ac:dyDescent="0.3">
      <c r="A277" s="570" t="s">
        <v>1933</v>
      </c>
      <c r="B277" s="571" t="s">
        <v>1934</v>
      </c>
      <c r="D277" s="978">
        <f t="shared" ref="D277:AI277" si="6">1-((D123+D124+D125+D126)/(D115+D116+D117+D118))</f>
        <v>0.35988272383785458</v>
      </c>
      <c r="E277" s="978">
        <f t="shared" si="6"/>
        <v>0.57684580830581866</v>
      </c>
      <c r="F277" s="978" t="e">
        <f t="shared" si="6"/>
        <v>#DIV/0!</v>
      </c>
      <c r="G277" s="978" t="e">
        <f t="shared" si="6"/>
        <v>#DIV/0!</v>
      </c>
      <c r="H277" s="978">
        <f t="shared" si="6"/>
        <v>0.45671487270715772</v>
      </c>
      <c r="I277" s="978" t="e">
        <f t="shared" si="6"/>
        <v>#DIV/0!</v>
      </c>
      <c r="J277" s="978" t="e">
        <f t="shared" si="6"/>
        <v>#DIV/0!</v>
      </c>
      <c r="K277" s="978" t="e">
        <f t="shared" si="6"/>
        <v>#DIV/0!</v>
      </c>
      <c r="L277" s="978">
        <f t="shared" si="6"/>
        <v>0.37427086556046063</v>
      </c>
      <c r="M277" s="978">
        <f t="shared" si="6"/>
        <v>0.54755478628328857</v>
      </c>
      <c r="N277" s="978" t="e">
        <f t="shared" si="6"/>
        <v>#DIV/0!</v>
      </c>
      <c r="O277" s="978">
        <f t="shared" si="6"/>
        <v>0.69055275341142719</v>
      </c>
      <c r="P277" s="978" t="e">
        <f t="shared" si="6"/>
        <v>#DIV/0!</v>
      </c>
      <c r="Q277" s="978" t="e">
        <f t="shared" si="6"/>
        <v>#DIV/0!</v>
      </c>
      <c r="R277" s="978" t="e">
        <f t="shared" si="6"/>
        <v>#DIV/0!</v>
      </c>
      <c r="S277" s="978">
        <f t="shared" si="6"/>
        <v>0.1637130785593407</v>
      </c>
      <c r="T277" s="978" t="e">
        <f t="shared" si="6"/>
        <v>#DIV/0!</v>
      </c>
      <c r="U277" s="978" t="e">
        <f t="shared" si="6"/>
        <v>#DIV/0!</v>
      </c>
      <c r="V277" s="978" t="e">
        <f t="shared" si="6"/>
        <v>#DIV/0!</v>
      </c>
      <c r="W277" s="978" t="e">
        <f t="shared" si="6"/>
        <v>#DIV/0!</v>
      </c>
      <c r="X277" s="978">
        <f t="shared" si="6"/>
        <v>0.29766617364851355</v>
      </c>
      <c r="Y277" s="978" t="e">
        <f t="shared" si="6"/>
        <v>#DIV/0!</v>
      </c>
      <c r="Z277" s="978">
        <f t="shared" si="6"/>
        <v>0.4586458863159516</v>
      </c>
      <c r="AA277" s="978" t="e">
        <f t="shared" si="6"/>
        <v>#DIV/0!</v>
      </c>
      <c r="AB277" s="978">
        <f t="shared" si="6"/>
        <v>0.57854027296886823</v>
      </c>
      <c r="AC277" s="978">
        <f t="shared" si="6"/>
        <v>0.47154617130159382</v>
      </c>
      <c r="AD277" s="978">
        <f t="shared" si="6"/>
        <v>0.62082379056826575</v>
      </c>
      <c r="AE277" s="978">
        <f t="shared" si="6"/>
        <v>0.35556739237305268</v>
      </c>
      <c r="AF277" s="978">
        <f t="shared" si="6"/>
        <v>0.61136531932524241</v>
      </c>
      <c r="AG277" s="978">
        <f t="shared" si="6"/>
        <v>0.44853959506829078</v>
      </c>
      <c r="AH277" s="978">
        <f t="shared" si="6"/>
        <v>0.45402297283828175</v>
      </c>
      <c r="AI277" s="978" t="e">
        <f t="shared" si="6"/>
        <v>#DIV/0!</v>
      </c>
      <c r="AJ277" s="978" t="e">
        <f t="shared" ref="AJ277:BR277" si="7">1-((AJ123+AJ124+AJ125+AJ126)/(AJ115+AJ116+AJ117+AJ118))</f>
        <v>#DIV/0!</v>
      </c>
      <c r="AK277" s="978" t="e">
        <f t="shared" si="7"/>
        <v>#DIV/0!</v>
      </c>
      <c r="AL277" s="978">
        <f t="shared" si="7"/>
        <v>0.52447262377661441</v>
      </c>
      <c r="AM277" s="978">
        <f t="shared" si="7"/>
        <v>0.54621104847910407</v>
      </c>
      <c r="AN277" s="978">
        <f t="shared" si="7"/>
        <v>0.33513092798924293</v>
      </c>
      <c r="AO277" s="978">
        <f t="shared" si="7"/>
        <v>0.43437782368178124</v>
      </c>
      <c r="AP277" s="978">
        <f t="shared" si="7"/>
        <v>0.73406450248260469</v>
      </c>
      <c r="AQ277" s="978" t="e">
        <f t="shared" si="7"/>
        <v>#DIV/0!</v>
      </c>
      <c r="AR277" s="978">
        <f t="shared" si="7"/>
        <v>0.77797228086107706</v>
      </c>
      <c r="AS277" s="978">
        <f t="shared" si="7"/>
        <v>0.63027765159997839</v>
      </c>
      <c r="AT277" s="978">
        <f t="shared" si="7"/>
        <v>0.73883291273128959</v>
      </c>
      <c r="AU277" s="978">
        <f t="shared" si="7"/>
        <v>0.63423739991550132</v>
      </c>
      <c r="AV277" s="978">
        <f t="shared" si="7"/>
        <v>0.36357522390740427</v>
      </c>
      <c r="AW277" s="978">
        <f t="shared" si="7"/>
        <v>0.69211096762777102</v>
      </c>
      <c r="AX277" s="978" t="e">
        <f t="shared" si="7"/>
        <v>#DIV/0!</v>
      </c>
      <c r="AY277" s="978" t="e">
        <f t="shared" si="7"/>
        <v>#DIV/0!</v>
      </c>
      <c r="AZ277" s="978">
        <f t="shared" si="7"/>
        <v>0.38559313439870402</v>
      </c>
      <c r="BA277" s="978">
        <f t="shared" si="7"/>
        <v>0.61325481475777932</v>
      </c>
      <c r="BB277" s="978">
        <f t="shared" si="7"/>
        <v>0.57799206114556512</v>
      </c>
      <c r="BC277" s="978">
        <f t="shared" si="7"/>
        <v>0.37108953496644193</v>
      </c>
      <c r="BD277" s="978">
        <f t="shared" si="7"/>
        <v>0.60415367117457297</v>
      </c>
      <c r="BE277" s="978">
        <f t="shared" si="7"/>
        <v>0.65290937345765276</v>
      </c>
      <c r="BF277" s="978">
        <f t="shared" si="7"/>
        <v>0.72530081022078474</v>
      </c>
      <c r="BG277" s="978" t="e">
        <f t="shared" si="7"/>
        <v>#DIV/0!</v>
      </c>
      <c r="BH277" s="978" t="e">
        <f t="shared" si="7"/>
        <v>#DIV/0!</v>
      </c>
      <c r="BI277" s="978">
        <f t="shared" si="7"/>
        <v>0.55975208719045555</v>
      </c>
      <c r="BJ277" s="978">
        <f t="shared" si="7"/>
        <v>0.42278573255906515</v>
      </c>
      <c r="BK277" s="978">
        <f t="shared" si="7"/>
        <v>0.37264638666635908</v>
      </c>
      <c r="BL277" s="978">
        <f t="shared" si="7"/>
        <v>0.50366956470939095</v>
      </c>
      <c r="BM277" s="978" t="e">
        <f t="shared" si="7"/>
        <v>#DIV/0!</v>
      </c>
      <c r="BN277" s="978">
        <f t="shared" si="7"/>
        <v>0.59330033036798113</v>
      </c>
      <c r="BO277" s="978">
        <f t="shared" si="7"/>
        <v>0.69100505074172325</v>
      </c>
      <c r="BP277" s="978" t="e">
        <f t="shared" si="7"/>
        <v>#DIV/0!</v>
      </c>
      <c r="BQ277" s="978" t="e">
        <f t="shared" si="7"/>
        <v>#DIV/0!</v>
      </c>
      <c r="BR277" s="978" t="e">
        <f t="shared" si="7"/>
        <v>#DIV/0!</v>
      </c>
      <c r="BS277" s="978">
        <f t="shared" ref="BS277:CA277" si="8">1-((BS123+BS124+BS125+BS126)/(BS115+BS116+BS117+BS118))</f>
        <v>0.6334117563877667</v>
      </c>
      <c r="BT277" s="978">
        <f t="shared" si="8"/>
        <v>0.68585258447912656</v>
      </c>
      <c r="BU277" s="978" t="e">
        <f t="shared" si="8"/>
        <v>#DIV/0!</v>
      </c>
      <c r="BV277" s="978">
        <f t="shared" si="8"/>
        <v>0.54612540692100375</v>
      </c>
      <c r="BW277" s="978" t="e">
        <f t="shared" si="8"/>
        <v>#DIV/0!</v>
      </c>
      <c r="BX277" s="978" t="e">
        <f t="shared" si="8"/>
        <v>#DIV/0!</v>
      </c>
      <c r="BY277" s="978" t="e">
        <f t="shared" si="8"/>
        <v>#DIV/0!</v>
      </c>
      <c r="BZ277" s="978" t="e">
        <f t="shared" si="8"/>
        <v>#DIV/0!</v>
      </c>
      <c r="CA277" s="978" t="e">
        <f t="shared" si="8"/>
        <v>#DIV/0!</v>
      </c>
      <c r="CB277" s="978" t="e">
        <f t="shared" ref="CB277:CD277" si="9">1-((CB123+CB124+CB125+CB126)/(CB115+CB116+CB117+CB118))</f>
        <v>#DIV/0!</v>
      </c>
      <c r="CC277" s="978" t="e">
        <f t="shared" si="9"/>
        <v>#DIV/0!</v>
      </c>
      <c r="CD277" s="978" t="e">
        <f t="shared" si="9"/>
        <v>#DIV/0!</v>
      </c>
      <c r="CE277" s="978"/>
      <c r="CF277" s="978"/>
      <c r="CG277" s="978"/>
      <c r="CH277" s="978"/>
      <c r="CI277" s="978"/>
      <c r="CJ277" s="978"/>
      <c r="CK277" s="978"/>
    </row>
    <row r="278" spans="1:104" s="562" customFormat="1" x14ac:dyDescent="0.3">
      <c r="A278" s="561"/>
      <c r="D278" s="945"/>
      <c r="E278" s="945"/>
      <c r="F278" s="945"/>
      <c r="G278" s="945"/>
      <c r="H278" s="945"/>
      <c r="I278" s="945"/>
      <c r="J278" s="945"/>
      <c r="K278" s="945"/>
      <c r="L278"/>
      <c r="M278" s="945"/>
      <c r="N278" s="945"/>
      <c r="O278" s="945"/>
      <c r="P278" s="945"/>
      <c r="Q278" s="945"/>
      <c r="R278" s="945"/>
      <c r="S278" s="945"/>
      <c r="T278" s="945"/>
      <c r="U278" s="945"/>
      <c r="V278" s="945"/>
      <c r="W278" s="945"/>
      <c r="X278" s="945"/>
      <c r="Y278" s="945"/>
      <c r="Z278" s="945"/>
      <c r="AA278" s="945"/>
      <c r="AB278" s="945"/>
      <c r="AC278" s="945"/>
      <c r="AD278" s="945"/>
      <c r="AE278" s="945"/>
      <c r="AF278" s="945"/>
      <c r="AG278" s="945"/>
      <c r="AH278" s="945"/>
      <c r="AI278" s="945"/>
      <c r="AJ278" s="945"/>
      <c r="AK278" s="945"/>
      <c r="AL278" s="945"/>
      <c r="AM278" s="945"/>
      <c r="AN278" s="945"/>
      <c r="AO278" s="945"/>
      <c r="AP278" s="945"/>
      <c r="AQ278" s="945"/>
      <c r="AR278" s="945"/>
      <c r="AS278" s="945"/>
      <c r="AT278" s="945"/>
      <c r="AU278" s="945"/>
      <c r="AV278" s="945"/>
      <c r="AW278" s="945"/>
      <c r="AX278" s="945"/>
      <c r="AY278" s="945"/>
      <c r="AZ278" s="945"/>
      <c r="BA278" s="945"/>
      <c r="BB278" s="945"/>
      <c r="BC278" s="945"/>
      <c r="BD278" s="945"/>
      <c r="BE278" s="945"/>
      <c r="BF278" s="945"/>
      <c r="BG278" s="945"/>
      <c r="BH278" s="945"/>
      <c r="BI278" s="945"/>
      <c r="BJ278" s="945"/>
      <c r="BK278" s="945"/>
      <c r="BL278" s="945"/>
      <c r="BM278" s="945"/>
      <c r="BN278" s="945"/>
      <c r="BO278" s="945"/>
      <c r="BP278" s="945"/>
      <c r="BQ278" s="945"/>
      <c r="BR278" s="945"/>
    </row>
    <row r="279" spans="1:104" s="562" customFormat="1" x14ac:dyDescent="0.3">
      <c r="A279" s="561"/>
      <c r="D279" s="945"/>
      <c r="E279" s="945"/>
      <c r="F279" s="945"/>
      <c r="G279" s="945"/>
      <c r="H279" s="945"/>
      <c r="I279" s="945"/>
      <c r="J279" s="945"/>
      <c r="K279" s="945"/>
      <c r="L279"/>
      <c r="M279" s="945"/>
      <c r="N279" s="945"/>
      <c r="O279" s="945"/>
      <c r="P279" s="945"/>
      <c r="Q279" s="945"/>
      <c r="R279" s="945"/>
      <c r="S279" s="945"/>
      <c r="T279" s="945"/>
      <c r="U279" s="945"/>
      <c r="V279" s="945"/>
      <c r="W279" s="945"/>
      <c r="X279" s="945"/>
      <c r="Y279" s="945"/>
      <c r="Z279" s="945"/>
      <c r="AA279" s="945"/>
      <c r="AB279" s="945"/>
      <c r="AC279" s="945"/>
      <c r="AD279" s="945"/>
      <c r="AE279" s="945"/>
      <c r="AF279" s="945"/>
      <c r="AG279" s="945"/>
      <c r="AH279" s="945"/>
      <c r="AI279" s="945"/>
      <c r="AJ279" s="945"/>
      <c r="AK279" s="945"/>
      <c r="AL279" s="945"/>
      <c r="AM279" s="945"/>
      <c r="AN279" s="945"/>
      <c r="AO279" s="945"/>
      <c r="AP279" s="945"/>
      <c r="AQ279" s="945"/>
      <c r="AR279" s="945"/>
      <c r="AS279" s="945"/>
      <c r="AT279" s="945"/>
      <c r="AU279" s="945"/>
      <c r="AV279" s="945"/>
      <c r="AW279" s="945"/>
      <c r="AX279" s="945"/>
      <c r="AY279" s="945"/>
      <c r="AZ279" s="945"/>
      <c r="BA279" s="945"/>
      <c r="BB279" s="945"/>
      <c r="BC279" s="945"/>
      <c r="BD279" s="945"/>
      <c r="BE279" s="945"/>
      <c r="BF279" s="945"/>
      <c r="BG279" s="945"/>
      <c r="BH279" s="945"/>
      <c r="BI279" s="945"/>
      <c r="BJ279" s="945"/>
      <c r="BK279" s="945"/>
      <c r="BL279" s="945"/>
      <c r="BM279" s="945"/>
      <c r="BN279" s="945"/>
      <c r="BO279" s="945"/>
      <c r="BP279" s="945"/>
      <c r="BQ279" s="945"/>
      <c r="BR279" s="945"/>
    </row>
    <row r="280" spans="1:104" x14ac:dyDescent="0.3">
      <c r="B280" s="180"/>
      <c r="C280" s="180" t="s">
        <v>1715</v>
      </c>
      <c r="D280" s="574">
        <f t="shared" ref="D280:AI280" si="10">D257</f>
        <v>313841816.41000003</v>
      </c>
      <c r="E280" s="574">
        <f t="shared" si="10"/>
        <v>30027948064.112999</v>
      </c>
      <c r="F280" s="574">
        <f t="shared" si="10"/>
        <v>50364.01</v>
      </c>
      <c r="G280" s="574">
        <f t="shared" si="10"/>
        <v>50365.01</v>
      </c>
      <c r="H280" s="574">
        <f t="shared" si="10"/>
        <v>102438221.55</v>
      </c>
      <c r="I280" s="574">
        <f t="shared" si="10"/>
        <v>839504.71499999997</v>
      </c>
      <c r="J280" s="574">
        <f t="shared" si="10"/>
        <v>50611</v>
      </c>
      <c r="K280" s="574">
        <f t="shared" si="10"/>
        <v>74338146</v>
      </c>
      <c r="L280" s="574">
        <f t="shared" si="10"/>
        <v>243373524.12</v>
      </c>
      <c r="M280" s="574">
        <f t="shared" si="10"/>
        <v>852811460.53740001</v>
      </c>
      <c r="N280" s="574">
        <f t="shared" si="10"/>
        <v>8148097.6310000001</v>
      </c>
      <c r="O280" s="574">
        <f t="shared" si="10"/>
        <v>43321168.039999999</v>
      </c>
      <c r="P280" s="574">
        <f t="shared" si="10"/>
        <v>50373.01</v>
      </c>
      <c r="Q280" s="574">
        <f t="shared" si="10"/>
        <v>15728303.369999999</v>
      </c>
      <c r="R280" s="574">
        <f t="shared" si="10"/>
        <v>27649865.760000002</v>
      </c>
      <c r="S280" s="574">
        <f t="shared" si="10"/>
        <v>80685809.609999999</v>
      </c>
      <c r="T280" s="574">
        <f t="shared" si="10"/>
        <v>302433476.34100002</v>
      </c>
      <c r="U280" s="574">
        <f t="shared" si="10"/>
        <v>50375.01</v>
      </c>
      <c r="V280" s="574">
        <f t="shared" si="10"/>
        <v>50376.01</v>
      </c>
      <c r="W280" s="574">
        <f t="shared" si="10"/>
        <v>50377.09</v>
      </c>
      <c r="X280" s="574">
        <f t="shared" si="10"/>
        <v>408850861.31999999</v>
      </c>
      <c r="Y280" s="574">
        <f t="shared" si="10"/>
        <v>42518403.719999999</v>
      </c>
      <c r="Z280" s="574">
        <f t="shared" si="10"/>
        <v>3559633901.4450002</v>
      </c>
      <c r="AA280" s="574">
        <f t="shared" si="10"/>
        <v>351257078.18000001</v>
      </c>
      <c r="AB280" s="574">
        <f t="shared" si="10"/>
        <v>13721309.449999999</v>
      </c>
      <c r="AC280" s="574">
        <f t="shared" si="10"/>
        <v>39179560.210000001</v>
      </c>
      <c r="AD280" s="574">
        <f t="shared" si="10"/>
        <v>71255011.290000007</v>
      </c>
      <c r="AE280" s="574">
        <f t="shared" si="10"/>
        <v>63140865.450000003</v>
      </c>
      <c r="AF280" s="574">
        <f t="shared" si="10"/>
        <v>38683904.579999998</v>
      </c>
      <c r="AG280" s="574">
        <f t="shared" si="10"/>
        <v>42650314.509999998</v>
      </c>
      <c r="AH280" s="574">
        <f t="shared" si="10"/>
        <v>408554872.08999997</v>
      </c>
      <c r="AI280" s="574">
        <f t="shared" si="10"/>
        <v>4365411.1624999996</v>
      </c>
      <c r="AJ280" s="574">
        <f t="shared" ref="AJ280:CD280" si="11">AJ257</f>
        <v>81902436.030000001</v>
      </c>
      <c r="AK280" s="574">
        <f t="shared" si="11"/>
        <v>6702558.8600000003</v>
      </c>
      <c r="AL280" s="574">
        <f t="shared" si="11"/>
        <v>51754128.240000002</v>
      </c>
      <c r="AM280" s="574">
        <f t="shared" si="11"/>
        <v>152159891.52000001</v>
      </c>
      <c r="AN280" s="574">
        <f t="shared" si="11"/>
        <v>22867128.010000002</v>
      </c>
      <c r="AO280" s="574">
        <f t="shared" si="11"/>
        <v>2137285840.5495999</v>
      </c>
      <c r="AP280" s="574">
        <f t="shared" si="11"/>
        <v>62240402.630000003</v>
      </c>
      <c r="AQ280" s="574">
        <f t="shared" si="11"/>
        <v>7411312.9199999999</v>
      </c>
      <c r="AR280" s="574">
        <f t="shared" si="11"/>
        <v>14940919.630000001</v>
      </c>
      <c r="AS280" s="574">
        <f t="shared" si="11"/>
        <v>1906878869.8199999</v>
      </c>
      <c r="AT280" s="574">
        <f t="shared" si="11"/>
        <v>38400079.229999997</v>
      </c>
      <c r="AU280" s="574">
        <f t="shared" si="11"/>
        <v>151659824.19999999</v>
      </c>
      <c r="AV280" s="574">
        <f t="shared" si="11"/>
        <v>134434434.23500001</v>
      </c>
      <c r="AW280" s="574">
        <f t="shared" si="11"/>
        <v>45189622.630000003</v>
      </c>
      <c r="AX280" s="574">
        <f t="shared" si="11"/>
        <v>23129583.760000002</v>
      </c>
      <c r="AY280" s="574">
        <f t="shared" si="11"/>
        <v>8305907.1749999998</v>
      </c>
      <c r="AZ280" s="574">
        <f t="shared" si="11"/>
        <v>383659094.37</v>
      </c>
      <c r="BA280" s="574">
        <f t="shared" si="11"/>
        <v>48986971.710000001</v>
      </c>
      <c r="BB280" s="574">
        <f t="shared" si="11"/>
        <v>21431940.649999999</v>
      </c>
      <c r="BC280" s="574">
        <f t="shared" si="11"/>
        <v>22861382.870000001</v>
      </c>
      <c r="BD280" s="574">
        <f t="shared" si="11"/>
        <v>291616374.60250002</v>
      </c>
      <c r="BE280" s="574">
        <f t="shared" si="11"/>
        <v>115177764.06</v>
      </c>
      <c r="BF280" s="574">
        <f t="shared" si="11"/>
        <v>1816397564.1775</v>
      </c>
      <c r="BG280" s="574">
        <f t="shared" si="11"/>
        <v>50407.01</v>
      </c>
      <c r="BH280" s="574">
        <f t="shared" si="11"/>
        <v>7286565.5099999998</v>
      </c>
      <c r="BI280" s="574">
        <f t="shared" si="11"/>
        <v>21140866.800000001</v>
      </c>
      <c r="BJ280" s="574">
        <f t="shared" si="11"/>
        <v>1035274761.41</v>
      </c>
      <c r="BK280" s="574">
        <f t="shared" si="11"/>
        <v>78897663.939999998</v>
      </c>
      <c r="BL280" s="574">
        <f t="shared" si="11"/>
        <v>875945256.67999995</v>
      </c>
      <c r="BM280" s="574">
        <f t="shared" si="11"/>
        <v>222388742.97580001</v>
      </c>
      <c r="BN280" s="574">
        <f t="shared" si="11"/>
        <v>493165014.92559999</v>
      </c>
      <c r="BO280" s="574">
        <f t="shared" si="11"/>
        <v>164896231.25</v>
      </c>
      <c r="BP280" s="574">
        <f t="shared" si="11"/>
        <v>50415</v>
      </c>
      <c r="BQ280" s="574">
        <f t="shared" si="11"/>
        <v>89521681.680000007</v>
      </c>
      <c r="BR280" s="574">
        <f t="shared" si="11"/>
        <v>50417</v>
      </c>
      <c r="BS280" s="574">
        <f t="shared" si="11"/>
        <v>160073782.48300001</v>
      </c>
      <c r="BT280" s="574">
        <f t="shared" si="11"/>
        <v>50964020.210000001</v>
      </c>
      <c r="BU280" s="574">
        <f t="shared" si="11"/>
        <v>50420.01</v>
      </c>
      <c r="BV280" s="574">
        <f t="shared" si="11"/>
        <v>159602637.84999999</v>
      </c>
      <c r="BW280" s="574">
        <f t="shared" si="11"/>
        <v>0</v>
      </c>
      <c r="BX280" s="574">
        <f t="shared" si="11"/>
        <v>0</v>
      </c>
      <c r="BY280" s="574">
        <f t="shared" si="11"/>
        <v>0</v>
      </c>
      <c r="BZ280" s="574">
        <f t="shared" si="11"/>
        <v>0</v>
      </c>
      <c r="CA280" s="574">
        <f t="shared" si="11"/>
        <v>0</v>
      </c>
      <c r="CB280" s="574">
        <f t="shared" si="11"/>
        <v>0</v>
      </c>
      <c r="CC280" s="574">
        <f t="shared" si="11"/>
        <v>0</v>
      </c>
      <c r="CD280" s="574">
        <f t="shared" si="11"/>
        <v>0</v>
      </c>
      <c r="CE280" s="180"/>
      <c r="CF280" s="180"/>
      <c r="CG280" s="180"/>
      <c r="CH280" s="180"/>
      <c r="CI280" s="180"/>
      <c r="CJ280" s="180"/>
      <c r="CK280" s="180"/>
      <c r="CL280" s="180"/>
      <c r="CM280" s="180"/>
      <c r="CN280" s="180"/>
      <c r="CO280" s="180"/>
      <c r="CP280" s="180"/>
      <c r="CQ280" s="180"/>
      <c r="CR280" s="180"/>
      <c r="CS280" s="180"/>
      <c r="CT280" s="180"/>
      <c r="CU280" s="180"/>
    </row>
    <row r="281" spans="1:104" x14ac:dyDescent="0.3">
      <c r="B281" s="180"/>
      <c r="C281" s="180"/>
      <c r="D281" s="180"/>
      <c r="E281" s="180"/>
      <c r="F281" s="180"/>
      <c r="G281" s="180"/>
      <c r="H281" s="180"/>
      <c r="I281" s="180"/>
      <c r="J281" s="180"/>
      <c r="K281" s="180"/>
      <c r="L281" s="979" t="e">
        <f>L278/L279</f>
        <v>#DIV/0!</v>
      </c>
      <c r="M281" s="180"/>
      <c r="N281" s="180"/>
      <c r="O281" s="180"/>
      <c r="P281" s="180"/>
      <c r="Q281" s="180"/>
      <c r="R281" s="180"/>
      <c r="S281" s="180"/>
      <c r="T281" s="180"/>
      <c r="U281" s="180"/>
      <c r="V281" s="180"/>
      <c r="W281" s="180"/>
      <c r="X281" s="180"/>
      <c r="Y281" s="180"/>
      <c r="Z281" s="180"/>
      <c r="AA281" s="180"/>
      <c r="AB281" s="180"/>
      <c r="AC281" s="180"/>
      <c r="AD281" s="180"/>
      <c r="AE281" s="180"/>
      <c r="AF281" s="180"/>
      <c r="AG281" s="180"/>
      <c r="AH281" s="180"/>
      <c r="AI281" s="180"/>
      <c r="AJ281" s="180"/>
      <c r="AK281" s="180"/>
      <c r="AL281" s="180"/>
      <c r="AM281" s="180"/>
      <c r="AN281" s="180"/>
      <c r="AO281" s="180"/>
      <c r="AP281" s="180"/>
      <c r="AQ281" s="180"/>
      <c r="AR281" s="180"/>
      <c r="AS281" s="180"/>
      <c r="AT281" s="180"/>
      <c r="AU281" s="180"/>
      <c r="AV281" s="180"/>
      <c r="AW281" s="180"/>
      <c r="AX281" s="180"/>
      <c r="AY281" s="180"/>
      <c r="AZ281" s="180"/>
      <c r="BA281" s="180"/>
      <c r="BB281" s="180"/>
      <c r="BC281" s="180"/>
      <c r="BD281" s="180"/>
      <c r="BE281" s="180"/>
      <c r="BF281" s="180"/>
      <c r="BG281" s="180"/>
      <c r="BH281" s="180"/>
      <c r="BI281" s="180"/>
      <c r="BJ281" s="180"/>
      <c r="BK281" s="180"/>
      <c r="BL281" s="180"/>
      <c r="BM281" s="180"/>
      <c r="BN281" s="180"/>
      <c r="BO281" s="180"/>
      <c r="BP281" s="180"/>
      <c r="BQ281" s="180"/>
      <c r="BR281" s="180"/>
      <c r="BS281" s="180"/>
      <c r="BT281" s="180"/>
      <c r="BU281" s="180"/>
      <c r="BV281" s="180"/>
      <c r="BW281" s="180"/>
      <c r="BX281" s="180"/>
      <c r="BY281" s="180"/>
      <c r="BZ281" s="180"/>
      <c r="CA281" s="180"/>
      <c r="CB281" s="180"/>
      <c r="CC281" s="180"/>
      <c r="CD281" s="180"/>
      <c r="CE281" s="180"/>
      <c r="CF281" s="180"/>
      <c r="CG281" s="180"/>
      <c r="CH281" s="180"/>
      <c r="CI281" s="180"/>
      <c r="CJ281" s="180"/>
      <c r="CK281" s="180"/>
      <c r="CL281" s="180"/>
      <c r="CM281" s="180"/>
      <c r="CN281" s="180"/>
      <c r="CO281" s="180"/>
      <c r="CP281" s="180"/>
      <c r="CQ281" s="180"/>
      <c r="CR281" s="180"/>
      <c r="CS281" s="180"/>
      <c r="CT281" s="180"/>
      <c r="CU281" s="180"/>
    </row>
    <row r="282" spans="1:104" x14ac:dyDescent="0.3">
      <c r="B282" s="180"/>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c r="AB282" s="180"/>
      <c r="AC282" s="180"/>
      <c r="AD282" s="180"/>
      <c r="AE282" s="180"/>
      <c r="AF282" s="180"/>
      <c r="AG282" s="180"/>
      <c r="AH282" s="180"/>
      <c r="AI282" s="180"/>
      <c r="AJ282" s="180"/>
      <c r="AK282" s="180"/>
      <c r="AL282" s="180"/>
      <c r="AM282" s="180"/>
      <c r="AN282" s="180"/>
      <c r="AO282" s="180"/>
      <c r="AP282" s="180"/>
      <c r="AQ282" s="180"/>
      <c r="AR282" s="180"/>
      <c r="AS282" s="180"/>
      <c r="AT282" s="180"/>
      <c r="AU282" s="180"/>
      <c r="AV282" s="180"/>
      <c r="AW282" s="180"/>
      <c r="AX282" s="180"/>
      <c r="AY282" s="180"/>
      <c r="AZ282" s="180"/>
      <c r="BA282" s="180"/>
      <c r="BB282" s="180"/>
      <c r="BC282" s="180"/>
      <c r="BD282" s="180"/>
      <c r="BE282" s="180"/>
      <c r="BF282" s="180"/>
      <c r="BG282" s="180"/>
      <c r="BH282" s="180"/>
      <c r="BI282" s="180"/>
      <c r="BJ282" s="180"/>
      <c r="BK282" s="180"/>
      <c r="BL282" s="180"/>
      <c r="BM282" s="180"/>
      <c r="BN282" s="180"/>
      <c r="BO282" s="180"/>
      <c r="BP282" s="180"/>
      <c r="BQ282" s="180"/>
      <c r="BR282" s="180"/>
      <c r="BS282" s="180"/>
      <c r="BT282" s="180"/>
      <c r="BU282" s="180"/>
      <c r="BV282" s="180"/>
      <c r="BW282" s="180"/>
      <c r="BX282" s="180"/>
      <c r="BY282" s="180"/>
      <c r="BZ282" s="180"/>
      <c r="CA282" s="180"/>
      <c r="CB282" s="180"/>
      <c r="CC282" s="180"/>
      <c r="CD282" s="180"/>
      <c r="CE282" s="180"/>
      <c r="CF282" s="180"/>
      <c r="CG282" s="180"/>
      <c r="CH282" s="180"/>
      <c r="CI282" s="180"/>
      <c r="CJ282" s="180"/>
      <c r="CK282" s="180"/>
      <c r="CL282" s="180"/>
      <c r="CM282" s="180"/>
      <c r="CN282" s="180"/>
      <c r="CO282" s="180"/>
      <c r="CP282" s="180"/>
      <c r="CQ282" s="180"/>
      <c r="CR282" s="180"/>
      <c r="CS282" s="180"/>
      <c r="CT282" s="180"/>
      <c r="CU282" s="180"/>
    </row>
    <row r="283" spans="1:104" x14ac:dyDescent="0.3">
      <c r="B283" s="180"/>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c r="AB283" s="180"/>
      <c r="AC283" s="180"/>
      <c r="AD283" s="180"/>
      <c r="AE283" s="180"/>
      <c r="AF283" s="180"/>
      <c r="AG283" s="180"/>
      <c r="AH283" s="180"/>
      <c r="AI283" s="180"/>
      <c r="AJ283" s="180"/>
      <c r="AK283" s="180"/>
      <c r="AL283" s="180"/>
      <c r="AM283" s="180"/>
      <c r="AN283" s="180"/>
      <c r="AO283" s="180"/>
      <c r="AP283" s="180"/>
      <c r="AQ283" s="180"/>
      <c r="AR283" s="180"/>
      <c r="AS283" s="180"/>
      <c r="AT283" s="180"/>
      <c r="AU283" s="180"/>
      <c r="AV283" s="180"/>
      <c r="AW283" s="180"/>
      <c r="AX283" s="180"/>
      <c r="AY283" s="180"/>
      <c r="AZ283" s="180"/>
      <c r="BA283" s="180"/>
      <c r="BB283" s="180"/>
      <c r="BC283" s="180"/>
      <c r="BD283" s="180"/>
      <c r="BE283" s="180"/>
      <c r="BF283" s="180"/>
      <c r="BG283" s="180"/>
      <c r="BH283" s="180"/>
      <c r="BI283" s="180"/>
      <c r="BJ283" s="180"/>
      <c r="BK283" s="180"/>
      <c r="BL283" s="180"/>
      <c r="BM283" s="180"/>
      <c r="BN283" s="180"/>
      <c r="BO283" s="180"/>
      <c r="BP283" s="180"/>
      <c r="BQ283" s="180"/>
      <c r="BR283" s="180"/>
      <c r="BS283" s="180"/>
      <c r="BT283" s="180"/>
      <c r="BU283" s="180"/>
      <c r="BV283" s="180"/>
      <c r="BW283" s="180"/>
      <c r="BX283" s="180"/>
      <c r="BY283" s="180"/>
      <c r="BZ283" s="180"/>
      <c r="CA283" s="180"/>
      <c r="CB283" s="180"/>
      <c r="CC283" s="180"/>
      <c r="CD283" s="180"/>
      <c r="CE283" s="180"/>
      <c r="CF283" s="180"/>
      <c r="CG283" s="180"/>
      <c r="CH283" s="180"/>
      <c r="CI283" s="180"/>
      <c r="CJ283" s="180"/>
      <c r="CK283" s="180"/>
      <c r="CL283" s="180"/>
      <c r="CM283" s="180"/>
      <c r="CN283" s="180"/>
      <c r="CO283" s="180"/>
      <c r="CP283" s="180"/>
      <c r="CQ283" s="180"/>
      <c r="CR283" s="180"/>
      <c r="CS283" s="180"/>
      <c r="CT283" s="180"/>
      <c r="CU283" s="180"/>
      <c r="CV283" s="180"/>
      <c r="CW283" s="180"/>
      <c r="CX283" s="180"/>
      <c r="CY283" s="180"/>
      <c r="CZ283" s="180"/>
    </row>
    <row r="284" spans="1:104" x14ac:dyDescent="0.3">
      <c r="B284" s="180"/>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c r="AB284" s="180"/>
      <c r="AC284" s="180"/>
      <c r="AD284" s="180"/>
      <c r="AE284" s="180"/>
      <c r="AF284" s="180"/>
      <c r="AG284" s="180"/>
      <c r="AH284" s="180"/>
      <c r="AI284" s="180"/>
      <c r="AJ284" s="180"/>
      <c r="AK284" s="180"/>
      <c r="AL284" s="180"/>
      <c r="AM284" s="180"/>
      <c r="AN284" s="180"/>
      <c r="AO284" s="180"/>
      <c r="AP284" s="180"/>
      <c r="AQ284" s="180"/>
      <c r="AR284" s="180"/>
      <c r="AS284" s="180"/>
      <c r="AT284" s="180"/>
      <c r="AU284" s="180"/>
      <c r="AV284" s="180"/>
      <c r="AW284" s="180"/>
      <c r="AX284" s="180"/>
      <c r="AY284" s="180"/>
      <c r="AZ284" s="180"/>
      <c r="BA284" s="180"/>
      <c r="BB284" s="180"/>
      <c r="BC284" s="180"/>
      <c r="BD284" s="180"/>
      <c r="BE284" s="180"/>
      <c r="BF284" s="180"/>
      <c r="BG284" s="180"/>
      <c r="BH284" s="180"/>
      <c r="BI284" s="180"/>
      <c r="BJ284" s="180"/>
      <c r="BK284" s="180"/>
      <c r="BL284" s="180"/>
      <c r="BM284" s="180"/>
      <c r="BN284" s="180"/>
      <c r="BO284" s="180"/>
      <c r="BP284" s="180"/>
      <c r="BQ284" s="180"/>
      <c r="BR284" s="180"/>
      <c r="BS284" s="180"/>
      <c r="BT284" s="180"/>
      <c r="BU284" s="180"/>
      <c r="BV284" s="180"/>
      <c r="BW284" s="180"/>
      <c r="BX284" s="180"/>
      <c r="BY284" s="180"/>
      <c r="BZ284" s="180"/>
      <c r="CA284" s="180"/>
      <c r="CB284" s="180"/>
      <c r="CC284" s="180"/>
      <c r="CD284" s="180"/>
      <c r="CE284" s="180"/>
      <c r="CF284" s="180"/>
      <c r="CG284" s="180"/>
      <c r="CH284" s="180"/>
      <c r="CI284" s="180"/>
      <c r="CJ284" s="180"/>
      <c r="CK284" s="180"/>
      <c r="CL284" s="180"/>
      <c r="CM284" s="180"/>
      <c r="CN284" s="180"/>
      <c r="CO284" s="180"/>
      <c r="CP284" s="180"/>
      <c r="CQ284" s="180"/>
      <c r="CR284" s="180"/>
      <c r="CS284" s="180"/>
      <c r="CT284" s="180"/>
      <c r="CU284" s="180"/>
      <c r="CV284" s="180"/>
      <c r="CW284" s="180"/>
      <c r="CX284" s="180"/>
      <c r="CY284" s="180"/>
      <c r="CZ284" s="180"/>
    </row>
    <row r="285" spans="1:104" x14ac:dyDescent="0.3">
      <c r="A285" s="556">
        <v>906</v>
      </c>
      <c r="B285" s="180"/>
      <c r="C285" s="180">
        <v>204</v>
      </c>
      <c r="D285" s="180">
        <f t="shared" ref="D285:AI285" si="12">D203</f>
        <v>1</v>
      </c>
      <c r="E285" s="180">
        <f t="shared" si="12"/>
        <v>1</v>
      </c>
      <c r="F285" s="180">
        <f t="shared" si="12"/>
        <v>0</v>
      </c>
      <c r="G285" s="180">
        <f t="shared" si="12"/>
        <v>0</v>
      </c>
      <c r="H285" s="180">
        <f t="shared" si="12"/>
        <v>1</v>
      </c>
      <c r="I285" s="180">
        <f t="shared" si="12"/>
        <v>1</v>
      </c>
      <c r="J285" s="180">
        <f t="shared" si="12"/>
        <v>0</v>
      </c>
      <c r="K285" s="180">
        <f t="shared" si="12"/>
        <v>1</v>
      </c>
      <c r="L285" s="180">
        <f t="shared" si="12"/>
        <v>1</v>
      </c>
      <c r="M285" s="180">
        <f t="shared" si="12"/>
        <v>1</v>
      </c>
      <c r="N285" s="180">
        <f t="shared" si="12"/>
        <v>1</v>
      </c>
      <c r="O285" s="180">
        <f t="shared" si="12"/>
        <v>1</v>
      </c>
      <c r="P285" s="180">
        <f t="shared" si="12"/>
        <v>0</v>
      </c>
      <c r="Q285" s="180">
        <f t="shared" si="12"/>
        <v>1</v>
      </c>
      <c r="R285" s="180">
        <f t="shared" si="12"/>
        <v>1</v>
      </c>
      <c r="S285" s="180">
        <f t="shared" si="12"/>
        <v>1</v>
      </c>
      <c r="T285" s="180">
        <f t="shared" si="12"/>
        <v>1</v>
      </c>
      <c r="U285" s="180">
        <f t="shared" si="12"/>
        <v>0</v>
      </c>
      <c r="V285" s="180">
        <f t="shared" si="12"/>
        <v>0</v>
      </c>
      <c r="W285" s="180">
        <f t="shared" si="12"/>
        <v>0</v>
      </c>
      <c r="X285" s="180">
        <f t="shared" si="12"/>
        <v>1</v>
      </c>
      <c r="Y285" s="180">
        <f t="shared" si="12"/>
        <v>1</v>
      </c>
      <c r="Z285" s="180">
        <f t="shared" si="12"/>
        <v>1</v>
      </c>
      <c r="AA285" s="180">
        <f t="shared" si="12"/>
        <v>1</v>
      </c>
      <c r="AB285" s="180">
        <f t="shared" si="12"/>
        <v>1</v>
      </c>
      <c r="AC285" s="180">
        <f t="shared" si="12"/>
        <v>1</v>
      </c>
      <c r="AD285" s="180">
        <f t="shared" si="12"/>
        <v>1</v>
      </c>
      <c r="AE285" s="180">
        <f t="shared" si="12"/>
        <v>1</v>
      </c>
      <c r="AF285" s="180">
        <f t="shared" si="12"/>
        <v>1</v>
      </c>
      <c r="AG285" s="180">
        <f t="shared" si="12"/>
        <v>1</v>
      </c>
      <c r="AH285" s="180">
        <f t="shared" si="12"/>
        <v>1</v>
      </c>
      <c r="AI285" s="180">
        <f t="shared" si="12"/>
        <v>1</v>
      </c>
      <c r="AJ285" s="180">
        <f t="shared" ref="AJ285:BO285" si="13">AJ203</f>
        <v>1</v>
      </c>
      <c r="AK285" s="180">
        <f t="shared" si="13"/>
        <v>1</v>
      </c>
      <c r="AL285" s="180">
        <f t="shared" si="13"/>
        <v>1</v>
      </c>
      <c r="AM285" s="180">
        <f t="shared" si="13"/>
        <v>1</v>
      </c>
      <c r="AN285" s="180">
        <f t="shared" si="13"/>
        <v>1</v>
      </c>
      <c r="AO285" s="180">
        <f t="shared" si="13"/>
        <v>1</v>
      </c>
      <c r="AP285" s="180">
        <f t="shared" si="13"/>
        <v>1</v>
      </c>
      <c r="AQ285" s="180">
        <f t="shared" si="13"/>
        <v>1</v>
      </c>
      <c r="AR285" s="180">
        <f t="shared" si="13"/>
        <v>1</v>
      </c>
      <c r="AS285" s="180">
        <f t="shared" si="13"/>
        <v>1</v>
      </c>
      <c r="AT285" s="180">
        <f t="shared" si="13"/>
        <v>1</v>
      </c>
      <c r="AU285" s="180">
        <f t="shared" si="13"/>
        <v>1</v>
      </c>
      <c r="AV285" s="180">
        <f t="shared" si="13"/>
        <v>1</v>
      </c>
      <c r="AW285" s="180">
        <f t="shared" si="13"/>
        <v>1</v>
      </c>
      <c r="AX285" s="180">
        <f t="shared" si="13"/>
        <v>1</v>
      </c>
      <c r="AY285" s="180">
        <f t="shared" si="13"/>
        <v>1</v>
      </c>
      <c r="AZ285" s="180">
        <f t="shared" si="13"/>
        <v>1</v>
      </c>
      <c r="BA285" s="180">
        <f t="shared" si="13"/>
        <v>1</v>
      </c>
      <c r="BB285" s="180">
        <f t="shared" si="13"/>
        <v>1</v>
      </c>
      <c r="BC285" s="180">
        <f t="shared" si="13"/>
        <v>1</v>
      </c>
      <c r="BD285" s="180">
        <f t="shared" si="13"/>
        <v>1</v>
      </c>
      <c r="BE285" s="180">
        <f t="shared" si="13"/>
        <v>1</v>
      </c>
      <c r="BF285" s="180">
        <f t="shared" si="13"/>
        <v>1</v>
      </c>
      <c r="BG285" s="180">
        <f t="shared" si="13"/>
        <v>0</v>
      </c>
      <c r="BH285" s="180">
        <f t="shared" si="13"/>
        <v>1</v>
      </c>
      <c r="BI285" s="180">
        <f t="shared" si="13"/>
        <v>1</v>
      </c>
      <c r="BJ285" s="180">
        <f t="shared" si="13"/>
        <v>1</v>
      </c>
      <c r="BK285" s="180">
        <f t="shared" si="13"/>
        <v>1</v>
      </c>
      <c r="BL285" s="180">
        <f t="shared" si="13"/>
        <v>1</v>
      </c>
      <c r="BM285" s="180">
        <f t="shared" si="13"/>
        <v>1</v>
      </c>
      <c r="BN285" s="180">
        <f t="shared" si="13"/>
        <v>1</v>
      </c>
      <c r="BO285" s="180">
        <f t="shared" si="13"/>
        <v>1</v>
      </c>
      <c r="BP285" s="180">
        <f t="shared" ref="BP285:CZ285" si="14">BP203</f>
        <v>0</v>
      </c>
      <c r="BQ285" s="180">
        <f t="shared" si="14"/>
        <v>1</v>
      </c>
      <c r="BR285" s="180">
        <f t="shared" si="14"/>
        <v>0</v>
      </c>
      <c r="BS285" s="180">
        <f t="shared" si="14"/>
        <v>1</v>
      </c>
      <c r="BT285" s="180">
        <f t="shared" si="14"/>
        <v>1</v>
      </c>
      <c r="BU285" s="180">
        <f t="shared" si="14"/>
        <v>0</v>
      </c>
      <c r="BV285" s="180">
        <f t="shared" si="14"/>
        <v>1</v>
      </c>
      <c r="BW285" s="180">
        <f t="shared" si="14"/>
        <v>0</v>
      </c>
      <c r="BX285" s="180">
        <f t="shared" si="14"/>
        <v>0</v>
      </c>
      <c r="BY285" s="180">
        <f t="shared" si="14"/>
        <v>0</v>
      </c>
      <c r="BZ285" s="180">
        <f t="shared" si="14"/>
        <v>0</v>
      </c>
      <c r="CA285" s="180">
        <f t="shared" si="14"/>
        <v>0</v>
      </c>
      <c r="CB285" s="180">
        <f t="shared" si="14"/>
        <v>0</v>
      </c>
      <c r="CC285" s="180">
        <f t="shared" si="14"/>
        <v>0</v>
      </c>
      <c r="CD285" s="180">
        <f t="shared" si="14"/>
        <v>0</v>
      </c>
      <c r="CE285" s="180">
        <f t="shared" si="14"/>
        <v>0</v>
      </c>
      <c r="CF285" s="180">
        <f t="shared" si="14"/>
        <v>0</v>
      </c>
      <c r="CG285" s="180">
        <f t="shared" si="14"/>
        <v>0</v>
      </c>
      <c r="CH285" s="180">
        <f t="shared" si="14"/>
        <v>0</v>
      </c>
      <c r="CI285" s="180">
        <f t="shared" si="14"/>
        <v>0</v>
      </c>
      <c r="CJ285" s="180">
        <f t="shared" si="14"/>
        <v>0</v>
      </c>
      <c r="CK285" s="180">
        <f t="shared" si="14"/>
        <v>0</v>
      </c>
      <c r="CL285" s="180">
        <f t="shared" si="14"/>
        <v>0</v>
      </c>
      <c r="CM285" s="180">
        <f t="shared" si="14"/>
        <v>0</v>
      </c>
      <c r="CN285" s="180">
        <f t="shared" si="14"/>
        <v>0</v>
      </c>
      <c r="CO285" s="180">
        <f t="shared" si="14"/>
        <v>0</v>
      </c>
      <c r="CP285" s="180">
        <f t="shared" si="14"/>
        <v>0</v>
      </c>
      <c r="CQ285" s="180">
        <f t="shared" si="14"/>
        <v>0</v>
      </c>
      <c r="CR285" s="180">
        <f t="shared" si="14"/>
        <v>0</v>
      </c>
      <c r="CS285" s="180">
        <f t="shared" si="14"/>
        <v>0</v>
      </c>
      <c r="CT285" s="180">
        <f t="shared" si="14"/>
        <v>0</v>
      </c>
      <c r="CU285" s="180">
        <f t="shared" si="14"/>
        <v>0</v>
      </c>
      <c r="CV285" s="180">
        <f t="shared" si="14"/>
        <v>0</v>
      </c>
      <c r="CW285" s="180">
        <f t="shared" si="14"/>
        <v>0</v>
      </c>
      <c r="CX285" s="180">
        <f t="shared" si="14"/>
        <v>0</v>
      </c>
      <c r="CY285" s="180">
        <f t="shared" si="14"/>
        <v>0</v>
      </c>
      <c r="CZ285" s="180">
        <f t="shared" si="14"/>
        <v>0</v>
      </c>
    </row>
    <row r="286" spans="1:104" x14ac:dyDescent="0.3">
      <c r="A286" s="556">
        <v>907</v>
      </c>
      <c r="B286" s="180"/>
      <c r="C286" s="180">
        <v>205</v>
      </c>
      <c r="D286" s="180">
        <f t="shared" ref="D286:AI286" si="15">D204</f>
        <v>1</v>
      </c>
      <c r="E286" s="180">
        <f t="shared" si="15"/>
        <v>2</v>
      </c>
      <c r="F286" s="180">
        <f t="shared" si="15"/>
        <v>0</v>
      </c>
      <c r="G286" s="180">
        <f t="shared" si="15"/>
        <v>0</v>
      </c>
      <c r="H286" s="180">
        <f t="shared" si="15"/>
        <v>2</v>
      </c>
      <c r="I286" s="180">
        <f t="shared" si="15"/>
        <v>1</v>
      </c>
      <c r="J286" s="180">
        <f t="shared" si="15"/>
        <v>0</v>
      </c>
      <c r="K286" s="180">
        <f t="shared" si="15"/>
        <v>2</v>
      </c>
      <c r="L286" s="180">
        <f t="shared" si="15"/>
        <v>2</v>
      </c>
      <c r="M286" s="180">
        <f t="shared" si="15"/>
        <v>2</v>
      </c>
      <c r="N286" s="180">
        <f t="shared" si="15"/>
        <v>1</v>
      </c>
      <c r="O286" s="180">
        <f t="shared" si="15"/>
        <v>2</v>
      </c>
      <c r="P286" s="180">
        <f t="shared" si="15"/>
        <v>0</v>
      </c>
      <c r="Q286" s="180">
        <f t="shared" si="15"/>
        <v>1</v>
      </c>
      <c r="R286" s="180">
        <f t="shared" si="15"/>
        <v>1</v>
      </c>
      <c r="S286" s="180">
        <f t="shared" si="15"/>
        <v>2</v>
      </c>
      <c r="T286" s="180">
        <f t="shared" si="15"/>
        <v>2</v>
      </c>
      <c r="U286" s="180">
        <f t="shared" si="15"/>
        <v>0</v>
      </c>
      <c r="V286" s="180">
        <f t="shared" si="15"/>
        <v>0</v>
      </c>
      <c r="W286" s="180">
        <f t="shared" si="15"/>
        <v>0</v>
      </c>
      <c r="X286" s="180">
        <f t="shared" si="15"/>
        <v>2</v>
      </c>
      <c r="Y286" s="180">
        <f t="shared" si="15"/>
        <v>2</v>
      </c>
      <c r="Z286" s="180">
        <f t="shared" si="15"/>
        <v>2</v>
      </c>
      <c r="AA286" s="180">
        <f t="shared" si="15"/>
        <v>2</v>
      </c>
      <c r="AB286" s="180">
        <f t="shared" si="15"/>
        <v>2</v>
      </c>
      <c r="AC286" s="180">
        <f t="shared" si="15"/>
        <v>2</v>
      </c>
      <c r="AD286" s="180">
        <f t="shared" si="15"/>
        <v>2</v>
      </c>
      <c r="AE286" s="180">
        <f t="shared" si="15"/>
        <v>1</v>
      </c>
      <c r="AF286" s="180">
        <f t="shared" si="15"/>
        <v>2</v>
      </c>
      <c r="AG286" s="180">
        <f t="shared" si="15"/>
        <v>2</v>
      </c>
      <c r="AH286" s="180">
        <f t="shared" si="15"/>
        <v>2</v>
      </c>
      <c r="AI286" s="180">
        <f t="shared" si="15"/>
        <v>1</v>
      </c>
      <c r="AJ286" s="180">
        <f t="shared" ref="AJ286:BO286" si="16">AJ204</f>
        <v>2</v>
      </c>
      <c r="AK286" s="180">
        <f t="shared" si="16"/>
        <v>1</v>
      </c>
      <c r="AL286" s="180">
        <f t="shared" si="16"/>
        <v>2</v>
      </c>
      <c r="AM286" s="180">
        <f t="shared" si="16"/>
        <v>1</v>
      </c>
      <c r="AN286" s="180">
        <f t="shared" si="16"/>
        <v>1</v>
      </c>
      <c r="AO286" s="180">
        <f t="shared" si="16"/>
        <v>2</v>
      </c>
      <c r="AP286" s="180">
        <f t="shared" si="16"/>
        <v>1</v>
      </c>
      <c r="AQ286" s="180">
        <f t="shared" si="16"/>
        <v>2</v>
      </c>
      <c r="AR286" s="180">
        <f t="shared" si="16"/>
        <v>1</v>
      </c>
      <c r="AS286" s="180">
        <f t="shared" si="16"/>
        <v>2</v>
      </c>
      <c r="AT286" s="180">
        <f t="shared" si="16"/>
        <v>1</v>
      </c>
      <c r="AU286" s="180">
        <f t="shared" si="16"/>
        <v>1</v>
      </c>
      <c r="AV286" s="180">
        <f t="shared" si="16"/>
        <v>2</v>
      </c>
      <c r="AW286" s="180">
        <f t="shared" si="16"/>
        <v>1</v>
      </c>
      <c r="AX286" s="180">
        <f t="shared" si="16"/>
        <v>2</v>
      </c>
      <c r="AY286" s="180">
        <f t="shared" si="16"/>
        <v>1</v>
      </c>
      <c r="AZ286" s="180">
        <f t="shared" si="16"/>
        <v>2</v>
      </c>
      <c r="BA286" s="180">
        <f t="shared" si="16"/>
        <v>2</v>
      </c>
      <c r="BB286" s="180">
        <f t="shared" si="16"/>
        <v>1</v>
      </c>
      <c r="BC286" s="180">
        <f t="shared" si="16"/>
        <v>1</v>
      </c>
      <c r="BD286" s="180">
        <f t="shared" si="16"/>
        <v>2</v>
      </c>
      <c r="BE286" s="180">
        <f t="shared" si="16"/>
        <v>1</v>
      </c>
      <c r="BF286" s="180">
        <f t="shared" si="16"/>
        <v>2</v>
      </c>
      <c r="BG286" s="180">
        <f t="shared" si="16"/>
        <v>0</v>
      </c>
      <c r="BH286" s="180">
        <f t="shared" si="16"/>
        <v>1</v>
      </c>
      <c r="BI286" s="180">
        <f t="shared" si="16"/>
        <v>1</v>
      </c>
      <c r="BJ286" s="180">
        <f t="shared" si="16"/>
        <v>2</v>
      </c>
      <c r="BK286" s="180">
        <f t="shared" si="16"/>
        <v>1</v>
      </c>
      <c r="BL286" s="180">
        <f t="shared" si="16"/>
        <v>2</v>
      </c>
      <c r="BM286" s="180">
        <f t="shared" si="16"/>
        <v>2</v>
      </c>
      <c r="BN286" s="180">
        <f t="shared" si="16"/>
        <v>2</v>
      </c>
      <c r="BO286" s="180">
        <f t="shared" si="16"/>
        <v>1</v>
      </c>
      <c r="BP286" s="180">
        <f t="shared" ref="BP286:CZ286" si="17">BP204</f>
        <v>0</v>
      </c>
      <c r="BQ286" s="180">
        <f t="shared" si="17"/>
        <v>1</v>
      </c>
      <c r="BR286" s="180">
        <f t="shared" si="17"/>
        <v>0</v>
      </c>
      <c r="BS286" s="180">
        <f t="shared" si="17"/>
        <v>2</v>
      </c>
      <c r="BT286" s="180">
        <f t="shared" si="17"/>
        <v>2</v>
      </c>
      <c r="BU286" s="180">
        <f t="shared" si="17"/>
        <v>0</v>
      </c>
      <c r="BV286" s="180">
        <f t="shared" si="17"/>
        <v>2</v>
      </c>
      <c r="BW286" s="180">
        <f t="shared" si="17"/>
        <v>0</v>
      </c>
      <c r="BX286" s="180">
        <f t="shared" si="17"/>
        <v>0</v>
      </c>
      <c r="BY286" s="180">
        <f t="shared" si="17"/>
        <v>0</v>
      </c>
      <c r="BZ286" s="180">
        <f t="shared" si="17"/>
        <v>0</v>
      </c>
      <c r="CA286" s="180">
        <f t="shared" si="17"/>
        <v>0</v>
      </c>
      <c r="CB286" s="180">
        <f t="shared" si="17"/>
        <v>0</v>
      </c>
      <c r="CC286" s="180">
        <f t="shared" si="17"/>
        <v>0</v>
      </c>
      <c r="CD286" s="180">
        <f t="shared" si="17"/>
        <v>0</v>
      </c>
      <c r="CE286" s="180">
        <f t="shared" si="17"/>
        <v>0</v>
      </c>
      <c r="CF286" s="180">
        <f t="shared" si="17"/>
        <v>0</v>
      </c>
      <c r="CG286" s="180">
        <f t="shared" si="17"/>
        <v>0</v>
      </c>
      <c r="CH286" s="180">
        <f t="shared" si="17"/>
        <v>0</v>
      </c>
      <c r="CI286" s="180">
        <f t="shared" si="17"/>
        <v>0</v>
      </c>
      <c r="CJ286" s="180">
        <f t="shared" si="17"/>
        <v>0</v>
      </c>
      <c r="CK286" s="180">
        <f t="shared" si="17"/>
        <v>0</v>
      </c>
      <c r="CL286" s="180">
        <f t="shared" si="17"/>
        <v>0</v>
      </c>
      <c r="CM286" s="180">
        <f t="shared" si="17"/>
        <v>0</v>
      </c>
      <c r="CN286" s="180">
        <f t="shared" si="17"/>
        <v>0</v>
      </c>
      <c r="CO286" s="180">
        <f t="shared" si="17"/>
        <v>0</v>
      </c>
      <c r="CP286" s="180">
        <f t="shared" si="17"/>
        <v>0</v>
      </c>
      <c r="CQ286" s="180">
        <f t="shared" si="17"/>
        <v>0</v>
      </c>
      <c r="CR286" s="180">
        <f t="shared" si="17"/>
        <v>0</v>
      </c>
      <c r="CS286" s="180">
        <f t="shared" si="17"/>
        <v>0</v>
      </c>
      <c r="CT286" s="180">
        <f t="shared" si="17"/>
        <v>0</v>
      </c>
      <c r="CU286" s="180">
        <f t="shared" si="17"/>
        <v>0</v>
      </c>
      <c r="CV286" s="180">
        <f t="shared" si="17"/>
        <v>0</v>
      </c>
      <c r="CW286" s="180">
        <f t="shared" si="17"/>
        <v>0</v>
      </c>
      <c r="CX286" s="180">
        <f t="shared" si="17"/>
        <v>0</v>
      </c>
      <c r="CY286" s="180">
        <f t="shared" si="17"/>
        <v>0</v>
      </c>
      <c r="CZ286" s="180">
        <f t="shared" si="17"/>
        <v>0</v>
      </c>
    </row>
    <row r="287" spans="1:104" x14ac:dyDescent="0.3">
      <c r="A287" s="556">
        <v>951</v>
      </c>
      <c r="B287" s="180"/>
      <c r="C287" s="180">
        <v>209</v>
      </c>
      <c r="D287" s="180">
        <f t="shared" ref="D287:AI287" si="18">D209</f>
        <v>2</v>
      </c>
      <c r="E287" s="180">
        <f t="shared" si="18"/>
        <v>2</v>
      </c>
      <c r="F287" s="180">
        <f t="shared" si="18"/>
        <v>0</v>
      </c>
      <c r="G287" s="180">
        <f t="shared" si="18"/>
        <v>0</v>
      </c>
      <c r="H287" s="180">
        <f t="shared" si="18"/>
        <v>2</v>
      </c>
      <c r="I287" s="180">
        <f t="shared" si="18"/>
        <v>2</v>
      </c>
      <c r="J287" s="180">
        <f t="shared" si="18"/>
        <v>0</v>
      </c>
      <c r="K287" s="180">
        <f t="shared" si="18"/>
        <v>2</v>
      </c>
      <c r="L287" s="180">
        <f t="shared" si="18"/>
        <v>2</v>
      </c>
      <c r="M287" s="180">
        <f t="shared" si="18"/>
        <v>2</v>
      </c>
      <c r="N287" s="180">
        <f t="shared" si="18"/>
        <v>2</v>
      </c>
      <c r="O287" s="180">
        <f t="shared" si="18"/>
        <v>2</v>
      </c>
      <c r="P287" s="180">
        <f t="shared" si="18"/>
        <v>0</v>
      </c>
      <c r="Q287" s="180">
        <f t="shared" si="18"/>
        <v>2</v>
      </c>
      <c r="R287" s="180">
        <f t="shared" si="18"/>
        <v>1</v>
      </c>
      <c r="S287" s="180">
        <f t="shared" si="18"/>
        <v>2</v>
      </c>
      <c r="T287" s="180">
        <f t="shared" si="18"/>
        <v>2</v>
      </c>
      <c r="U287" s="180">
        <f t="shared" si="18"/>
        <v>0</v>
      </c>
      <c r="V287" s="180">
        <f t="shared" si="18"/>
        <v>0</v>
      </c>
      <c r="W287" s="180">
        <f t="shared" si="18"/>
        <v>0</v>
      </c>
      <c r="X287" s="180">
        <f t="shared" si="18"/>
        <v>2</v>
      </c>
      <c r="Y287" s="180">
        <f t="shared" si="18"/>
        <v>2</v>
      </c>
      <c r="Z287" s="180">
        <f t="shared" si="18"/>
        <v>2</v>
      </c>
      <c r="AA287" s="180">
        <f t="shared" si="18"/>
        <v>2</v>
      </c>
      <c r="AB287" s="180">
        <f t="shared" si="18"/>
        <v>2</v>
      </c>
      <c r="AC287" s="180">
        <f t="shared" si="18"/>
        <v>2</v>
      </c>
      <c r="AD287" s="180">
        <f t="shared" si="18"/>
        <v>2</v>
      </c>
      <c r="AE287" s="180">
        <f t="shared" si="18"/>
        <v>2</v>
      </c>
      <c r="AF287" s="180">
        <f t="shared" si="18"/>
        <v>2</v>
      </c>
      <c r="AG287" s="180">
        <f t="shared" si="18"/>
        <v>2</v>
      </c>
      <c r="AH287" s="180">
        <f t="shared" si="18"/>
        <v>2</v>
      </c>
      <c r="AI287" s="180">
        <f t="shared" si="18"/>
        <v>1</v>
      </c>
      <c r="AJ287" s="180">
        <f t="shared" ref="AJ287:BO287" si="19">AJ209</f>
        <v>2</v>
      </c>
      <c r="AK287" s="180">
        <f t="shared" si="19"/>
        <v>2</v>
      </c>
      <c r="AL287" s="180">
        <f t="shared" si="19"/>
        <v>2</v>
      </c>
      <c r="AM287" s="180">
        <f t="shared" si="19"/>
        <v>2</v>
      </c>
      <c r="AN287" s="180">
        <f t="shared" si="19"/>
        <v>2</v>
      </c>
      <c r="AO287" s="180">
        <f t="shared" si="19"/>
        <v>2</v>
      </c>
      <c r="AP287" s="180">
        <f t="shared" si="19"/>
        <v>2</v>
      </c>
      <c r="AQ287" s="180">
        <f t="shared" si="19"/>
        <v>2</v>
      </c>
      <c r="AR287" s="180">
        <f t="shared" si="19"/>
        <v>2</v>
      </c>
      <c r="AS287" s="180">
        <f t="shared" si="19"/>
        <v>2</v>
      </c>
      <c r="AT287" s="180">
        <f t="shared" si="19"/>
        <v>2</v>
      </c>
      <c r="AU287" s="180">
        <f t="shared" si="19"/>
        <v>2</v>
      </c>
      <c r="AV287" s="180">
        <f t="shared" si="19"/>
        <v>2</v>
      </c>
      <c r="AW287" s="180">
        <f t="shared" si="19"/>
        <v>2</v>
      </c>
      <c r="AX287" s="180">
        <f t="shared" si="19"/>
        <v>2</v>
      </c>
      <c r="AY287" s="180">
        <f t="shared" si="19"/>
        <v>1</v>
      </c>
      <c r="AZ287" s="180">
        <f t="shared" si="19"/>
        <v>2</v>
      </c>
      <c r="BA287" s="180">
        <f t="shared" si="19"/>
        <v>2</v>
      </c>
      <c r="BB287" s="180">
        <f t="shared" si="19"/>
        <v>1</v>
      </c>
      <c r="BC287" s="180">
        <f t="shared" si="19"/>
        <v>1</v>
      </c>
      <c r="BD287" s="180">
        <f t="shared" si="19"/>
        <v>2</v>
      </c>
      <c r="BE287" s="180">
        <f t="shared" si="19"/>
        <v>2</v>
      </c>
      <c r="BF287" s="180">
        <f t="shared" si="19"/>
        <v>2</v>
      </c>
      <c r="BG287" s="180">
        <f t="shared" si="19"/>
        <v>0</v>
      </c>
      <c r="BH287" s="180">
        <f t="shared" si="19"/>
        <v>1</v>
      </c>
      <c r="BI287" s="180">
        <f t="shared" si="19"/>
        <v>2</v>
      </c>
      <c r="BJ287" s="180">
        <f t="shared" si="19"/>
        <v>2</v>
      </c>
      <c r="BK287" s="180">
        <f t="shared" si="19"/>
        <v>2</v>
      </c>
      <c r="BL287" s="180">
        <f t="shared" si="19"/>
        <v>2</v>
      </c>
      <c r="BM287" s="180">
        <f t="shared" si="19"/>
        <v>2</v>
      </c>
      <c r="BN287" s="180">
        <f t="shared" si="19"/>
        <v>2</v>
      </c>
      <c r="BO287" s="180">
        <f t="shared" si="19"/>
        <v>2</v>
      </c>
      <c r="BP287" s="180">
        <f t="shared" ref="BP287:CZ287" si="20">BP209</f>
        <v>0</v>
      </c>
      <c r="BQ287" s="180">
        <f t="shared" si="20"/>
        <v>2</v>
      </c>
      <c r="BR287" s="180">
        <f t="shared" si="20"/>
        <v>0</v>
      </c>
      <c r="BS287" s="180">
        <f t="shared" si="20"/>
        <v>2</v>
      </c>
      <c r="BT287" s="180">
        <f t="shared" si="20"/>
        <v>2</v>
      </c>
      <c r="BU287" s="180">
        <f t="shared" si="20"/>
        <v>0</v>
      </c>
      <c r="BV287" s="180">
        <f t="shared" si="20"/>
        <v>2</v>
      </c>
      <c r="BW287" s="180">
        <f t="shared" si="20"/>
        <v>0</v>
      </c>
      <c r="BX287" s="180">
        <f t="shared" si="20"/>
        <v>0</v>
      </c>
      <c r="BY287" s="180">
        <f t="shared" si="20"/>
        <v>0</v>
      </c>
      <c r="BZ287" s="180">
        <f t="shared" si="20"/>
        <v>0</v>
      </c>
      <c r="CA287" s="180">
        <f t="shared" si="20"/>
        <v>0</v>
      </c>
      <c r="CB287" s="180">
        <f t="shared" si="20"/>
        <v>0</v>
      </c>
      <c r="CC287" s="180">
        <f t="shared" si="20"/>
        <v>0</v>
      </c>
      <c r="CD287" s="180">
        <f t="shared" si="20"/>
        <v>0</v>
      </c>
      <c r="CE287" s="180">
        <f t="shared" si="20"/>
        <v>0</v>
      </c>
      <c r="CF287" s="180">
        <f t="shared" si="20"/>
        <v>0</v>
      </c>
      <c r="CG287" s="180">
        <f t="shared" si="20"/>
        <v>0</v>
      </c>
      <c r="CH287" s="180">
        <f t="shared" si="20"/>
        <v>0</v>
      </c>
      <c r="CI287" s="180">
        <f t="shared" si="20"/>
        <v>0</v>
      </c>
      <c r="CJ287" s="180">
        <f t="shared" si="20"/>
        <v>0</v>
      </c>
      <c r="CK287" s="180">
        <f t="shared" si="20"/>
        <v>0</v>
      </c>
      <c r="CL287" s="180">
        <f t="shared" si="20"/>
        <v>0</v>
      </c>
      <c r="CM287" s="180">
        <f t="shared" si="20"/>
        <v>0</v>
      </c>
      <c r="CN287" s="180">
        <f t="shared" si="20"/>
        <v>0</v>
      </c>
      <c r="CO287" s="180">
        <f t="shared" si="20"/>
        <v>0</v>
      </c>
      <c r="CP287" s="180">
        <f t="shared" si="20"/>
        <v>0</v>
      </c>
      <c r="CQ287" s="180">
        <f t="shared" si="20"/>
        <v>0</v>
      </c>
      <c r="CR287" s="180">
        <f t="shared" si="20"/>
        <v>0</v>
      </c>
      <c r="CS287" s="180">
        <f t="shared" si="20"/>
        <v>0</v>
      </c>
      <c r="CT287" s="180">
        <f t="shared" si="20"/>
        <v>0</v>
      </c>
      <c r="CU287" s="180">
        <f t="shared" si="20"/>
        <v>0</v>
      </c>
      <c r="CV287" s="180">
        <f t="shared" si="20"/>
        <v>0</v>
      </c>
      <c r="CW287" s="180">
        <f t="shared" si="20"/>
        <v>0</v>
      </c>
      <c r="CX287" s="180">
        <f t="shared" si="20"/>
        <v>0</v>
      </c>
      <c r="CY287" s="180">
        <f t="shared" si="20"/>
        <v>0</v>
      </c>
      <c r="CZ287" s="180">
        <f t="shared" si="20"/>
        <v>0</v>
      </c>
    </row>
    <row r="288" spans="1:104" x14ac:dyDescent="0.3">
      <c r="A288" s="556">
        <v>953</v>
      </c>
      <c r="B288" s="180"/>
      <c r="C288" s="180">
        <v>211</v>
      </c>
      <c r="D288" s="180">
        <f t="shared" ref="D288:AI288" si="21">D211</f>
        <v>2</v>
      </c>
      <c r="E288" s="180">
        <f t="shared" si="21"/>
        <v>2</v>
      </c>
      <c r="F288" s="180">
        <f t="shared" si="21"/>
        <v>0</v>
      </c>
      <c r="G288" s="180">
        <f t="shared" si="21"/>
        <v>0</v>
      </c>
      <c r="H288" s="180">
        <f t="shared" si="21"/>
        <v>2</v>
      </c>
      <c r="I288" s="180">
        <f t="shared" si="21"/>
        <v>2</v>
      </c>
      <c r="J288" s="180">
        <f t="shared" si="21"/>
        <v>0</v>
      </c>
      <c r="K288" s="180">
        <f t="shared" si="21"/>
        <v>2</v>
      </c>
      <c r="L288" s="180">
        <f t="shared" si="21"/>
        <v>2</v>
      </c>
      <c r="M288" s="180">
        <f t="shared" si="21"/>
        <v>2</v>
      </c>
      <c r="N288" s="180">
        <f t="shared" si="21"/>
        <v>2</v>
      </c>
      <c r="O288" s="180">
        <f t="shared" si="21"/>
        <v>2</v>
      </c>
      <c r="P288" s="180">
        <f t="shared" si="21"/>
        <v>0</v>
      </c>
      <c r="Q288" s="180">
        <f t="shared" si="21"/>
        <v>2</v>
      </c>
      <c r="R288" s="180">
        <f t="shared" si="21"/>
        <v>2</v>
      </c>
      <c r="S288" s="180">
        <f t="shared" si="21"/>
        <v>2</v>
      </c>
      <c r="T288" s="180">
        <f t="shared" si="21"/>
        <v>2</v>
      </c>
      <c r="U288" s="180">
        <f t="shared" si="21"/>
        <v>0</v>
      </c>
      <c r="V288" s="180">
        <f t="shared" si="21"/>
        <v>0</v>
      </c>
      <c r="W288" s="180">
        <f t="shared" si="21"/>
        <v>0</v>
      </c>
      <c r="X288" s="180">
        <f t="shared" si="21"/>
        <v>2</v>
      </c>
      <c r="Y288" s="180">
        <f t="shared" si="21"/>
        <v>2</v>
      </c>
      <c r="Z288" s="180">
        <f t="shared" si="21"/>
        <v>2</v>
      </c>
      <c r="AA288" s="180">
        <f t="shared" si="21"/>
        <v>2</v>
      </c>
      <c r="AB288" s="180">
        <f t="shared" si="21"/>
        <v>2</v>
      </c>
      <c r="AC288" s="180">
        <f t="shared" si="21"/>
        <v>2</v>
      </c>
      <c r="AD288" s="180">
        <f t="shared" si="21"/>
        <v>2</v>
      </c>
      <c r="AE288" s="180">
        <f t="shared" si="21"/>
        <v>2</v>
      </c>
      <c r="AF288" s="180">
        <f t="shared" si="21"/>
        <v>2</v>
      </c>
      <c r="AG288" s="180">
        <f t="shared" si="21"/>
        <v>2</v>
      </c>
      <c r="AH288" s="180">
        <f t="shared" si="21"/>
        <v>2</v>
      </c>
      <c r="AI288" s="180">
        <f t="shared" si="21"/>
        <v>2</v>
      </c>
      <c r="AJ288" s="180">
        <f t="shared" ref="AJ288:BO288" si="22">AJ211</f>
        <v>2</v>
      </c>
      <c r="AK288" s="180">
        <f t="shared" si="22"/>
        <v>2</v>
      </c>
      <c r="AL288" s="180">
        <f t="shared" si="22"/>
        <v>2</v>
      </c>
      <c r="AM288" s="180">
        <f t="shared" si="22"/>
        <v>2</v>
      </c>
      <c r="AN288" s="180">
        <f t="shared" si="22"/>
        <v>2</v>
      </c>
      <c r="AO288" s="180">
        <f t="shared" si="22"/>
        <v>2</v>
      </c>
      <c r="AP288" s="180">
        <f t="shared" si="22"/>
        <v>2</v>
      </c>
      <c r="AQ288" s="180">
        <f t="shared" si="22"/>
        <v>2</v>
      </c>
      <c r="AR288" s="180">
        <f t="shared" si="22"/>
        <v>2</v>
      </c>
      <c r="AS288" s="180">
        <f t="shared" si="22"/>
        <v>2</v>
      </c>
      <c r="AT288" s="180">
        <f t="shared" si="22"/>
        <v>2</v>
      </c>
      <c r="AU288" s="180">
        <f t="shared" si="22"/>
        <v>2</v>
      </c>
      <c r="AV288" s="180">
        <f t="shared" si="22"/>
        <v>2</v>
      </c>
      <c r="AW288" s="180">
        <f t="shared" si="22"/>
        <v>2</v>
      </c>
      <c r="AX288" s="180">
        <f t="shared" si="22"/>
        <v>2</v>
      </c>
      <c r="AY288" s="180">
        <f t="shared" si="22"/>
        <v>2</v>
      </c>
      <c r="AZ288" s="180">
        <f t="shared" si="22"/>
        <v>2</v>
      </c>
      <c r="BA288" s="180">
        <f t="shared" si="22"/>
        <v>2</v>
      </c>
      <c r="BB288" s="180">
        <f t="shared" si="22"/>
        <v>2</v>
      </c>
      <c r="BC288" s="180">
        <f t="shared" si="22"/>
        <v>2</v>
      </c>
      <c r="BD288" s="180">
        <f t="shared" si="22"/>
        <v>2</v>
      </c>
      <c r="BE288" s="180">
        <f t="shared" si="22"/>
        <v>2</v>
      </c>
      <c r="BF288" s="180">
        <f t="shared" si="22"/>
        <v>2</v>
      </c>
      <c r="BG288" s="180">
        <f t="shared" si="22"/>
        <v>0</v>
      </c>
      <c r="BH288" s="180">
        <f t="shared" si="22"/>
        <v>2</v>
      </c>
      <c r="BI288" s="180">
        <f t="shared" si="22"/>
        <v>2</v>
      </c>
      <c r="BJ288" s="180">
        <f t="shared" si="22"/>
        <v>2</v>
      </c>
      <c r="BK288" s="180">
        <f t="shared" si="22"/>
        <v>2</v>
      </c>
      <c r="BL288" s="180">
        <f t="shared" si="22"/>
        <v>2</v>
      </c>
      <c r="BM288" s="180">
        <f t="shared" si="22"/>
        <v>2</v>
      </c>
      <c r="BN288" s="180">
        <f t="shared" si="22"/>
        <v>2</v>
      </c>
      <c r="BO288" s="180">
        <f t="shared" si="22"/>
        <v>2</v>
      </c>
      <c r="BP288" s="180">
        <f t="shared" ref="BP288:CZ288" si="23">BP211</f>
        <v>0</v>
      </c>
      <c r="BQ288" s="180">
        <f t="shared" si="23"/>
        <v>2</v>
      </c>
      <c r="BR288" s="180">
        <f t="shared" si="23"/>
        <v>0</v>
      </c>
      <c r="BS288" s="180">
        <f t="shared" si="23"/>
        <v>2</v>
      </c>
      <c r="BT288" s="180">
        <f t="shared" si="23"/>
        <v>2</v>
      </c>
      <c r="BU288" s="180">
        <f t="shared" si="23"/>
        <v>0</v>
      </c>
      <c r="BV288" s="180">
        <f t="shared" si="23"/>
        <v>2</v>
      </c>
      <c r="BW288" s="180">
        <f t="shared" si="23"/>
        <v>0</v>
      </c>
      <c r="BX288" s="180">
        <f t="shared" si="23"/>
        <v>0</v>
      </c>
      <c r="BY288" s="180">
        <f t="shared" si="23"/>
        <v>0</v>
      </c>
      <c r="BZ288" s="180">
        <f t="shared" si="23"/>
        <v>0</v>
      </c>
      <c r="CA288" s="180">
        <f t="shared" si="23"/>
        <v>0</v>
      </c>
      <c r="CB288" s="180">
        <f t="shared" si="23"/>
        <v>0</v>
      </c>
      <c r="CC288" s="180">
        <f t="shared" si="23"/>
        <v>0</v>
      </c>
      <c r="CD288" s="180">
        <f t="shared" si="23"/>
        <v>0</v>
      </c>
      <c r="CE288" s="180">
        <f t="shared" si="23"/>
        <v>0</v>
      </c>
      <c r="CF288" s="180">
        <f t="shared" si="23"/>
        <v>0</v>
      </c>
      <c r="CG288" s="180">
        <f t="shared" si="23"/>
        <v>0</v>
      </c>
      <c r="CH288" s="180">
        <f t="shared" si="23"/>
        <v>0</v>
      </c>
      <c r="CI288" s="180">
        <f t="shared" si="23"/>
        <v>0</v>
      </c>
      <c r="CJ288" s="180">
        <f t="shared" si="23"/>
        <v>0</v>
      </c>
      <c r="CK288" s="180">
        <f t="shared" si="23"/>
        <v>0</v>
      </c>
      <c r="CL288" s="180">
        <f t="shared" si="23"/>
        <v>0</v>
      </c>
      <c r="CM288" s="180">
        <f t="shared" si="23"/>
        <v>0</v>
      </c>
      <c r="CN288" s="180">
        <f t="shared" si="23"/>
        <v>0</v>
      </c>
      <c r="CO288" s="180">
        <f t="shared" si="23"/>
        <v>0</v>
      </c>
      <c r="CP288" s="180">
        <f t="shared" si="23"/>
        <v>0</v>
      </c>
      <c r="CQ288" s="180">
        <f t="shared" si="23"/>
        <v>0</v>
      </c>
      <c r="CR288" s="180">
        <f t="shared" si="23"/>
        <v>0</v>
      </c>
      <c r="CS288" s="180">
        <f t="shared" si="23"/>
        <v>0</v>
      </c>
      <c r="CT288" s="180">
        <f t="shared" si="23"/>
        <v>0</v>
      </c>
      <c r="CU288" s="180">
        <f t="shared" si="23"/>
        <v>0</v>
      </c>
      <c r="CV288" s="180">
        <f t="shared" si="23"/>
        <v>0</v>
      </c>
      <c r="CW288" s="180">
        <f t="shared" si="23"/>
        <v>0</v>
      </c>
      <c r="CX288" s="180">
        <f t="shared" si="23"/>
        <v>0</v>
      </c>
      <c r="CY288" s="180">
        <f t="shared" si="23"/>
        <v>0</v>
      </c>
      <c r="CZ288" s="180">
        <f t="shared" si="23"/>
        <v>0</v>
      </c>
    </row>
    <row r="289" spans="1:104" x14ac:dyDescent="0.3">
      <c r="A289" s="556">
        <v>955</v>
      </c>
      <c r="B289" s="180"/>
      <c r="C289" s="180">
        <v>213</v>
      </c>
      <c r="D289" s="180">
        <f t="shared" ref="D289:AI289" si="24">D213</f>
        <v>1</v>
      </c>
      <c r="E289" s="180">
        <f t="shared" si="24"/>
        <v>0</v>
      </c>
      <c r="F289" s="180">
        <f t="shared" si="24"/>
        <v>0</v>
      </c>
      <c r="G289" s="180">
        <f t="shared" si="24"/>
        <v>0</v>
      </c>
      <c r="H289" s="180">
        <f t="shared" si="24"/>
        <v>0</v>
      </c>
      <c r="I289" s="180">
        <f t="shared" si="24"/>
        <v>0</v>
      </c>
      <c r="J289" s="180">
        <f t="shared" si="24"/>
        <v>0</v>
      </c>
      <c r="K289" s="180">
        <f t="shared" si="24"/>
        <v>0</v>
      </c>
      <c r="L289" s="180">
        <f t="shared" si="24"/>
        <v>0</v>
      </c>
      <c r="M289" s="180">
        <f t="shared" si="24"/>
        <v>0</v>
      </c>
      <c r="N289" s="180">
        <f t="shared" si="24"/>
        <v>0</v>
      </c>
      <c r="O289" s="180">
        <f t="shared" si="24"/>
        <v>0</v>
      </c>
      <c r="P289" s="180">
        <f t="shared" si="24"/>
        <v>0</v>
      </c>
      <c r="Q289" s="180">
        <f t="shared" si="24"/>
        <v>1</v>
      </c>
      <c r="R289" s="180">
        <f t="shared" si="24"/>
        <v>0</v>
      </c>
      <c r="S289" s="180">
        <f t="shared" si="24"/>
        <v>0</v>
      </c>
      <c r="T289" s="180">
        <f t="shared" si="24"/>
        <v>0</v>
      </c>
      <c r="U289" s="180">
        <f t="shared" si="24"/>
        <v>0</v>
      </c>
      <c r="V289" s="180">
        <f t="shared" si="24"/>
        <v>0</v>
      </c>
      <c r="W289" s="180">
        <f t="shared" si="24"/>
        <v>0</v>
      </c>
      <c r="X289" s="180">
        <f t="shared" si="24"/>
        <v>0</v>
      </c>
      <c r="Y289" s="180">
        <f t="shared" si="24"/>
        <v>0</v>
      </c>
      <c r="Z289" s="180">
        <f t="shared" si="24"/>
        <v>0</v>
      </c>
      <c r="AA289" s="180">
        <f t="shared" si="24"/>
        <v>1</v>
      </c>
      <c r="AB289" s="180">
        <f t="shared" si="24"/>
        <v>0</v>
      </c>
      <c r="AC289" s="180">
        <f t="shared" si="24"/>
        <v>0</v>
      </c>
      <c r="AD289" s="180">
        <f t="shared" si="24"/>
        <v>0</v>
      </c>
      <c r="AE289" s="180">
        <f t="shared" si="24"/>
        <v>1</v>
      </c>
      <c r="AF289" s="180">
        <f t="shared" si="24"/>
        <v>1</v>
      </c>
      <c r="AG289" s="180">
        <f t="shared" si="24"/>
        <v>1</v>
      </c>
      <c r="AH289" s="180">
        <f t="shared" si="24"/>
        <v>1</v>
      </c>
      <c r="AI289" s="180">
        <f t="shared" si="24"/>
        <v>0</v>
      </c>
      <c r="AJ289" s="180">
        <f t="shared" ref="AJ289:BO289" si="25">AJ213</f>
        <v>3</v>
      </c>
      <c r="AK289" s="180">
        <f t="shared" si="25"/>
        <v>0</v>
      </c>
      <c r="AL289" s="180">
        <f t="shared" si="25"/>
        <v>0</v>
      </c>
      <c r="AM289" s="180">
        <f t="shared" si="25"/>
        <v>0</v>
      </c>
      <c r="AN289" s="180">
        <f t="shared" si="25"/>
        <v>2</v>
      </c>
      <c r="AO289" s="180">
        <f t="shared" si="25"/>
        <v>1</v>
      </c>
      <c r="AP289" s="180">
        <f t="shared" si="25"/>
        <v>0</v>
      </c>
      <c r="AQ289" s="180">
        <f t="shared" si="25"/>
        <v>0</v>
      </c>
      <c r="AR289" s="180">
        <f t="shared" si="25"/>
        <v>0</v>
      </c>
      <c r="AS289" s="180">
        <f t="shared" si="25"/>
        <v>0</v>
      </c>
      <c r="AT289" s="180">
        <f t="shared" si="25"/>
        <v>0</v>
      </c>
      <c r="AU289" s="180">
        <f t="shared" si="25"/>
        <v>0</v>
      </c>
      <c r="AV289" s="180">
        <f t="shared" si="25"/>
        <v>0</v>
      </c>
      <c r="AW289" s="180">
        <f t="shared" si="25"/>
        <v>0</v>
      </c>
      <c r="AX289" s="180">
        <f t="shared" si="25"/>
        <v>1</v>
      </c>
      <c r="AY289" s="180">
        <f t="shared" si="25"/>
        <v>0</v>
      </c>
      <c r="AZ289" s="180">
        <f t="shared" si="25"/>
        <v>0</v>
      </c>
      <c r="BA289" s="180">
        <f t="shared" si="25"/>
        <v>0</v>
      </c>
      <c r="BB289" s="180">
        <f t="shared" si="25"/>
        <v>1</v>
      </c>
      <c r="BC289" s="180">
        <f t="shared" si="25"/>
        <v>0</v>
      </c>
      <c r="BD289" s="180">
        <f t="shared" si="25"/>
        <v>0</v>
      </c>
      <c r="BE289" s="180">
        <f t="shared" si="25"/>
        <v>0</v>
      </c>
      <c r="BF289" s="180">
        <f t="shared" si="25"/>
        <v>0</v>
      </c>
      <c r="BG289" s="180">
        <f t="shared" si="25"/>
        <v>0</v>
      </c>
      <c r="BH289" s="180">
        <f t="shared" si="25"/>
        <v>0</v>
      </c>
      <c r="BI289" s="180">
        <f t="shared" si="25"/>
        <v>0</v>
      </c>
      <c r="BJ289" s="180">
        <f t="shared" si="25"/>
        <v>1</v>
      </c>
      <c r="BK289" s="180">
        <f t="shared" si="25"/>
        <v>0</v>
      </c>
      <c r="BL289" s="180">
        <f t="shared" si="25"/>
        <v>0</v>
      </c>
      <c r="BM289" s="180">
        <f t="shared" si="25"/>
        <v>0</v>
      </c>
      <c r="BN289" s="180">
        <f t="shared" si="25"/>
        <v>2</v>
      </c>
      <c r="BO289" s="180">
        <f t="shared" si="25"/>
        <v>0</v>
      </c>
      <c r="BP289" s="180">
        <f t="shared" ref="BP289:CZ289" si="26">BP213</f>
        <v>0</v>
      </c>
      <c r="BQ289" s="180">
        <f t="shared" si="26"/>
        <v>0</v>
      </c>
      <c r="BR289" s="180">
        <f t="shared" si="26"/>
        <v>0</v>
      </c>
      <c r="BS289" s="180">
        <f t="shared" si="26"/>
        <v>0</v>
      </c>
      <c r="BT289" s="180">
        <f t="shared" si="26"/>
        <v>1</v>
      </c>
      <c r="BU289" s="180">
        <f t="shared" si="26"/>
        <v>0</v>
      </c>
      <c r="BV289" s="180">
        <f t="shared" si="26"/>
        <v>0</v>
      </c>
      <c r="BW289" s="180">
        <f t="shared" si="26"/>
        <v>0</v>
      </c>
      <c r="BX289" s="180">
        <f t="shared" si="26"/>
        <v>0</v>
      </c>
      <c r="BY289" s="180">
        <f t="shared" si="26"/>
        <v>0</v>
      </c>
      <c r="BZ289" s="180">
        <f t="shared" si="26"/>
        <v>0</v>
      </c>
      <c r="CA289" s="180">
        <f t="shared" si="26"/>
        <v>0</v>
      </c>
      <c r="CB289" s="180">
        <f t="shared" si="26"/>
        <v>0</v>
      </c>
      <c r="CC289" s="180">
        <f t="shared" si="26"/>
        <v>0</v>
      </c>
      <c r="CD289" s="180">
        <f t="shared" si="26"/>
        <v>0</v>
      </c>
      <c r="CE289" s="180">
        <f t="shared" si="26"/>
        <v>0</v>
      </c>
      <c r="CF289" s="180">
        <f t="shared" si="26"/>
        <v>0</v>
      </c>
      <c r="CG289" s="180">
        <f t="shared" si="26"/>
        <v>0</v>
      </c>
      <c r="CH289" s="180">
        <f t="shared" si="26"/>
        <v>0</v>
      </c>
      <c r="CI289" s="180">
        <f t="shared" si="26"/>
        <v>0</v>
      </c>
      <c r="CJ289" s="180">
        <f t="shared" si="26"/>
        <v>0</v>
      </c>
      <c r="CK289" s="180">
        <f t="shared" si="26"/>
        <v>0</v>
      </c>
      <c r="CL289" s="180">
        <f t="shared" si="26"/>
        <v>0</v>
      </c>
      <c r="CM289" s="180">
        <f t="shared" si="26"/>
        <v>0</v>
      </c>
      <c r="CN289" s="180">
        <f t="shared" si="26"/>
        <v>0</v>
      </c>
      <c r="CO289" s="180">
        <f t="shared" si="26"/>
        <v>0</v>
      </c>
      <c r="CP289" s="180">
        <f t="shared" si="26"/>
        <v>0</v>
      </c>
      <c r="CQ289" s="180">
        <f t="shared" si="26"/>
        <v>0</v>
      </c>
      <c r="CR289" s="180">
        <f t="shared" si="26"/>
        <v>0</v>
      </c>
      <c r="CS289" s="180">
        <f t="shared" si="26"/>
        <v>0</v>
      </c>
      <c r="CT289" s="180">
        <f t="shared" si="26"/>
        <v>0</v>
      </c>
      <c r="CU289" s="180">
        <f t="shared" si="26"/>
        <v>0</v>
      </c>
      <c r="CV289" s="180">
        <f t="shared" si="26"/>
        <v>0</v>
      </c>
      <c r="CW289" s="180">
        <f t="shared" si="26"/>
        <v>0</v>
      </c>
      <c r="CX289" s="180">
        <f t="shared" si="26"/>
        <v>0</v>
      </c>
      <c r="CY289" s="180">
        <f t="shared" si="26"/>
        <v>0</v>
      </c>
      <c r="CZ289" s="180">
        <f t="shared" si="26"/>
        <v>0</v>
      </c>
    </row>
    <row r="290" spans="1:104" x14ac:dyDescent="0.3">
      <c r="A290" s="556">
        <v>957</v>
      </c>
      <c r="B290" s="180"/>
      <c r="C290" s="180">
        <v>215</v>
      </c>
      <c r="D290" s="180">
        <f t="shared" ref="D290:AI290" si="27">D215</f>
        <v>0</v>
      </c>
      <c r="E290" s="180">
        <f t="shared" si="27"/>
        <v>0</v>
      </c>
      <c r="F290" s="180">
        <f t="shared" si="27"/>
        <v>0</v>
      </c>
      <c r="G290" s="180">
        <f t="shared" si="27"/>
        <v>0</v>
      </c>
      <c r="H290" s="180">
        <f t="shared" si="27"/>
        <v>0</v>
      </c>
      <c r="I290" s="180">
        <f t="shared" si="27"/>
        <v>0</v>
      </c>
      <c r="J290" s="180">
        <f t="shared" si="27"/>
        <v>0</v>
      </c>
      <c r="K290" s="180">
        <f t="shared" si="27"/>
        <v>0</v>
      </c>
      <c r="L290" s="180">
        <f t="shared" si="27"/>
        <v>0</v>
      </c>
      <c r="M290" s="180">
        <f t="shared" si="27"/>
        <v>0</v>
      </c>
      <c r="N290" s="180">
        <f t="shared" si="27"/>
        <v>0</v>
      </c>
      <c r="O290" s="180">
        <f t="shared" si="27"/>
        <v>0</v>
      </c>
      <c r="P290" s="180">
        <f t="shared" si="27"/>
        <v>0</v>
      </c>
      <c r="Q290" s="180">
        <f t="shared" si="27"/>
        <v>0</v>
      </c>
      <c r="R290" s="180">
        <f t="shared" si="27"/>
        <v>0</v>
      </c>
      <c r="S290" s="180">
        <f t="shared" si="27"/>
        <v>0</v>
      </c>
      <c r="T290" s="180">
        <f t="shared" si="27"/>
        <v>0</v>
      </c>
      <c r="U290" s="180">
        <f t="shared" si="27"/>
        <v>0</v>
      </c>
      <c r="V290" s="180">
        <f t="shared" si="27"/>
        <v>0</v>
      </c>
      <c r="W290" s="180">
        <f t="shared" si="27"/>
        <v>0</v>
      </c>
      <c r="X290" s="180">
        <f t="shared" si="27"/>
        <v>0</v>
      </c>
      <c r="Y290" s="180">
        <f t="shared" si="27"/>
        <v>0</v>
      </c>
      <c r="Z290" s="180">
        <f t="shared" si="27"/>
        <v>0</v>
      </c>
      <c r="AA290" s="180">
        <f t="shared" si="27"/>
        <v>0</v>
      </c>
      <c r="AB290" s="180">
        <f t="shared" si="27"/>
        <v>0</v>
      </c>
      <c r="AC290" s="180">
        <f t="shared" si="27"/>
        <v>0</v>
      </c>
      <c r="AD290" s="180">
        <f t="shared" si="27"/>
        <v>0</v>
      </c>
      <c r="AE290" s="180">
        <f t="shared" si="27"/>
        <v>0</v>
      </c>
      <c r="AF290" s="180">
        <f t="shared" si="27"/>
        <v>0</v>
      </c>
      <c r="AG290" s="180">
        <f t="shared" si="27"/>
        <v>0</v>
      </c>
      <c r="AH290" s="180">
        <f t="shared" si="27"/>
        <v>0</v>
      </c>
      <c r="AI290" s="180">
        <f t="shared" si="27"/>
        <v>0</v>
      </c>
      <c r="AJ290" s="180">
        <f t="shared" ref="AJ290:BO290" si="28">AJ215</f>
        <v>2</v>
      </c>
      <c r="AK290" s="180">
        <f t="shared" si="28"/>
        <v>0</v>
      </c>
      <c r="AL290" s="180">
        <f t="shared" si="28"/>
        <v>0</v>
      </c>
      <c r="AM290" s="180">
        <f t="shared" si="28"/>
        <v>1</v>
      </c>
      <c r="AN290" s="180">
        <f t="shared" si="28"/>
        <v>0</v>
      </c>
      <c r="AO290" s="180">
        <f t="shared" si="28"/>
        <v>0</v>
      </c>
      <c r="AP290" s="180">
        <f t="shared" si="28"/>
        <v>0</v>
      </c>
      <c r="AQ290" s="180">
        <f t="shared" si="28"/>
        <v>0</v>
      </c>
      <c r="AR290" s="180">
        <f t="shared" si="28"/>
        <v>0</v>
      </c>
      <c r="AS290" s="180">
        <f t="shared" si="28"/>
        <v>0</v>
      </c>
      <c r="AT290" s="180">
        <f t="shared" si="28"/>
        <v>1</v>
      </c>
      <c r="AU290" s="180">
        <f t="shared" si="28"/>
        <v>0</v>
      </c>
      <c r="AV290" s="180">
        <f t="shared" si="28"/>
        <v>0</v>
      </c>
      <c r="AW290" s="180">
        <f t="shared" si="28"/>
        <v>0</v>
      </c>
      <c r="AX290" s="180">
        <f t="shared" si="28"/>
        <v>0</v>
      </c>
      <c r="AY290" s="180">
        <f t="shared" si="28"/>
        <v>0</v>
      </c>
      <c r="AZ290" s="180">
        <f t="shared" si="28"/>
        <v>0</v>
      </c>
      <c r="BA290" s="180">
        <f t="shared" si="28"/>
        <v>0</v>
      </c>
      <c r="BB290" s="180">
        <f t="shared" si="28"/>
        <v>0</v>
      </c>
      <c r="BC290" s="180">
        <f t="shared" si="28"/>
        <v>2</v>
      </c>
      <c r="BD290" s="180">
        <f t="shared" si="28"/>
        <v>0</v>
      </c>
      <c r="BE290" s="180">
        <f t="shared" si="28"/>
        <v>0</v>
      </c>
      <c r="BF290" s="180">
        <f t="shared" si="28"/>
        <v>0</v>
      </c>
      <c r="BG290" s="180">
        <f t="shared" si="28"/>
        <v>0</v>
      </c>
      <c r="BH290" s="180">
        <f t="shared" si="28"/>
        <v>0</v>
      </c>
      <c r="BI290" s="180">
        <f t="shared" si="28"/>
        <v>1</v>
      </c>
      <c r="BJ290" s="180">
        <f t="shared" si="28"/>
        <v>0</v>
      </c>
      <c r="BK290" s="180">
        <f t="shared" si="28"/>
        <v>0</v>
      </c>
      <c r="BL290" s="180">
        <f t="shared" si="28"/>
        <v>1</v>
      </c>
      <c r="BM290" s="180">
        <f t="shared" si="28"/>
        <v>0</v>
      </c>
      <c r="BN290" s="180">
        <f t="shared" si="28"/>
        <v>0</v>
      </c>
      <c r="BO290" s="180">
        <f t="shared" si="28"/>
        <v>0</v>
      </c>
      <c r="BP290" s="180">
        <f t="shared" ref="BP290:CZ290" si="29">BP215</f>
        <v>0</v>
      </c>
      <c r="BQ290" s="180">
        <f t="shared" si="29"/>
        <v>0</v>
      </c>
      <c r="BR290" s="180">
        <f t="shared" si="29"/>
        <v>0</v>
      </c>
      <c r="BS290" s="180">
        <f t="shared" si="29"/>
        <v>0</v>
      </c>
      <c r="BT290" s="180">
        <f t="shared" si="29"/>
        <v>0</v>
      </c>
      <c r="BU290" s="180">
        <f t="shared" si="29"/>
        <v>0</v>
      </c>
      <c r="BV290" s="180">
        <f t="shared" si="29"/>
        <v>0</v>
      </c>
      <c r="BW290" s="180">
        <f t="shared" si="29"/>
        <v>0</v>
      </c>
      <c r="BX290" s="180">
        <f t="shared" si="29"/>
        <v>0</v>
      </c>
      <c r="BY290" s="180">
        <f t="shared" si="29"/>
        <v>0</v>
      </c>
      <c r="BZ290" s="180">
        <f t="shared" si="29"/>
        <v>0</v>
      </c>
      <c r="CA290" s="180">
        <f t="shared" si="29"/>
        <v>0</v>
      </c>
      <c r="CB290" s="180">
        <f t="shared" si="29"/>
        <v>0</v>
      </c>
      <c r="CC290" s="180">
        <f t="shared" si="29"/>
        <v>0</v>
      </c>
      <c r="CD290" s="180">
        <f t="shared" si="29"/>
        <v>0</v>
      </c>
      <c r="CE290" s="180">
        <f t="shared" si="29"/>
        <v>0</v>
      </c>
      <c r="CF290" s="180">
        <f t="shared" si="29"/>
        <v>0</v>
      </c>
      <c r="CG290" s="180">
        <f t="shared" si="29"/>
        <v>0</v>
      </c>
      <c r="CH290" s="180">
        <f t="shared" si="29"/>
        <v>0</v>
      </c>
      <c r="CI290" s="180">
        <f t="shared" si="29"/>
        <v>0</v>
      </c>
      <c r="CJ290" s="180">
        <f t="shared" si="29"/>
        <v>0</v>
      </c>
      <c r="CK290" s="180">
        <f t="shared" si="29"/>
        <v>0</v>
      </c>
      <c r="CL290" s="180">
        <f t="shared" si="29"/>
        <v>0</v>
      </c>
      <c r="CM290" s="180">
        <f t="shared" si="29"/>
        <v>0</v>
      </c>
      <c r="CN290" s="180">
        <f t="shared" si="29"/>
        <v>0</v>
      </c>
      <c r="CO290" s="180">
        <f t="shared" si="29"/>
        <v>0</v>
      </c>
      <c r="CP290" s="180">
        <f t="shared" si="29"/>
        <v>0</v>
      </c>
      <c r="CQ290" s="180">
        <f t="shared" si="29"/>
        <v>0</v>
      </c>
      <c r="CR290" s="180">
        <f t="shared" si="29"/>
        <v>0</v>
      </c>
      <c r="CS290" s="180">
        <f t="shared" si="29"/>
        <v>0</v>
      </c>
      <c r="CT290" s="180">
        <f t="shared" si="29"/>
        <v>0</v>
      </c>
      <c r="CU290" s="180">
        <f t="shared" si="29"/>
        <v>0</v>
      </c>
      <c r="CV290" s="180">
        <f t="shared" si="29"/>
        <v>0</v>
      </c>
      <c r="CW290" s="180">
        <f t="shared" si="29"/>
        <v>0</v>
      </c>
      <c r="CX290" s="180">
        <f t="shared" si="29"/>
        <v>0</v>
      </c>
      <c r="CY290" s="180">
        <f t="shared" si="29"/>
        <v>0</v>
      </c>
      <c r="CZ290" s="180">
        <f t="shared" si="29"/>
        <v>0</v>
      </c>
    </row>
    <row r="291" spans="1:104" x14ac:dyDescent="0.3">
      <c r="A291" s="556">
        <v>959</v>
      </c>
      <c r="B291" s="180"/>
      <c r="C291" s="180">
        <v>217</v>
      </c>
      <c r="D291" s="180">
        <f t="shared" ref="D291:AI291" si="30">D217</f>
        <v>2</v>
      </c>
      <c r="E291" s="180">
        <f t="shared" si="30"/>
        <v>2</v>
      </c>
      <c r="F291" s="180">
        <f t="shared" si="30"/>
        <v>0</v>
      </c>
      <c r="G291" s="180">
        <f t="shared" si="30"/>
        <v>0</v>
      </c>
      <c r="H291" s="180">
        <f t="shared" si="30"/>
        <v>2</v>
      </c>
      <c r="I291" s="180">
        <f t="shared" si="30"/>
        <v>2</v>
      </c>
      <c r="J291" s="180">
        <f t="shared" si="30"/>
        <v>0</v>
      </c>
      <c r="K291" s="180">
        <f t="shared" si="30"/>
        <v>2</v>
      </c>
      <c r="L291" s="180">
        <f t="shared" si="30"/>
        <v>2</v>
      </c>
      <c r="M291" s="180">
        <f t="shared" si="30"/>
        <v>2</v>
      </c>
      <c r="N291" s="180">
        <f t="shared" si="30"/>
        <v>3</v>
      </c>
      <c r="O291" s="180">
        <f t="shared" si="30"/>
        <v>2</v>
      </c>
      <c r="P291" s="180">
        <f t="shared" si="30"/>
        <v>0</v>
      </c>
      <c r="Q291" s="180">
        <f t="shared" si="30"/>
        <v>2</v>
      </c>
      <c r="R291" s="180">
        <f t="shared" si="30"/>
        <v>2</v>
      </c>
      <c r="S291" s="180">
        <f t="shared" si="30"/>
        <v>2</v>
      </c>
      <c r="T291" s="180">
        <f t="shared" si="30"/>
        <v>2</v>
      </c>
      <c r="U291" s="180">
        <f t="shared" si="30"/>
        <v>0</v>
      </c>
      <c r="V291" s="180">
        <f t="shared" si="30"/>
        <v>0</v>
      </c>
      <c r="W291" s="180">
        <f t="shared" si="30"/>
        <v>0</v>
      </c>
      <c r="X291" s="180">
        <f t="shared" si="30"/>
        <v>2</v>
      </c>
      <c r="Y291" s="180">
        <f t="shared" si="30"/>
        <v>2</v>
      </c>
      <c r="Z291" s="180">
        <f t="shared" si="30"/>
        <v>2</v>
      </c>
      <c r="AA291" s="180">
        <f t="shared" si="30"/>
        <v>2</v>
      </c>
      <c r="AB291" s="180">
        <f t="shared" si="30"/>
        <v>2</v>
      </c>
      <c r="AC291" s="180">
        <f t="shared" si="30"/>
        <v>2</v>
      </c>
      <c r="AD291" s="180">
        <f t="shared" si="30"/>
        <v>2</v>
      </c>
      <c r="AE291" s="180">
        <f t="shared" si="30"/>
        <v>2</v>
      </c>
      <c r="AF291" s="180">
        <f t="shared" si="30"/>
        <v>2</v>
      </c>
      <c r="AG291" s="180">
        <f t="shared" si="30"/>
        <v>2</v>
      </c>
      <c r="AH291" s="180">
        <f t="shared" si="30"/>
        <v>3</v>
      </c>
      <c r="AI291" s="180">
        <f t="shared" si="30"/>
        <v>2</v>
      </c>
      <c r="AJ291" s="180">
        <f t="shared" ref="AJ291:BO291" si="31">AJ217</f>
        <v>2</v>
      </c>
      <c r="AK291" s="180">
        <f t="shared" si="31"/>
        <v>3</v>
      </c>
      <c r="AL291" s="180">
        <f t="shared" si="31"/>
        <v>2</v>
      </c>
      <c r="AM291" s="180">
        <f t="shared" si="31"/>
        <v>2</v>
      </c>
      <c r="AN291" s="180">
        <f t="shared" si="31"/>
        <v>3</v>
      </c>
      <c r="AO291" s="180">
        <f t="shared" si="31"/>
        <v>2</v>
      </c>
      <c r="AP291" s="180">
        <f t="shared" si="31"/>
        <v>2</v>
      </c>
      <c r="AQ291" s="180">
        <f t="shared" si="31"/>
        <v>2</v>
      </c>
      <c r="AR291" s="180">
        <f t="shared" si="31"/>
        <v>2</v>
      </c>
      <c r="AS291" s="180">
        <f t="shared" si="31"/>
        <v>2</v>
      </c>
      <c r="AT291" s="180">
        <f t="shared" si="31"/>
        <v>2</v>
      </c>
      <c r="AU291" s="180">
        <f t="shared" si="31"/>
        <v>2</v>
      </c>
      <c r="AV291" s="180">
        <f t="shared" si="31"/>
        <v>2</v>
      </c>
      <c r="AW291" s="180">
        <f t="shared" si="31"/>
        <v>2</v>
      </c>
      <c r="AX291" s="180">
        <f t="shared" si="31"/>
        <v>3</v>
      </c>
      <c r="AY291" s="180">
        <f t="shared" si="31"/>
        <v>3</v>
      </c>
      <c r="AZ291" s="180">
        <f t="shared" si="31"/>
        <v>2</v>
      </c>
      <c r="BA291" s="180">
        <f t="shared" si="31"/>
        <v>3</v>
      </c>
      <c r="BB291" s="180">
        <f t="shared" si="31"/>
        <v>3</v>
      </c>
      <c r="BC291" s="180">
        <f t="shared" si="31"/>
        <v>3</v>
      </c>
      <c r="BD291" s="180">
        <f t="shared" si="31"/>
        <v>2</v>
      </c>
      <c r="BE291" s="180">
        <f t="shared" si="31"/>
        <v>2</v>
      </c>
      <c r="BF291" s="180">
        <f t="shared" si="31"/>
        <v>2</v>
      </c>
      <c r="BG291" s="180">
        <f t="shared" si="31"/>
        <v>0</v>
      </c>
      <c r="BH291" s="180">
        <f t="shared" si="31"/>
        <v>3</v>
      </c>
      <c r="BI291" s="180">
        <f t="shared" si="31"/>
        <v>2</v>
      </c>
      <c r="BJ291" s="180">
        <f t="shared" si="31"/>
        <v>2</v>
      </c>
      <c r="BK291" s="180">
        <f t="shared" si="31"/>
        <v>2</v>
      </c>
      <c r="BL291" s="180">
        <f t="shared" si="31"/>
        <v>2</v>
      </c>
      <c r="BM291" s="180">
        <f t="shared" si="31"/>
        <v>2</v>
      </c>
      <c r="BN291" s="180">
        <f t="shared" si="31"/>
        <v>2</v>
      </c>
      <c r="BO291" s="180">
        <f t="shared" si="31"/>
        <v>2</v>
      </c>
      <c r="BP291" s="180">
        <f t="shared" ref="BP291:CZ291" si="32">BP217</f>
        <v>0</v>
      </c>
      <c r="BQ291" s="180">
        <f t="shared" si="32"/>
        <v>2</v>
      </c>
      <c r="BR291" s="180">
        <f t="shared" si="32"/>
        <v>0</v>
      </c>
      <c r="BS291" s="180">
        <f t="shared" si="32"/>
        <v>2</v>
      </c>
      <c r="BT291" s="180">
        <f t="shared" si="32"/>
        <v>2</v>
      </c>
      <c r="BU291" s="180">
        <f t="shared" si="32"/>
        <v>0</v>
      </c>
      <c r="BV291" s="180">
        <f t="shared" si="32"/>
        <v>2</v>
      </c>
      <c r="BW291" s="180">
        <f t="shared" si="32"/>
        <v>0</v>
      </c>
      <c r="BX291" s="180">
        <f t="shared" si="32"/>
        <v>0</v>
      </c>
      <c r="BY291" s="180">
        <f t="shared" si="32"/>
        <v>0</v>
      </c>
      <c r="BZ291" s="180">
        <f t="shared" si="32"/>
        <v>0</v>
      </c>
      <c r="CA291" s="180">
        <f t="shared" si="32"/>
        <v>0</v>
      </c>
      <c r="CB291" s="180">
        <f t="shared" si="32"/>
        <v>0</v>
      </c>
      <c r="CC291" s="180">
        <f t="shared" si="32"/>
        <v>0</v>
      </c>
      <c r="CD291" s="180">
        <f t="shared" si="32"/>
        <v>0</v>
      </c>
      <c r="CE291" s="180">
        <f t="shared" si="32"/>
        <v>0</v>
      </c>
      <c r="CF291" s="180">
        <f t="shared" si="32"/>
        <v>0</v>
      </c>
      <c r="CG291" s="180">
        <f t="shared" si="32"/>
        <v>0</v>
      </c>
      <c r="CH291" s="180">
        <f t="shared" si="32"/>
        <v>0</v>
      </c>
      <c r="CI291" s="180">
        <f t="shared" si="32"/>
        <v>0</v>
      </c>
      <c r="CJ291" s="180">
        <f t="shared" si="32"/>
        <v>0</v>
      </c>
      <c r="CK291" s="180">
        <f t="shared" si="32"/>
        <v>0</v>
      </c>
      <c r="CL291" s="180">
        <f t="shared" si="32"/>
        <v>0</v>
      </c>
      <c r="CM291" s="180">
        <f t="shared" si="32"/>
        <v>0</v>
      </c>
      <c r="CN291" s="180">
        <f t="shared" si="32"/>
        <v>0</v>
      </c>
      <c r="CO291" s="180">
        <f t="shared" si="32"/>
        <v>0</v>
      </c>
      <c r="CP291" s="180">
        <f t="shared" si="32"/>
        <v>0</v>
      </c>
      <c r="CQ291" s="180">
        <f t="shared" si="32"/>
        <v>0</v>
      </c>
      <c r="CR291" s="180">
        <f t="shared" si="32"/>
        <v>0</v>
      </c>
      <c r="CS291" s="180">
        <f t="shared" si="32"/>
        <v>0</v>
      </c>
      <c r="CT291" s="180">
        <f t="shared" si="32"/>
        <v>0</v>
      </c>
      <c r="CU291" s="180">
        <f t="shared" si="32"/>
        <v>0</v>
      </c>
      <c r="CV291" s="180">
        <f t="shared" si="32"/>
        <v>0</v>
      </c>
      <c r="CW291" s="180">
        <f t="shared" si="32"/>
        <v>0</v>
      </c>
      <c r="CX291" s="180">
        <f t="shared" si="32"/>
        <v>0</v>
      </c>
      <c r="CY291" s="180">
        <f t="shared" si="32"/>
        <v>0</v>
      </c>
      <c r="CZ291" s="180">
        <f t="shared" si="32"/>
        <v>0</v>
      </c>
    </row>
    <row r="292" spans="1:104" x14ac:dyDescent="0.3">
      <c r="A292" s="556">
        <v>973</v>
      </c>
      <c r="B292" s="180"/>
      <c r="C292" s="180">
        <v>223</v>
      </c>
      <c r="D292" s="180">
        <f t="shared" ref="D292:AI292" si="33">D223</f>
        <v>0</v>
      </c>
      <c r="E292" s="180">
        <f t="shared" si="33"/>
        <v>0</v>
      </c>
      <c r="F292" s="180">
        <f t="shared" si="33"/>
        <v>0</v>
      </c>
      <c r="G292" s="180">
        <f t="shared" si="33"/>
        <v>0</v>
      </c>
      <c r="H292" s="180">
        <f t="shared" si="33"/>
        <v>0</v>
      </c>
      <c r="I292" s="180">
        <f t="shared" si="33"/>
        <v>0</v>
      </c>
      <c r="J292" s="180">
        <f t="shared" si="33"/>
        <v>0</v>
      </c>
      <c r="K292" s="180">
        <f t="shared" si="33"/>
        <v>0</v>
      </c>
      <c r="L292" s="180">
        <f t="shared" si="33"/>
        <v>0</v>
      </c>
      <c r="M292" s="180">
        <f t="shared" si="33"/>
        <v>1</v>
      </c>
      <c r="N292" s="180">
        <f t="shared" si="33"/>
        <v>0</v>
      </c>
      <c r="O292" s="180">
        <f t="shared" si="33"/>
        <v>0</v>
      </c>
      <c r="P292" s="180">
        <f t="shared" si="33"/>
        <v>0</v>
      </c>
      <c r="Q292" s="180">
        <f t="shared" si="33"/>
        <v>0</v>
      </c>
      <c r="R292" s="180">
        <f t="shared" si="33"/>
        <v>0</v>
      </c>
      <c r="S292" s="180">
        <f t="shared" si="33"/>
        <v>0</v>
      </c>
      <c r="T292" s="180">
        <f t="shared" si="33"/>
        <v>0</v>
      </c>
      <c r="U292" s="180">
        <f t="shared" si="33"/>
        <v>0</v>
      </c>
      <c r="V292" s="180">
        <f t="shared" si="33"/>
        <v>0</v>
      </c>
      <c r="W292" s="180">
        <f t="shared" si="33"/>
        <v>0</v>
      </c>
      <c r="X292" s="180">
        <f t="shared" si="33"/>
        <v>0</v>
      </c>
      <c r="Y292" s="180">
        <f t="shared" si="33"/>
        <v>0</v>
      </c>
      <c r="Z292" s="180">
        <f t="shared" si="33"/>
        <v>0</v>
      </c>
      <c r="AA292" s="180">
        <f t="shared" si="33"/>
        <v>0</v>
      </c>
      <c r="AB292" s="180">
        <f t="shared" si="33"/>
        <v>0</v>
      </c>
      <c r="AC292" s="180">
        <f t="shared" si="33"/>
        <v>0</v>
      </c>
      <c r="AD292" s="180">
        <f t="shared" si="33"/>
        <v>0</v>
      </c>
      <c r="AE292" s="180">
        <f t="shared" si="33"/>
        <v>0</v>
      </c>
      <c r="AF292" s="180">
        <f t="shared" si="33"/>
        <v>0</v>
      </c>
      <c r="AG292" s="180">
        <f t="shared" si="33"/>
        <v>0</v>
      </c>
      <c r="AH292" s="180">
        <f t="shared" si="33"/>
        <v>0</v>
      </c>
      <c r="AI292" s="180">
        <f t="shared" si="33"/>
        <v>0</v>
      </c>
      <c r="AJ292" s="180">
        <f t="shared" ref="AJ292:BO292" si="34">AJ223</f>
        <v>0</v>
      </c>
      <c r="AK292" s="180">
        <f t="shared" si="34"/>
        <v>0</v>
      </c>
      <c r="AL292" s="180">
        <f t="shared" si="34"/>
        <v>0</v>
      </c>
      <c r="AM292" s="180">
        <f t="shared" si="34"/>
        <v>0</v>
      </c>
      <c r="AN292" s="180">
        <f t="shared" si="34"/>
        <v>0</v>
      </c>
      <c r="AO292" s="180">
        <f t="shared" si="34"/>
        <v>0</v>
      </c>
      <c r="AP292" s="180">
        <f t="shared" si="34"/>
        <v>0</v>
      </c>
      <c r="AQ292" s="180">
        <f t="shared" si="34"/>
        <v>0</v>
      </c>
      <c r="AR292" s="180">
        <f t="shared" si="34"/>
        <v>0</v>
      </c>
      <c r="AS292" s="180">
        <f t="shared" si="34"/>
        <v>0</v>
      </c>
      <c r="AT292" s="180">
        <f t="shared" si="34"/>
        <v>1</v>
      </c>
      <c r="AU292" s="180">
        <f t="shared" si="34"/>
        <v>0</v>
      </c>
      <c r="AV292" s="180">
        <f t="shared" si="34"/>
        <v>0</v>
      </c>
      <c r="AW292" s="180">
        <f t="shared" si="34"/>
        <v>0</v>
      </c>
      <c r="AX292" s="180">
        <f t="shared" si="34"/>
        <v>0</v>
      </c>
      <c r="AY292" s="180">
        <f t="shared" si="34"/>
        <v>0</v>
      </c>
      <c r="AZ292" s="180">
        <f t="shared" si="34"/>
        <v>0</v>
      </c>
      <c r="BA292" s="180">
        <f t="shared" si="34"/>
        <v>0</v>
      </c>
      <c r="BB292" s="180">
        <f t="shared" si="34"/>
        <v>0</v>
      </c>
      <c r="BC292" s="180">
        <f t="shared" si="34"/>
        <v>0</v>
      </c>
      <c r="BD292" s="180">
        <f t="shared" si="34"/>
        <v>0</v>
      </c>
      <c r="BE292" s="180">
        <f t="shared" si="34"/>
        <v>1</v>
      </c>
      <c r="BF292" s="180">
        <f t="shared" si="34"/>
        <v>0</v>
      </c>
      <c r="BG292" s="180">
        <f t="shared" si="34"/>
        <v>0</v>
      </c>
      <c r="BH292" s="180">
        <f t="shared" si="34"/>
        <v>0</v>
      </c>
      <c r="BI292" s="180">
        <f t="shared" si="34"/>
        <v>0</v>
      </c>
      <c r="BJ292" s="180">
        <f t="shared" si="34"/>
        <v>0</v>
      </c>
      <c r="BK292" s="180">
        <f t="shared" si="34"/>
        <v>0</v>
      </c>
      <c r="BL292" s="180">
        <f t="shared" si="34"/>
        <v>0</v>
      </c>
      <c r="BM292" s="180">
        <f t="shared" si="34"/>
        <v>0</v>
      </c>
      <c r="BN292" s="180">
        <f t="shared" si="34"/>
        <v>0</v>
      </c>
      <c r="BO292" s="180">
        <f t="shared" si="34"/>
        <v>0</v>
      </c>
      <c r="BP292" s="180">
        <f t="shared" ref="BP292:CZ292" si="35">BP223</f>
        <v>0</v>
      </c>
      <c r="BQ292" s="180">
        <f t="shared" si="35"/>
        <v>0</v>
      </c>
      <c r="BR292" s="180">
        <f t="shared" si="35"/>
        <v>0</v>
      </c>
      <c r="BS292" s="180">
        <f t="shared" si="35"/>
        <v>0</v>
      </c>
      <c r="BT292" s="180">
        <f t="shared" si="35"/>
        <v>1</v>
      </c>
      <c r="BU292" s="180">
        <f t="shared" si="35"/>
        <v>0</v>
      </c>
      <c r="BV292" s="180">
        <f t="shared" si="35"/>
        <v>0</v>
      </c>
      <c r="BW292" s="180">
        <f t="shared" si="35"/>
        <v>0</v>
      </c>
      <c r="BX292" s="180">
        <f t="shared" si="35"/>
        <v>0</v>
      </c>
      <c r="BY292" s="180">
        <f t="shared" si="35"/>
        <v>0</v>
      </c>
      <c r="BZ292" s="180">
        <f t="shared" si="35"/>
        <v>0</v>
      </c>
      <c r="CA292" s="180">
        <f t="shared" si="35"/>
        <v>0</v>
      </c>
      <c r="CB292" s="180">
        <f t="shared" si="35"/>
        <v>0</v>
      </c>
      <c r="CC292" s="180">
        <f t="shared" si="35"/>
        <v>0</v>
      </c>
      <c r="CD292" s="180">
        <f t="shared" si="35"/>
        <v>0</v>
      </c>
      <c r="CE292" s="180">
        <f t="shared" si="35"/>
        <v>0</v>
      </c>
      <c r="CF292" s="180">
        <f t="shared" si="35"/>
        <v>0</v>
      </c>
      <c r="CG292" s="180">
        <f t="shared" si="35"/>
        <v>0</v>
      </c>
      <c r="CH292" s="180">
        <f t="shared" si="35"/>
        <v>0</v>
      </c>
      <c r="CI292" s="180">
        <f t="shared" si="35"/>
        <v>0</v>
      </c>
      <c r="CJ292" s="180">
        <f t="shared" si="35"/>
        <v>0</v>
      </c>
      <c r="CK292" s="180">
        <f t="shared" si="35"/>
        <v>0</v>
      </c>
      <c r="CL292" s="180">
        <f t="shared" si="35"/>
        <v>0</v>
      </c>
      <c r="CM292" s="180">
        <f t="shared" si="35"/>
        <v>0</v>
      </c>
      <c r="CN292" s="180">
        <f t="shared" si="35"/>
        <v>0</v>
      </c>
      <c r="CO292" s="180">
        <f t="shared" si="35"/>
        <v>0</v>
      </c>
      <c r="CP292" s="180">
        <f t="shared" si="35"/>
        <v>0</v>
      </c>
      <c r="CQ292" s="180">
        <f t="shared" si="35"/>
        <v>0</v>
      </c>
      <c r="CR292" s="180">
        <f t="shared" si="35"/>
        <v>0</v>
      </c>
      <c r="CS292" s="180">
        <f t="shared" si="35"/>
        <v>0</v>
      </c>
      <c r="CT292" s="180">
        <f t="shared" si="35"/>
        <v>0</v>
      </c>
      <c r="CU292" s="180">
        <f t="shared" si="35"/>
        <v>0</v>
      </c>
      <c r="CV292" s="180">
        <f t="shared" si="35"/>
        <v>0</v>
      </c>
      <c r="CW292" s="180">
        <f t="shared" si="35"/>
        <v>0</v>
      </c>
      <c r="CX292" s="180">
        <f t="shared" si="35"/>
        <v>0</v>
      </c>
      <c r="CY292" s="180">
        <f t="shared" si="35"/>
        <v>0</v>
      </c>
      <c r="CZ292" s="180">
        <f t="shared" si="35"/>
        <v>0</v>
      </c>
    </row>
    <row r="293" spans="1:104" x14ac:dyDescent="0.3">
      <c r="A293" s="556">
        <v>974</v>
      </c>
      <c r="B293" s="180"/>
      <c r="C293" s="180">
        <v>223</v>
      </c>
      <c r="D293" s="180">
        <f t="shared" ref="D293:AI293" si="36">D224</f>
        <v>2</v>
      </c>
      <c r="E293" s="180">
        <f t="shared" si="36"/>
        <v>2</v>
      </c>
      <c r="F293" s="180">
        <f t="shared" si="36"/>
        <v>0</v>
      </c>
      <c r="G293" s="180">
        <f t="shared" si="36"/>
        <v>0</v>
      </c>
      <c r="H293" s="180">
        <f t="shared" si="36"/>
        <v>3</v>
      </c>
      <c r="I293" s="180">
        <f t="shared" si="36"/>
        <v>3</v>
      </c>
      <c r="J293" s="180">
        <f t="shared" si="36"/>
        <v>0</v>
      </c>
      <c r="K293" s="180">
        <f t="shared" si="36"/>
        <v>2</v>
      </c>
      <c r="L293" s="180">
        <f t="shared" si="36"/>
        <v>2</v>
      </c>
      <c r="M293" s="180">
        <f t="shared" si="36"/>
        <v>2</v>
      </c>
      <c r="N293" s="180">
        <f t="shared" si="36"/>
        <v>3</v>
      </c>
      <c r="O293" s="180">
        <f t="shared" si="36"/>
        <v>2</v>
      </c>
      <c r="P293" s="180">
        <f t="shared" si="36"/>
        <v>0</v>
      </c>
      <c r="Q293" s="180">
        <f t="shared" si="36"/>
        <v>2</v>
      </c>
      <c r="R293" s="180">
        <f t="shared" si="36"/>
        <v>2</v>
      </c>
      <c r="S293" s="180">
        <f t="shared" si="36"/>
        <v>2</v>
      </c>
      <c r="T293" s="180">
        <f t="shared" si="36"/>
        <v>2</v>
      </c>
      <c r="U293" s="180">
        <f t="shared" si="36"/>
        <v>0</v>
      </c>
      <c r="V293" s="180">
        <f t="shared" si="36"/>
        <v>0</v>
      </c>
      <c r="W293" s="180">
        <f t="shared" si="36"/>
        <v>0</v>
      </c>
      <c r="X293" s="180">
        <f t="shared" si="36"/>
        <v>2</v>
      </c>
      <c r="Y293" s="180">
        <f t="shared" si="36"/>
        <v>2</v>
      </c>
      <c r="Z293" s="180">
        <f t="shared" si="36"/>
        <v>2</v>
      </c>
      <c r="AA293" s="180">
        <f t="shared" si="36"/>
        <v>2</v>
      </c>
      <c r="AB293" s="180">
        <f t="shared" si="36"/>
        <v>2</v>
      </c>
      <c r="AC293" s="180">
        <f t="shared" si="36"/>
        <v>2</v>
      </c>
      <c r="AD293" s="180">
        <f t="shared" si="36"/>
        <v>2</v>
      </c>
      <c r="AE293" s="180">
        <f t="shared" si="36"/>
        <v>2</v>
      </c>
      <c r="AF293" s="180">
        <f t="shared" si="36"/>
        <v>2</v>
      </c>
      <c r="AG293" s="180">
        <f t="shared" si="36"/>
        <v>2</v>
      </c>
      <c r="AH293" s="180">
        <f t="shared" si="36"/>
        <v>2</v>
      </c>
      <c r="AI293" s="180">
        <f t="shared" si="36"/>
        <v>2</v>
      </c>
      <c r="AJ293" s="180">
        <f t="shared" ref="AJ293:BO293" si="37">AJ224</f>
        <v>2</v>
      </c>
      <c r="AK293" s="180">
        <f t="shared" si="37"/>
        <v>3</v>
      </c>
      <c r="AL293" s="180">
        <f t="shared" si="37"/>
        <v>2</v>
      </c>
      <c r="AM293" s="180">
        <f t="shared" si="37"/>
        <v>2</v>
      </c>
      <c r="AN293" s="180">
        <f t="shared" si="37"/>
        <v>3</v>
      </c>
      <c r="AO293" s="180">
        <f t="shared" si="37"/>
        <v>2</v>
      </c>
      <c r="AP293" s="180">
        <f t="shared" si="37"/>
        <v>2</v>
      </c>
      <c r="AQ293" s="180">
        <f t="shared" si="37"/>
        <v>2</v>
      </c>
      <c r="AR293" s="180">
        <f t="shared" si="37"/>
        <v>2</v>
      </c>
      <c r="AS293" s="180">
        <f t="shared" si="37"/>
        <v>2</v>
      </c>
      <c r="AT293" s="180">
        <f t="shared" si="37"/>
        <v>2</v>
      </c>
      <c r="AU293" s="180">
        <f t="shared" si="37"/>
        <v>2</v>
      </c>
      <c r="AV293" s="180">
        <f t="shared" si="37"/>
        <v>3</v>
      </c>
      <c r="AW293" s="180">
        <f t="shared" si="37"/>
        <v>2</v>
      </c>
      <c r="AX293" s="180">
        <f t="shared" si="37"/>
        <v>3</v>
      </c>
      <c r="AY293" s="180">
        <f t="shared" si="37"/>
        <v>3</v>
      </c>
      <c r="AZ293" s="180">
        <f t="shared" si="37"/>
        <v>2</v>
      </c>
      <c r="BA293" s="180">
        <f t="shared" si="37"/>
        <v>2</v>
      </c>
      <c r="BB293" s="180">
        <f t="shared" si="37"/>
        <v>3</v>
      </c>
      <c r="BC293" s="180">
        <f t="shared" si="37"/>
        <v>3</v>
      </c>
      <c r="BD293" s="180">
        <f t="shared" si="37"/>
        <v>2</v>
      </c>
      <c r="BE293" s="180">
        <f t="shared" si="37"/>
        <v>2</v>
      </c>
      <c r="BF293" s="180">
        <f t="shared" si="37"/>
        <v>2</v>
      </c>
      <c r="BG293" s="180">
        <f t="shared" si="37"/>
        <v>0</v>
      </c>
      <c r="BH293" s="180">
        <f t="shared" si="37"/>
        <v>3</v>
      </c>
      <c r="BI293" s="180">
        <f t="shared" si="37"/>
        <v>2</v>
      </c>
      <c r="BJ293" s="180">
        <f t="shared" si="37"/>
        <v>2</v>
      </c>
      <c r="BK293" s="180">
        <f t="shared" si="37"/>
        <v>2</v>
      </c>
      <c r="BL293" s="180">
        <f t="shared" si="37"/>
        <v>2</v>
      </c>
      <c r="BM293" s="180">
        <f t="shared" si="37"/>
        <v>2</v>
      </c>
      <c r="BN293" s="180">
        <f t="shared" si="37"/>
        <v>2</v>
      </c>
      <c r="BO293" s="180">
        <f t="shared" si="37"/>
        <v>2</v>
      </c>
      <c r="BP293" s="180">
        <f t="shared" ref="BP293:CZ293" si="38">BP224</f>
        <v>0</v>
      </c>
      <c r="BQ293" s="180">
        <f t="shared" si="38"/>
        <v>2</v>
      </c>
      <c r="BR293" s="180">
        <f t="shared" si="38"/>
        <v>0</v>
      </c>
      <c r="BS293" s="180">
        <f t="shared" si="38"/>
        <v>2</v>
      </c>
      <c r="BT293" s="180">
        <f t="shared" si="38"/>
        <v>2</v>
      </c>
      <c r="BU293" s="180">
        <f t="shared" si="38"/>
        <v>0</v>
      </c>
      <c r="BV293" s="180">
        <f t="shared" si="38"/>
        <v>2</v>
      </c>
      <c r="BW293" s="180">
        <f t="shared" si="38"/>
        <v>0</v>
      </c>
      <c r="BX293" s="180">
        <f t="shared" si="38"/>
        <v>0</v>
      </c>
      <c r="BY293" s="180">
        <f t="shared" si="38"/>
        <v>0</v>
      </c>
      <c r="BZ293" s="180">
        <f t="shared" si="38"/>
        <v>0</v>
      </c>
      <c r="CA293" s="180">
        <f t="shared" si="38"/>
        <v>0</v>
      </c>
      <c r="CB293" s="180">
        <f t="shared" si="38"/>
        <v>0</v>
      </c>
      <c r="CC293" s="180">
        <f t="shared" si="38"/>
        <v>0</v>
      </c>
      <c r="CD293" s="180">
        <f t="shared" si="38"/>
        <v>0</v>
      </c>
      <c r="CE293" s="180">
        <f t="shared" si="38"/>
        <v>0</v>
      </c>
      <c r="CF293" s="180">
        <f t="shared" si="38"/>
        <v>0</v>
      </c>
      <c r="CG293" s="180">
        <f t="shared" si="38"/>
        <v>0</v>
      </c>
      <c r="CH293" s="180">
        <f t="shared" si="38"/>
        <v>0</v>
      </c>
      <c r="CI293" s="180">
        <f t="shared" si="38"/>
        <v>0</v>
      </c>
      <c r="CJ293" s="180">
        <f t="shared" si="38"/>
        <v>0</v>
      </c>
      <c r="CK293" s="180">
        <f t="shared" si="38"/>
        <v>0</v>
      </c>
      <c r="CL293" s="180">
        <f t="shared" si="38"/>
        <v>0</v>
      </c>
      <c r="CM293" s="180">
        <f t="shared" si="38"/>
        <v>0</v>
      </c>
      <c r="CN293" s="180">
        <f t="shared" si="38"/>
        <v>0</v>
      </c>
      <c r="CO293" s="180">
        <f t="shared" si="38"/>
        <v>0</v>
      </c>
      <c r="CP293" s="180">
        <f t="shared" si="38"/>
        <v>0</v>
      </c>
      <c r="CQ293" s="180">
        <f t="shared" si="38"/>
        <v>0</v>
      </c>
      <c r="CR293" s="180">
        <f t="shared" si="38"/>
        <v>0</v>
      </c>
      <c r="CS293" s="180">
        <f t="shared" si="38"/>
        <v>0</v>
      </c>
      <c r="CT293" s="180">
        <f t="shared" si="38"/>
        <v>0</v>
      </c>
      <c r="CU293" s="180">
        <f t="shared" si="38"/>
        <v>0</v>
      </c>
      <c r="CV293" s="180">
        <f t="shared" si="38"/>
        <v>0</v>
      </c>
      <c r="CW293" s="180">
        <f t="shared" si="38"/>
        <v>0</v>
      </c>
      <c r="CX293" s="180">
        <f t="shared" si="38"/>
        <v>0</v>
      </c>
      <c r="CY293" s="180">
        <f t="shared" si="38"/>
        <v>0</v>
      </c>
      <c r="CZ293" s="180">
        <f t="shared" si="38"/>
        <v>0</v>
      </c>
    </row>
    <row r="294" spans="1:104" x14ac:dyDescent="0.3">
      <c r="A294" s="556">
        <v>975</v>
      </c>
      <c r="B294" s="180"/>
      <c r="C294" s="180">
        <v>223</v>
      </c>
      <c r="D294" s="180">
        <f t="shared" ref="D294:AI294" si="39">D225</f>
        <v>1</v>
      </c>
      <c r="E294" s="180">
        <f t="shared" si="39"/>
        <v>2</v>
      </c>
      <c r="F294" s="180">
        <f t="shared" si="39"/>
        <v>0</v>
      </c>
      <c r="G294" s="180">
        <f t="shared" si="39"/>
        <v>0</v>
      </c>
      <c r="H294" s="180">
        <f t="shared" si="39"/>
        <v>1</v>
      </c>
      <c r="I294" s="180">
        <f t="shared" si="39"/>
        <v>1</v>
      </c>
      <c r="J294" s="180">
        <f t="shared" si="39"/>
        <v>0</v>
      </c>
      <c r="K294" s="180">
        <f t="shared" si="39"/>
        <v>1</v>
      </c>
      <c r="L294" s="180">
        <f t="shared" si="39"/>
        <v>1</v>
      </c>
      <c r="M294" s="180">
        <f t="shared" si="39"/>
        <v>1</v>
      </c>
      <c r="N294" s="180">
        <f t="shared" si="39"/>
        <v>1</v>
      </c>
      <c r="O294" s="180">
        <f t="shared" si="39"/>
        <v>2</v>
      </c>
      <c r="P294" s="180">
        <f t="shared" si="39"/>
        <v>0</v>
      </c>
      <c r="Q294" s="180">
        <f t="shared" si="39"/>
        <v>1</v>
      </c>
      <c r="R294" s="180">
        <f t="shared" si="39"/>
        <v>1</v>
      </c>
      <c r="S294" s="180">
        <f t="shared" si="39"/>
        <v>1</v>
      </c>
      <c r="T294" s="180">
        <f t="shared" si="39"/>
        <v>2</v>
      </c>
      <c r="U294" s="180">
        <f t="shared" si="39"/>
        <v>0</v>
      </c>
      <c r="V294" s="180">
        <f t="shared" si="39"/>
        <v>0</v>
      </c>
      <c r="W294" s="180">
        <f t="shared" si="39"/>
        <v>0</v>
      </c>
      <c r="X294" s="180">
        <f t="shared" si="39"/>
        <v>2</v>
      </c>
      <c r="Y294" s="180">
        <f t="shared" si="39"/>
        <v>1</v>
      </c>
      <c r="Z294" s="180">
        <f t="shared" si="39"/>
        <v>1</v>
      </c>
      <c r="AA294" s="180">
        <f t="shared" si="39"/>
        <v>1</v>
      </c>
      <c r="AB294" s="180">
        <f t="shared" si="39"/>
        <v>1</v>
      </c>
      <c r="AC294" s="180">
        <f t="shared" si="39"/>
        <v>1</v>
      </c>
      <c r="AD294" s="180">
        <f t="shared" si="39"/>
        <v>1</v>
      </c>
      <c r="AE294" s="180">
        <f t="shared" si="39"/>
        <v>1</v>
      </c>
      <c r="AF294" s="180">
        <f t="shared" si="39"/>
        <v>1</v>
      </c>
      <c r="AG294" s="180">
        <f t="shared" si="39"/>
        <v>1</v>
      </c>
      <c r="AH294" s="180">
        <f t="shared" si="39"/>
        <v>1</v>
      </c>
      <c r="AI294" s="180">
        <f t="shared" si="39"/>
        <v>1</v>
      </c>
      <c r="AJ294" s="180">
        <f t="shared" ref="AJ294:BO294" si="40">AJ225</f>
        <v>1</v>
      </c>
      <c r="AK294" s="180">
        <f t="shared" si="40"/>
        <v>2</v>
      </c>
      <c r="AL294" s="180">
        <f t="shared" si="40"/>
        <v>2</v>
      </c>
      <c r="AM294" s="180">
        <f t="shared" si="40"/>
        <v>1</v>
      </c>
      <c r="AN294" s="180">
        <f t="shared" si="40"/>
        <v>1</v>
      </c>
      <c r="AO294" s="180">
        <f t="shared" si="40"/>
        <v>1</v>
      </c>
      <c r="AP294" s="180">
        <f t="shared" si="40"/>
        <v>2</v>
      </c>
      <c r="AQ294" s="180">
        <f t="shared" si="40"/>
        <v>1</v>
      </c>
      <c r="AR294" s="180">
        <f t="shared" si="40"/>
        <v>1</v>
      </c>
      <c r="AS294" s="180">
        <f t="shared" si="40"/>
        <v>2</v>
      </c>
      <c r="AT294" s="180">
        <f t="shared" si="40"/>
        <v>1</v>
      </c>
      <c r="AU294" s="180">
        <f t="shared" si="40"/>
        <v>2</v>
      </c>
      <c r="AV294" s="180">
        <f t="shared" si="40"/>
        <v>1</v>
      </c>
      <c r="AW294" s="180">
        <f t="shared" si="40"/>
        <v>1</v>
      </c>
      <c r="AX294" s="180">
        <f t="shared" si="40"/>
        <v>1</v>
      </c>
      <c r="AY294" s="180">
        <f t="shared" si="40"/>
        <v>2</v>
      </c>
      <c r="AZ294" s="180">
        <f t="shared" si="40"/>
        <v>2</v>
      </c>
      <c r="BA294" s="180">
        <f t="shared" si="40"/>
        <v>2</v>
      </c>
      <c r="BB294" s="180">
        <f t="shared" si="40"/>
        <v>1</v>
      </c>
      <c r="BC294" s="180">
        <f t="shared" si="40"/>
        <v>1</v>
      </c>
      <c r="BD294" s="180">
        <f t="shared" si="40"/>
        <v>1</v>
      </c>
      <c r="BE294" s="180">
        <f t="shared" si="40"/>
        <v>1</v>
      </c>
      <c r="BF294" s="180">
        <f t="shared" si="40"/>
        <v>1</v>
      </c>
      <c r="BG294" s="180">
        <f t="shared" si="40"/>
        <v>0</v>
      </c>
      <c r="BH294" s="180">
        <f t="shared" si="40"/>
        <v>2</v>
      </c>
      <c r="BI294" s="180">
        <f t="shared" si="40"/>
        <v>1</v>
      </c>
      <c r="BJ294" s="180">
        <f t="shared" si="40"/>
        <v>1</v>
      </c>
      <c r="BK294" s="180">
        <f t="shared" si="40"/>
        <v>2</v>
      </c>
      <c r="BL294" s="180">
        <f t="shared" si="40"/>
        <v>1</v>
      </c>
      <c r="BM294" s="180">
        <f t="shared" si="40"/>
        <v>2</v>
      </c>
      <c r="BN294" s="180">
        <f t="shared" si="40"/>
        <v>1</v>
      </c>
      <c r="BO294" s="180">
        <f t="shared" si="40"/>
        <v>1</v>
      </c>
      <c r="BP294" s="180">
        <f t="shared" ref="BP294:CZ294" si="41">BP225</f>
        <v>0</v>
      </c>
      <c r="BQ294" s="180">
        <f t="shared" si="41"/>
        <v>1</v>
      </c>
      <c r="BR294" s="180">
        <f t="shared" si="41"/>
        <v>0</v>
      </c>
      <c r="BS294" s="180">
        <f t="shared" si="41"/>
        <v>1</v>
      </c>
      <c r="BT294" s="180">
        <f t="shared" si="41"/>
        <v>1</v>
      </c>
      <c r="BU294" s="180">
        <f t="shared" si="41"/>
        <v>0</v>
      </c>
      <c r="BV294" s="180">
        <f t="shared" si="41"/>
        <v>1</v>
      </c>
      <c r="BW294" s="180">
        <f t="shared" si="41"/>
        <v>0</v>
      </c>
      <c r="BX294" s="180">
        <f t="shared" si="41"/>
        <v>0</v>
      </c>
      <c r="BY294" s="180">
        <f t="shared" si="41"/>
        <v>0</v>
      </c>
      <c r="BZ294" s="180">
        <f t="shared" si="41"/>
        <v>0</v>
      </c>
      <c r="CA294" s="180">
        <f t="shared" si="41"/>
        <v>0</v>
      </c>
      <c r="CB294" s="180">
        <f t="shared" si="41"/>
        <v>0</v>
      </c>
      <c r="CC294" s="180">
        <f t="shared" si="41"/>
        <v>0</v>
      </c>
      <c r="CD294" s="180">
        <f t="shared" si="41"/>
        <v>0</v>
      </c>
      <c r="CE294" s="180">
        <f t="shared" si="41"/>
        <v>0</v>
      </c>
      <c r="CF294" s="180">
        <f t="shared" si="41"/>
        <v>0</v>
      </c>
      <c r="CG294" s="180">
        <f t="shared" si="41"/>
        <v>0</v>
      </c>
      <c r="CH294" s="180">
        <f t="shared" si="41"/>
        <v>0</v>
      </c>
      <c r="CI294" s="180">
        <f t="shared" si="41"/>
        <v>0</v>
      </c>
      <c r="CJ294" s="180">
        <f t="shared" si="41"/>
        <v>0</v>
      </c>
      <c r="CK294" s="180">
        <f t="shared" si="41"/>
        <v>0</v>
      </c>
      <c r="CL294" s="180">
        <f t="shared" si="41"/>
        <v>0</v>
      </c>
      <c r="CM294" s="180">
        <f t="shared" si="41"/>
        <v>0</v>
      </c>
      <c r="CN294" s="180">
        <f t="shared" si="41"/>
        <v>0</v>
      </c>
      <c r="CO294" s="180">
        <f t="shared" si="41"/>
        <v>0</v>
      </c>
      <c r="CP294" s="180">
        <f t="shared" si="41"/>
        <v>0</v>
      </c>
      <c r="CQ294" s="180">
        <f t="shared" si="41"/>
        <v>0</v>
      </c>
      <c r="CR294" s="180">
        <f t="shared" si="41"/>
        <v>0</v>
      </c>
      <c r="CS294" s="180">
        <f t="shared" si="41"/>
        <v>0</v>
      </c>
      <c r="CT294" s="180">
        <f t="shared" si="41"/>
        <v>0</v>
      </c>
      <c r="CU294" s="180">
        <f t="shared" si="41"/>
        <v>0</v>
      </c>
      <c r="CV294" s="180">
        <f t="shared" si="41"/>
        <v>0</v>
      </c>
      <c r="CW294" s="180">
        <f t="shared" si="41"/>
        <v>0</v>
      </c>
      <c r="CX294" s="180">
        <f t="shared" si="41"/>
        <v>0</v>
      </c>
      <c r="CY294" s="180">
        <f t="shared" si="41"/>
        <v>0</v>
      </c>
      <c r="CZ294" s="180">
        <f t="shared" si="41"/>
        <v>0</v>
      </c>
    </row>
    <row r="295" spans="1:104" x14ac:dyDescent="0.3">
      <c r="A295" s="556">
        <v>979</v>
      </c>
      <c r="B295" s="180"/>
      <c r="C295" s="180">
        <v>223</v>
      </c>
      <c r="D295" s="180">
        <f t="shared" ref="D295:AI295" si="42">D226</f>
        <v>1</v>
      </c>
      <c r="E295" s="180">
        <f t="shared" si="42"/>
        <v>1</v>
      </c>
      <c r="F295" s="180">
        <f t="shared" si="42"/>
        <v>0</v>
      </c>
      <c r="G295" s="180">
        <f t="shared" si="42"/>
        <v>0</v>
      </c>
      <c r="H295" s="180">
        <f t="shared" si="42"/>
        <v>1</v>
      </c>
      <c r="I295" s="180">
        <f t="shared" si="42"/>
        <v>2</v>
      </c>
      <c r="J295" s="180">
        <f t="shared" si="42"/>
        <v>0</v>
      </c>
      <c r="K295" s="180">
        <f t="shared" si="42"/>
        <v>2</v>
      </c>
      <c r="L295" s="180">
        <f t="shared" si="42"/>
        <v>1</v>
      </c>
      <c r="M295" s="180">
        <f t="shared" si="42"/>
        <v>1</v>
      </c>
      <c r="N295" s="180">
        <f t="shared" si="42"/>
        <v>2</v>
      </c>
      <c r="O295" s="180">
        <f t="shared" si="42"/>
        <v>1</v>
      </c>
      <c r="P295" s="180">
        <f t="shared" si="42"/>
        <v>0</v>
      </c>
      <c r="Q295" s="180">
        <f t="shared" si="42"/>
        <v>2</v>
      </c>
      <c r="R295" s="180">
        <f t="shared" si="42"/>
        <v>2</v>
      </c>
      <c r="S295" s="180">
        <f t="shared" si="42"/>
        <v>2</v>
      </c>
      <c r="T295" s="180">
        <f t="shared" si="42"/>
        <v>1</v>
      </c>
      <c r="U295" s="180">
        <f t="shared" si="42"/>
        <v>0</v>
      </c>
      <c r="V295" s="180">
        <f t="shared" si="42"/>
        <v>0</v>
      </c>
      <c r="W295" s="180">
        <f t="shared" si="42"/>
        <v>0</v>
      </c>
      <c r="X295" s="180">
        <f t="shared" si="42"/>
        <v>1</v>
      </c>
      <c r="Y295" s="180">
        <f t="shared" si="42"/>
        <v>2</v>
      </c>
      <c r="Z295" s="180">
        <f t="shared" si="42"/>
        <v>1</v>
      </c>
      <c r="AA295" s="180">
        <f t="shared" si="42"/>
        <v>1</v>
      </c>
      <c r="AB295" s="180">
        <f t="shared" si="42"/>
        <v>2</v>
      </c>
      <c r="AC295" s="180">
        <f t="shared" si="42"/>
        <v>2</v>
      </c>
      <c r="AD295" s="180">
        <f t="shared" si="42"/>
        <v>1</v>
      </c>
      <c r="AE295" s="180">
        <f t="shared" si="42"/>
        <v>1</v>
      </c>
      <c r="AF295" s="180">
        <f t="shared" si="42"/>
        <v>2</v>
      </c>
      <c r="AG295" s="180">
        <f t="shared" si="42"/>
        <v>2</v>
      </c>
      <c r="AH295" s="180">
        <f t="shared" si="42"/>
        <v>2</v>
      </c>
      <c r="AI295" s="180">
        <f t="shared" si="42"/>
        <v>1</v>
      </c>
      <c r="AJ295" s="180">
        <f t="shared" ref="AJ295:BO295" si="43">AJ226</f>
        <v>2</v>
      </c>
      <c r="AK295" s="180">
        <f t="shared" si="43"/>
        <v>1</v>
      </c>
      <c r="AL295" s="180">
        <f t="shared" si="43"/>
        <v>1</v>
      </c>
      <c r="AM295" s="180">
        <f t="shared" si="43"/>
        <v>1</v>
      </c>
      <c r="AN295" s="180">
        <f t="shared" si="43"/>
        <v>1</v>
      </c>
      <c r="AO295" s="180">
        <f t="shared" si="43"/>
        <v>2</v>
      </c>
      <c r="AP295" s="180">
        <f t="shared" si="43"/>
        <v>1</v>
      </c>
      <c r="AQ295" s="180">
        <f t="shared" si="43"/>
        <v>2</v>
      </c>
      <c r="AR295" s="180">
        <f t="shared" si="43"/>
        <v>2</v>
      </c>
      <c r="AS295" s="180">
        <f t="shared" si="43"/>
        <v>1</v>
      </c>
      <c r="AT295" s="180">
        <f t="shared" si="43"/>
        <v>2</v>
      </c>
      <c r="AU295" s="180">
        <f t="shared" si="43"/>
        <v>1</v>
      </c>
      <c r="AV295" s="180">
        <f t="shared" si="43"/>
        <v>2</v>
      </c>
      <c r="AW295" s="180">
        <f t="shared" si="43"/>
        <v>2</v>
      </c>
      <c r="AX295" s="180">
        <f t="shared" si="43"/>
        <v>1</v>
      </c>
      <c r="AY295" s="180">
        <f t="shared" si="43"/>
        <v>1</v>
      </c>
      <c r="AZ295" s="180">
        <f t="shared" si="43"/>
        <v>1</v>
      </c>
      <c r="BA295" s="180">
        <f t="shared" si="43"/>
        <v>1</v>
      </c>
      <c r="BB295" s="180">
        <f t="shared" si="43"/>
        <v>1</v>
      </c>
      <c r="BC295" s="180">
        <f t="shared" si="43"/>
        <v>1</v>
      </c>
      <c r="BD295" s="180">
        <f t="shared" si="43"/>
        <v>2</v>
      </c>
      <c r="BE295" s="180">
        <f t="shared" si="43"/>
        <v>1</v>
      </c>
      <c r="BF295" s="180">
        <f t="shared" si="43"/>
        <v>2</v>
      </c>
      <c r="BG295" s="180">
        <f t="shared" si="43"/>
        <v>0</v>
      </c>
      <c r="BH295" s="180">
        <f t="shared" si="43"/>
        <v>1</v>
      </c>
      <c r="BI295" s="180">
        <f t="shared" si="43"/>
        <v>2</v>
      </c>
      <c r="BJ295" s="180">
        <f t="shared" si="43"/>
        <v>2</v>
      </c>
      <c r="BK295" s="180">
        <f t="shared" si="43"/>
        <v>1</v>
      </c>
      <c r="BL295" s="180">
        <f t="shared" si="43"/>
        <v>1</v>
      </c>
      <c r="BM295" s="180">
        <f t="shared" si="43"/>
        <v>1</v>
      </c>
      <c r="BN295" s="180">
        <f t="shared" si="43"/>
        <v>2</v>
      </c>
      <c r="BO295" s="180">
        <f t="shared" si="43"/>
        <v>2</v>
      </c>
      <c r="BP295" s="180">
        <f t="shared" ref="BP295:CZ295" si="44">BP226</f>
        <v>0</v>
      </c>
      <c r="BQ295" s="180">
        <f t="shared" si="44"/>
        <v>2</v>
      </c>
      <c r="BR295" s="180">
        <f t="shared" si="44"/>
        <v>0</v>
      </c>
      <c r="BS295" s="180">
        <f t="shared" si="44"/>
        <v>2</v>
      </c>
      <c r="BT295" s="180">
        <f t="shared" si="44"/>
        <v>2</v>
      </c>
      <c r="BU295" s="180">
        <f t="shared" si="44"/>
        <v>0</v>
      </c>
      <c r="BV295" s="180">
        <f t="shared" si="44"/>
        <v>1</v>
      </c>
      <c r="BW295" s="180">
        <f t="shared" si="44"/>
        <v>0</v>
      </c>
      <c r="BX295" s="180">
        <f t="shared" si="44"/>
        <v>0</v>
      </c>
      <c r="BY295" s="180">
        <f t="shared" si="44"/>
        <v>0</v>
      </c>
      <c r="BZ295" s="180">
        <f t="shared" si="44"/>
        <v>0</v>
      </c>
      <c r="CA295" s="180">
        <f t="shared" si="44"/>
        <v>0</v>
      </c>
      <c r="CB295" s="180">
        <f t="shared" si="44"/>
        <v>0</v>
      </c>
      <c r="CC295" s="180">
        <f t="shared" si="44"/>
        <v>0</v>
      </c>
      <c r="CD295" s="180">
        <f t="shared" si="44"/>
        <v>0</v>
      </c>
      <c r="CE295" s="180">
        <f t="shared" si="44"/>
        <v>0</v>
      </c>
      <c r="CF295" s="180">
        <f t="shared" si="44"/>
        <v>0</v>
      </c>
      <c r="CG295" s="180">
        <f t="shared" si="44"/>
        <v>0</v>
      </c>
      <c r="CH295" s="180">
        <f t="shared" si="44"/>
        <v>0</v>
      </c>
      <c r="CI295" s="180">
        <f t="shared" si="44"/>
        <v>0</v>
      </c>
      <c r="CJ295" s="180">
        <f t="shared" si="44"/>
        <v>0</v>
      </c>
      <c r="CK295" s="180">
        <f t="shared" si="44"/>
        <v>0</v>
      </c>
      <c r="CL295" s="180">
        <f t="shared" si="44"/>
        <v>0</v>
      </c>
      <c r="CM295" s="180">
        <f t="shared" si="44"/>
        <v>0</v>
      </c>
      <c r="CN295" s="180">
        <f t="shared" si="44"/>
        <v>0</v>
      </c>
      <c r="CO295" s="180">
        <f t="shared" si="44"/>
        <v>0</v>
      </c>
      <c r="CP295" s="180">
        <f t="shared" si="44"/>
        <v>0</v>
      </c>
      <c r="CQ295" s="180">
        <f t="shared" si="44"/>
        <v>0</v>
      </c>
      <c r="CR295" s="180">
        <f t="shared" si="44"/>
        <v>0</v>
      </c>
      <c r="CS295" s="180">
        <f t="shared" si="44"/>
        <v>0</v>
      </c>
      <c r="CT295" s="180">
        <f t="shared" si="44"/>
        <v>0</v>
      </c>
      <c r="CU295" s="180">
        <f t="shared" si="44"/>
        <v>0</v>
      </c>
      <c r="CV295" s="180">
        <f t="shared" si="44"/>
        <v>0</v>
      </c>
      <c r="CW295" s="180">
        <f t="shared" si="44"/>
        <v>0</v>
      </c>
      <c r="CX295" s="180">
        <f t="shared" si="44"/>
        <v>0</v>
      </c>
      <c r="CY295" s="180">
        <f t="shared" si="44"/>
        <v>0</v>
      </c>
      <c r="CZ295" s="180">
        <f t="shared" si="44"/>
        <v>0</v>
      </c>
    </row>
    <row r="296" spans="1:104" x14ac:dyDescent="0.3">
      <c r="A296" s="155">
        <v>995</v>
      </c>
      <c r="B296" s="180"/>
      <c r="C296" s="180">
        <v>236</v>
      </c>
      <c r="D296" s="180">
        <f t="shared" ref="D296:AI296" si="45">D236</f>
        <v>0</v>
      </c>
      <c r="E296" s="180">
        <f t="shared" si="45"/>
        <v>0</v>
      </c>
      <c r="F296" s="180">
        <f t="shared" si="45"/>
        <v>0</v>
      </c>
      <c r="G296" s="180">
        <f t="shared" si="45"/>
        <v>0</v>
      </c>
      <c r="H296" s="180">
        <f t="shared" si="45"/>
        <v>0</v>
      </c>
      <c r="I296" s="180">
        <f t="shared" si="45"/>
        <v>0</v>
      </c>
      <c r="J296" s="180">
        <f t="shared" si="45"/>
        <v>0</v>
      </c>
      <c r="K296" s="180">
        <f t="shared" si="45"/>
        <v>0</v>
      </c>
      <c r="L296" s="180">
        <f t="shared" si="45"/>
        <v>0.08</v>
      </c>
      <c r="M296" s="180">
        <f t="shared" si="45"/>
        <v>0</v>
      </c>
      <c r="N296" s="180">
        <f t="shared" si="45"/>
        <v>0</v>
      </c>
      <c r="O296" s="180">
        <f t="shared" si="45"/>
        <v>0</v>
      </c>
      <c r="P296" s="180">
        <f t="shared" si="45"/>
        <v>0</v>
      </c>
      <c r="Q296" s="180">
        <f t="shared" si="45"/>
        <v>0</v>
      </c>
      <c r="R296" s="180">
        <f t="shared" si="45"/>
        <v>0</v>
      </c>
      <c r="S296" s="180">
        <f t="shared" si="45"/>
        <v>0</v>
      </c>
      <c r="T296" s="180">
        <f t="shared" si="45"/>
        <v>0</v>
      </c>
      <c r="U296" s="180">
        <f t="shared" si="45"/>
        <v>0</v>
      </c>
      <c r="V296" s="180">
        <f t="shared" si="45"/>
        <v>0</v>
      </c>
      <c r="W296" s="180">
        <f t="shared" si="45"/>
        <v>0.08</v>
      </c>
      <c r="X296" s="180">
        <f t="shared" si="45"/>
        <v>0</v>
      </c>
      <c r="Y296" s="180">
        <f t="shared" si="45"/>
        <v>0</v>
      </c>
      <c r="Z296" s="180">
        <f t="shared" si="45"/>
        <v>0.08</v>
      </c>
      <c r="AA296" s="180">
        <f t="shared" si="45"/>
        <v>0</v>
      </c>
      <c r="AB296" s="180">
        <f t="shared" si="45"/>
        <v>0</v>
      </c>
      <c r="AC296" s="180">
        <f t="shared" si="45"/>
        <v>0</v>
      </c>
      <c r="AD296" s="180">
        <f t="shared" si="45"/>
        <v>0</v>
      </c>
      <c r="AE296" s="180">
        <f t="shared" si="45"/>
        <v>0</v>
      </c>
      <c r="AF296" s="180">
        <f t="shared" si="45"/>
        <v>0</v>
      </c>
      <c r="AG296" s="180">
        <f t="shared" si="45"/>
        <v>0</v>
      </c>
      <c r="AH296" s="180">
        <f t="shared" si="45"/>
        <v>0</v>
      </c>
      <c r="AI296" s="180">
        <f t="shared" si="45"/>
        <v>0</v>
      </c>
      <c r="AJ296" s="180">
        <f t="shared" ref="AJ296:BO296" si="46">AJ236</f>
        <v>0</v>
      </c>
      <c r="AK296" s="180">
        <f t="shared" si="46"/>
        <v>0</v>
      </c>
      <c r="AL296" s="180">
        <f t="shared" si="46"/>
        <v>0</v>
      </c>
      <c r="AM296" s="180">
        <f t="shared" si="46"/>
        <v>0</v>
      </c>
      <c r="AN296" s="180">
        <f t="shared" si="46"/>
        <v>0</v>
      </c>
      <c r="AO296" s="180">
        <f t="shared" si="46"/>
        <v>0</v>
      </c>
      <c r="AP296" s="180">
        <f t="shared" si="46"/>
        <v>0</v>
      </c>
      <c r="AQ296" s="180">
        <f t="shared" si="46"/>
        <v>0</v>
      </c>
      <c r="AR296" s="180">
        <f t="shared" si="46"/>
        <v>0</v>
      </c>
      <c r="AS296" s="180">
        <f t="shared" si="46"/>
        <v>0</v>
      </c>
      <c r="AT296" s="180">
        <f t="shared" si="46"/>
        <v>0</v>
      </c>
      <c r="AU296" s="180">
        <f t="shared" si="46"/>
        <v>0</v>
      </c>
      <c r="AV296" s="180">
        <f t="shared" si="46"/>
        <v>0.08</v>
      </c>
      <c r="AW296" s="180">
        <f t="shared" si="46"/>
        <v>0</v>
      </c>
      <c r="AX296" s="180">
        <f t="shared" si="46"/>
        <v>0</v>
      </c>
      <c r="AY296" s="180">
        <f t="shared" si="46"/>
        <v>0</v>
      </c>
      <c r="AZ296" s="180">
        <f t="shared" si="46"/>
        <v>0.08</v>
      </c>
      <c r="BA296" s="180">
        <f t="shared" si="46"/>
        <v>0</v>
      </c>
      <c r="BB296" s="180">
        <f t="shared" si="46"/>
        <v>0</v>
      </c>
      <c r="BC296" s="180">
        <f t="shared" si="46"/>
        <v>0</v>
      </c>
      <c r="BD296" s="180">
        <f t="shared" si="46"/>
        <v>0</v>
      </c>
      <c r="BE296" s="180">
        <f t="shared" si="46"/>
        <v>0.09</v>
      </c>
      <c r="BF296" s="180">
        <f t="shared" si="46"/>
        <v>7.0000000000000007E-2</v>
      </c>
      <c r="BG296" s="180">
        <f t="shared" si="46"/>
        <v>0</v>
      </c>
      <c r="BH296" s="180">
        <f t="shared" si="46"/>
        <v>0</v>
      </c>
      <c r="BI296" s="180">
        <f t="shared" si="46"/>
        <v>0</v>
      </c>
      <c r="BJ296" s="180">
        <f t="shared" si="46"/>
        <v>0.08</v>
      </c>
      <c r="BK296" s="180">
        <f t="shared" si="46"/>
        <v>0</v>
      </c>
      <c r="BL296" s="180">
        <f t="shared" si="46"/>
        <v>0</v>
      </c>
      <c r="BM296" s="180">
        <f t="shared" si="46"/>
        <v>0</v>
      </c>
      <c r="BN296" s="180">
        <f t="shared" si="46"/>
        <v>0.08</v>
      </c>
      <c r="BO296" s="180">
        <f t="shared" si="46"/>
        <v>0</v>
      </c>
      <c r="BP296" s="180">
        <f t="shared" ref="BP296:CZ296" si="47">BP236</f>
        <v>0</v>
      </c>
      <c r="BQ296" s="180">
        <f t="shared" si="47"/>
        <v>0</v>
      </c>
      <c r="BR296" s="180">
        <f t="shared" si="47"/>
        <v>0</v>
      </c>
      <c r="BS296" s="180">
        <f t="shared" si="47"/>
        <v>0</v>
      </c>
      <c r="BT296" s="180">
        <f t="shared" si="47"/>
        <v>0</v>
      </c>
      <c r="BU296" s="180">
        <f t="shared" si="47"/>
        <v>0</v>
      </c>
      <c r="BV296" s="180">
        <f t="shared" si="47"/>
        <v>0</v>
      </c>
      <c r="BW296" s="180">
        <f t="shared" si="47"/>
        <v>0</v>
      </c>
      <c r="BX296" s="180">
        <f t="shared" si="47"/>
        <v>0</v>
      </c>
      <c r="BY296" s="180">
        <f t="shared" si="47"/>
        <v>0</v>
      </c>
      <c r="BZ296" s="180">
        <f t="shared" si="47"/>
        <v>0</v>
      </c>
      <c r="CA296" s="180">
        <f t="shared" si="47"/>
        <v>0</v>
      </c>
      <c r="CB296" s="180">
        <f t="shared" si="47"/>
        <v>0</v>
      </c>
      <c r="CC296" s="180">
        <f t="shared" si="47"/>
        <v>0</v>
      </c>
      <c r="CD296" s="180">
        <f t="shared" si="47"/>
        <v>0</v>
      </c>
      <c r="CE296" s="180">
        <f t="shared" si="47"/>
        <v>0</v>
      </c>
      <c r="CF296" s="180">
        <f t="shared" si="47"/>
        <v>0</v>
      </c>
      <c r="CG296" s="180">
        <f t="shared" si="47"/>
        <v>0</v>
      </c>
      <c r="CH296" s="180">
        <f t="shared" si="47"/>
        <v>0</v>
      </c>
      <c r="CI296" s="180">
        <f t="shared" si="47"/>
        <v>0</v>
      </c>
      <c r="CJ296" s="180">
        <f t="shared" si="47"/>
        <v>0</v>
      </c>
      <c r="CK296" s="180">
        <f t="shared" si="47"/>
        <v>0</v>
      </c>
      <c r="CL296" s="180">
        <f t="shared" si="47"/>
        <v>0</v>
      </c>
      <c r="CM296" s="180">
        <f t="shared" si="47"/>
        <v>0</v>
      </c>
      <c r="CN296" s="180">
        <f t="shared" si="47"/>
        <v>0</v>
      </c>
      <c r="CO296" s="180">
        <f t="shared" si="47"/>
        <v>0</v>
      </c>
      <c r="CP296" s="180">
        <f t="shared" si="47"/>
        <v>0</v>
      </c>
      <c r="CQ296" s="180">
        <f t="shared" si="47"/>
        <v>0</v>
      </c>
      <c r="CR296" s="180">
        <f t="shared" si="47"/>
        <v>0</v>
      </c>
      <c r="CS296" s="180">
        <f t="shared" si="47"/>
        <v>0</v>
      </c>
      <c r="CT296" s="180">
        <f t="shared" si="47"/>
        <v>0</v>
      </c>
      <c r="CU296" s="180">
        <f t="shared" si="47"/>
        <v>0</v>
      </c>
      <c r="CV296" s="180">
        <f t="shared" si="47"/>
        <v>0</v>
      </c>
      <c r="CW296" s="180">
        <f t="shared" si="47"/>
        <v>0</v>
      </c>
      <c r="CX296" s="180">
        <f t="shared" si="47"/>
        <v>0</v>
      </c>
      <c r="CY296" s="180">
        <f t="shared" si="47"/>
        <v>0</v>
      </c>
      <c r="CZ296" s="180">
        <f t="shared" si="47"/>
        <v>0</v>
      </c>
    </row>
    <row r="297" spans="1:104" x14ac:dyDescent="0.3">
      <c r="A297" s="155">
        <v>996</v>
      </c>
      <c r="B297" s="180"/>
      <c r="C297" s="180">
        <v>237</v>
      </c>
      <c r="D297" s="180">
        <f t="shared" ref="D297:AI297" si="48">D237</f>
        <v>0.01</v>
      </c>
      <c r="E297" s="180">
        <f t="shared" si="48"/>
        <v>0.01</v>
      </c>
      <c r="F297" s="180">
        <f t="shared" si="48"/>
        <v>0.01</v>
      </c>
      <c r="G297" s="180">
        <f t="shared" si="48"/>
        <v>0.01</v>
      </c>
      <c r="H297" s="180">
        <f t="shared" si="48"/>
        <v>0.01</v>
      </c>
      <c r="I297" s="180">
        <f t="shared" si="48"/>
        <v>0</v>
      </c>
      <c r="J297" s="180">
        <f t="shared" si="48"/>
        <v>0</v>
      </c>
      <c r="K297" s="180">
        <f t="shared" si="48"/>
        <v>0</v>
      </c>
      <c r="L297" s="180">
        <f t="shared" si="48"/>
        <v>0.01</v>
      </c>
      <c r="M297" s="180">
        <f t="shared" si="48"/>
        <v>0.01</v>
      </c>
      <c r="N297" s="180">
        <f t="shared" si="48"/>
        <v>0</v>
      </c>
      <c r="O297" s="180">
        <f t="shared" si="48"/>
        <v>0.01</v>
      </c>
      <c r="P297" s="180">
        <f t="shared" si="48"/>
        <v>0.01</v>
      </c>
      <c r="Q297" s="180">
        <f t="shared" si="48"/>
        <v>0</v>
      </c>
      <c r="R297" s="180">
        <f t="shared" si="48"/>
        <v>0</v>
      </c>
      <c r="S297" s="180">
        <f t="shared" si="48"/>
        <v>0.01</v>
      </c>
      <c r="T297" s="180">
        <f t="shared" si="48"/>
        <v>0</v>
      </c>
      <c r="U297" s="180">
        <f t="shared" si="48"/>
        <v>0.01</v>
      </c>
      <c r="V297" s="180">
        <f t="shared" si="48"/>
        <v>0.01</v>
      </c>
      <c r="W297" s="180">
        <f t="shared" si="48"/>
        <v>0.01</v>
      </c>
      <c r="X297" s="180">
        <f t="shared" si="48"/>
        <v>0.01</v>
      </c>
      <c r="Y297" s="180">
        <f t="shared" si="48"/>
        <v>0</v>
      </c>
      <c r="Z297" s="180">
        <f t="shared" si="48"/>
        <v>0.01</v>
      </c>
      <c r="AA297" s="180">
        <f t="shared" si="48"/>
        <v>0</v>
      </c>
      <c r="AB297" s="180">
        <f t="shared" si="48"/>
        <v>0.01</v>
      </c>
      <c r="AC297" s="180">
        <f t="shared" si="48"/>
        <v>0.01</v>
      </c>
      <c r="AD297" s="180">
        <f t="shared" si="48"/>
        <v>0.01</v>
      </c>
      <c r="AE297" s="180">
        <f t="shared" si="48"/>
        <v>0.01</v>
      </c>
      <c r="AF297" s="180">
        <f t="shared" si="48"/>
        <v>0.01</v>
      </c>
      <c r="AG297" s="180">
        <f t="shared" si="48"/>
        <v>0.01</v>
      </c>
      <c r="AH297" s="180">
        <f t="shared" si="48"/>
        <v>0.01</v>
      </c>
      <c r="AI297" s="180">
        <f t="shared" si="48"/>
        <v>0</v>
      </c>
      <c r="AJ297" s="180">
        <f t="shared" ref="AJ297:BO297" si="49">AJ237</f>
        <v>0</v>
      </c>
      <c r="AK297" s="180">
        <f t="shared" si="49"/>
        <v>0</v>
      </c>
      <c r="AL297" s="180">
        <f t="shared" si="49"/>
        <v>0.01</v>
      </c>
      <c r="AM297" s="180">
        <f t="shared" si="49"/>
        <v>0.01</v>
      </c>
      <c r="AN297" s="180">
        <f t="shared" si="49"/>
        <v>0.01</v>
      </c>
      <c r="AO297" s="180">
        <f t="shared" si="49"/>
        <v>0.01</v>
      </c>
      <c r="AP297" s="180">
        <f t="shared" si="49"/>
        <v>0.01</v>
      </c>
      <c r="AQ297" s="180">
        <f t="shared" si="49"/>
        <v>0</v>
      </c>
      <c r="AR297" s="180">
        <f t="shared" si="49"/>
        <v>0.01</v>
      </c>
      <c r="AS297" s="180">
        <f t="shared" si="49"/>
        <v>0.01</v>
      </c>
      <c r="AT297" s="180">
        <f t="shared" si="49"/>
        <v>0.01</v>
      </c>
      <c r="AU297" s="180">
        <f t="shared" si="49"/>
        <v>0.01</v>
      </c>
      <c r="AV297" s="180">
        <f t="shared" si="49"/>
        <v>0.01</v>
      </c>
      <c r="AW297" s="180">
        <f t="shared" si="49"/>
        <v>0.01</v>
      </c>
      <c r="AX297" s="180">
        <f t="shared" si="49"/>
        <v>0</v>
      </c>
      <c r="AY297" s="180">
        <f t="shared" si="49"/>
        <v>0</v>
      </c>
      <c r="AZ297" s="180">
        <f t="shared" si="49"/>
        <v>0.01</v>
      </c>
      <c r="BA297" s="180">
        <f t="shared" si="49"/>
        <v>0.01</v>
      </c>
      <c r="BB297" s="180">
        <f t="shared" si="49"/>
        <v>0.01</v>
      </c>
      <c r="BC297" s="180">
        <f t="shared" si="49"/>
        <v>0.01</v>
      </c>
      <c r="BD297" s="180">
        <f t="shared" si="49"/>
        <v>0.01</v>
      </c>
      <c r="BE297" s="180">
        <f t="shared" si="49"/>
        <v>0.01</v>
      </c>
      <c r="BF297" s="180">
        <f t="shared" si="49"/>
        <v>0.01</v>
      </c>
      <c r="BG297" s="180">
        <f t="shared" si="49"/>
        <v>0.01</v>
      </c>
      <c r="BH297" s="180">
        <f t="shared" si="49"/>
        <v>0</v>
      </c>
      <c r="BI297" s="180">
        <f t="shared" si="49"/>
        <v>0.01</v>
      </c>
      <c r="BJ297" s="180">
        <f t="shared" si="49"/>
        <v>0.01</v>
      </c>
      <c r="BK297" s="180">
        <f t="shared" si="49"/>
        <v>0.01</v>
      </c>
      <c r="BL297" s="180">
        <f t="shared" si="49"/>
        <v>0.01</v>
      </c>
      <c r="BM297" s="180">
        <f t="shared" si="49"/>
        <v>0</v>
      </c>
      <c r="BN297" s="180">
        <f t="shared" si="49"/>
        <v>0.01</v>
      </c>
      <c r="BO297" s="180">
        <f t="shared" si="49"/>
        <v>0.01</v>
      </c>
      <c r="BP297" s="180">
        <f t="shared" ref="BP297:CZ297" si="50">BP237</f>
        <v>0</v>
      </c>
      <c r="BQ297" s="180">
        <f t="shared" si="50"/>
        <v>0</v>
      </c>
      <c r="BR297" s="180">
        <f t="shared" si="50"/>
        <v>0</v>
      </c>
      <c r="BS297" s="180">
        <f t="shared" si="50"/>
        <v>0.01</v>
      </c>
      <c r="BT297" s="180">
        <f t="shared" si="50"/>
        <v>0.01</v>
      </c>
      <c r="BU297" s="180">
        <f t="shared" si="50"/>
        <v>0.01</v>
      </c>
      <c r="BV297" s="180">
        <f t="shared" si="50"/>
        <v>0.01</v>
      </c>
      <c r="BW297" s="180">
        <f t="shared" si="50"/>
        <v>0</v>
      </c>
      <c r="BX297" s="180">
        <f t="shared" si="50"/>
        <v>0</v>
      </c>
      <c r="BY297" s="180">
        <f t="shared" si="50"/>
        <v>0</v>
      </c>
      <c r="BZ297" s="180">
        <f t="shared" si="50"/>
        <v>0</v>
      </c>
      <c r="CA297" s="180">
        <f t="shared" si="50"/>
        <v>0</v>
      </c>
      <c r="CB297" s="180">
        <f t="shared" si="50"/>
        <v>0</v>
      </c>
      <c r="CC297" s="180">
        <f t="shared" si="50"/>
        <v>0</v>
      </c>
      <c r="CD297" s="180">
        <f t="shared" si="50"/>
        <v>0</v>
      </c>
      <c r="CE297" s="180">
        <f t="shared" si="50"/>
        <v>0</v>
      </c>
      <c r="CF297" s="180">
        <f t="shared" si="50"/>
        <v>0</v>
      </c>
      <c r="CG297" s="180">
        <f t="shared" si="50"/>
        <v>0</v>
      </c>
      <c r="CH297" s="180">
        <f t="shared" si="50"/>
        <v>0</v>
      </c>
      <c r="CI297" s="180">
        <f t="shared" si="50"/>
        <v>0</v>
      </c>
      <c r="CJ297" s="180">
        <f t="shared" si="50"/>
        <v>0</v>
      </c>
      <c r="CK297" s="180">
        <f t="shared" si="50"/>
        <v>0</v>
      </c>
      <c r="CL297" s="180">
        <f t="shared" si="50"/>
        <v>0</v>
      </c>
      <c r="CM297" s="180">
        <f t="shared" si="50"/>
        <v>0</v>
      </c>
      <c r="CN297" s="180">
        <f t="shared" si="50"/>
        <v>0</v>
      </c>
      <c r="CO297" s="180">
        <f t="shared" si="50"/>
        <v>0</v>
      </c>
      <c r="CP297" s="180">
        <f t="shared" si="50"/>
        <v>0</v>
      </c>
      <c r="CQ297" s="180">
        <f t="shared" si="50"/>
        <v>0</v>
      </c>
      <c r="CR297" s="180">
        <f t="shared" si="50"/>
        <v>0</v>
      </c>
      <c r="CS297" s="180">
        <f t="shared" si="50"/>
        <v>0</v>
      </c>
      <c r="CT297" s="180">
        <f t="shared" si="50"/>
        <v>0</v>
      </c>
      <c r="CU297" s="180">
        <f t="shared" si="50"/>
        <v>0</v>
      </c>
      <c r="CV297" s="180">
        <f t="shared" si="50"/>
        <v>0</v>
      </c>
      <c r="CW297" s="180">
        <f t="shared" si="50"/>
        <v>0</v>
      </c>
      <c r="CX297" s="180">
        <f t="shared" si="50"/>
        <v>0</v>
      </c>
      <c r="CY297" s="180">
        <f t="shared" si="50"/>
        <v>0</v>
      </c>
      <c r="CZ297" s="180">
        <f t="shared" si="50"/>
        <v>0</v>
      </c>
    </row>
    <row r="298" spans="1:104" x14ac:dyDescent="0.3">
      <c r="A298" s="155">
        <v>998</v>
      </c>
      <c r="B298" s="180"/>
      <c r="C298" s="180">
        <v>238</v>
      </c>
      <c r="D298" s="180">
        <f t="shared" ref="D298:AI298" si="51">D238</f>
        <v>50</v>
      </c>
      <c r="E298" s="180">
        <f t="shared" si="51"/>
        <v>50</v>
      </c>
      <c r="F298" s="180">
        <f t="shared" si="51"/>
        <v>50</v>
      </c>
      <c r="G298" s="180">
        <f t="shared" si="51"/>
        <v>50</v>
      </c>
      <c r="H298" s="180">
        <f t="shared" si="51"/>
        <v>50</v>
      </c>
      <c r="I298" s="180">
        <f t="shared" si="51"/>
        <v>50</v>
      </c>
      <c r="J298" s="180">
        <f t="shared" si="51"/>
        <v>50</v>
      </c>
      <c r="K298" s="180">
        <f t="shared" si="51"/>
        <v>50</v>
      </c>
      <c r="L298" s="180">
        <f t="shared" si="51"/>
        <v>50</v>
      </c>
      <c r="M298" s="180">
        <f t="shared" si="51"/>
        <v>50</v>
      </c>
      <c r="N298" s="180">
        <f t="shared" si="51"/>
        <v>50</v>
      </c>
      <c r="O298" s="180">
        <f t="shared" si="51"/>
        <v>50</v>
      </c>
      <c r="P298" s="180">
        <f t="shared" si="51"/>
        <v>50</v>
      </c>
      <c r="Q298" s="180">
        <f t="shared" si="51"/>
        <v>50</v>
      </c>
      <c r="R298" s="180">
        <f t="shared" si="51"/>
        <v>50</v>
      </c>
      <c r="S298" s="180">
        <f t="shared" si="51"/>
        <v>50</v>
      </c>
      <c r="T298" s="180">
        <f t="shared" si="51"/>
        <v>50</v>
      </c>
      <c r="U298" s="180">
        <f t="shared" si="51"/>
        <v>50</v>
      </c>
      <c r="V298" s="180">
        <f t="shared" si="51"/>
        <v>50</v>
      </c>
      <c r="W298" s="180">
        <f t="shared" si="51"/>
        <v>50</v>
      </c>
      <c r="X298" s="180">
        <f t="shared" si="51"/>
        <v>50</v>
      </c>
      <c r="Y298" s="180">
        <f t="shared" si="51"/>
        <v>50</v>
      </c>
      <c r="Z298" s="180">
        <f t="shared" si="51"/>
        <v>50</v>
      </c>
      <c r="AA298" s="180">
        <f t="shared" si="51"/>
        <v>50</v>
      </c>
      <c r="AB298" s="180">
        <f t="shared" si="51"/>
        <v>50</v>
      </c>
      <c r="AC298" s="180">
        <f t="shared" si="51"/>
        <v>50</v>
      </c>
      <c r="AD298" s="180">
        <f t="shared" si="51"/>
        <v>50</v>
      </c>
      <c r="AE298" s="180">
        <f t="shared" si="51"/>
        <v>50</v>
      </c>
      <c r="AF298" s="180">
        <f t="shared" si="51"/>
        <v>50</v>
      </c>
      <c r="AG298" s="180">
        <f t="shared" si="51"/>
        <v>50</v>
      </c>
      <c r="AH298" s="180">
        <f t="shared" si="51"/>
        <v>50</v>
      </c>
      <c r="AI298" s="180">
        <f t="shared" si="51"/>
        <v>50</v>
      </c>
      <c r="AJ298" s="180">
        <f t="shared" ref="AJ298:BO298" si="52">AJ238</f>
        <v>50</v>
      </c>
      <c r="AK298" s="180">
        <f t="shared" si="52"/>
        <v>50</v>
      </c>
      <c r="AL298" s="180">
        <f t="shared" si="52"/>
        <v>50</v>
      </c>
      <c r="AM298" s="180">
        <f t="shared" si="52"/>
        <v>50</v>
      </c>
      <c r="AN298" s="180">
        <f t="shared" si="52"/>
        <v>50</v>
      </c>
      <c r="AO298" s="180">
        <f t="shared" si="52"/>
        <v>50</v>
      </c>
      <c r="AP298" s="180">
        <f t="shared" si="52"/>
        <v>50</v>
      </c>
      <c r="AQ298" s="180">
        <f t="shared" si="52"/>
        <v>50</v>
      </c>
      <c r="AR298" s="180">
        <f t="shared" si="52"/>
        <v>50</v>
      </c>
      <c r="AS298" s="180">
        <f t="shared" si="52"/>
        <v>50</v>
      </c>
      <c r="AT298" s="180">
        <f t="shared" si="52"/>
        <v>50</v>
      </c>
      <c r="AU298" s="180">
        <f t="shared" si="52"/>
        <v>50</v>
      </c>
      <c r="AV298" s="180">
        <f t="shared" si="52"/>
        <v>50</v>
      </c>
      <c r="AW298" s="180">
        <f t="shared" si="52"/>
        <v>50</v>
      </c>
      <c r="AX298" s="180">
        <f t="shared" si="52"/>
        <v>50</v>
      </c>
      <c r="AY298" s="180">
        <f t="shared" si="52"/>
        <v>50</v>
      </c>
      <c r="AZ298" s="180">
        <f t="shared" si="52"/>
        <v>50</v>
      </c>
      <c r="BA298" s="180">
        <f t="shared" si="52"/>
        <v>50</v>
      </c>
      <c r="BB298" s="180">
        <f t="shared" si="52"/>
        <v>50</v>
      </c>
      <c r="BC298" s="180">
        <f t="shared" si="52"/>
        <v>50</v>
      </c>
      <c r="BD298" s="180">
        <f t="shared" si="52"/>
        <v>50</v>
      </c>
      <c r="BE298" s="180">
        <f t="shared" si="52"/>
        <v>50</v>
      </c>
      <c r="BF298" s="180">
        <f t="shared" si="52"/>
        <v>50</v>
      </c>
      <c r="BG298" s="180">
        <f t="shared" si="52"/>
        <v>50</v>
      </c>
      <c r="BH298" s="180">
        <f t="shared" si="52"/>
        <v>50</v>
      </c>
      <c r="BI298" s="180">
        <f t="shared" si="52"/>
        <v>50</v>
      </c>
      <c r="BJ298" s="180">
        <f t="shared" si="52"/>
        <v>50</v>
      </c>
      <c r="BK298" s="180">
        <f t="shared" si="52"/>
        <v>50</v>
      </c>
      <c r="BL298" s="180">
        <f t="shared" si="52"/>
        <v>50</v>
      </c>
      <c r="BM298" s="180">
        <f t="shared" si="52"/>
        <v>50</v>
      </c>
      <c r="BN298" s="180">
        <f t="shared" si="52"/>
        <v>50</v>
      </c>
      <c r="BO298" s="180">
        <f t="shared" si="52"/>
        <v>50</v>
      </c>
      <c r="BP298" s="180">
        <f t="shared" ref="BP298:CZ298" si="53">BP238</f>
        <v>50</v>
      </c>
      <c r="BQ298" s="180">
        <f t="shared" si="53"/>
        <v>50</v>
      </c>
      <c r="BR298" s="180">
        <f t="shared" si="53"/>
        <v>50</v>
      </c>
      <c r="BS298" s="180">
        <f t="shared" si="53"/>
        <v>50</v>
      </c>
      <c r="BT298" s="180">
        <f t="shared" si="53"/>
        <v>50</v>
      </c>
      <c r="BU298" s="180">
        <f t="shared" si="53"/>
        <v>50</v>
      </c>
      <c r="BV298" s="180">
        <f t="shared" si="53"/>
        <v>50</v>
      </c>
      <c r="BW298" s="180">
        <f t="shared" si="53"/>
        <v>0</v>
      </c>
      <c r="BX298" s="180">
        <f t="shared" si="53"/>
        <v>0</v>
      </c>
      <c r="BY298" s="180">
        <f t="shared" si="53"/>
        <v>0</v>
      </c>
      <c r="BZ298" s="180">
        <f t="shared" si="53"/>
        <v>0</v>
      </c>
      <c r="CA298" s="180">
        <f t="shared" si="53"/>
        <v>0</v>
      </c>
      <c r="CB298" s="180">
        <f t="shared" si="53"/>
        <v>0</v>
      </c>
      <c r="CC298" s="180">
        <f t="shared" si="53"/>
        <v>0</v>
      </c>
      <c r="CD298" s="180">
        <f t="shared" si="53"/>
        <v>0</v>
      </c>
      <c r="CE298" s="180">
        <f t="shared" si="53"/>
        <v>0</v>
      </c>
      <c r="CF298" s="180">
        <f t="shared" si="53"/>
        <v>0</v>
      </c>
      <c r="CG298" s="180">
        <f t="shared" si="53"/>
        <v>0</v>
      </c>
      <c r="CH298" s="180">
        <f t="shared" si="53"/>
        <v>0</v>
      </c>
      <c r="CI298" s="180">
        <f t="shared" si="53"/>
        <v>0</v>
      </c>
      <c r="CJ298" s="180">
        <f t="shared" si="53"/>
        <v>0</v>
      </c>
      <c r="CK298" s="180">
        <f t="shared" si="53"/>
        <v>0</v>
      </c>
      <c r="CL298" s="180">
        <f t="shared" si="53"/>
        <v>0</v>
      </c>
      <c r="CM298" s="180">
        <f t="shared" si="53"/>
        <v>0</v>
      </c>
      <c r="CN298" s="180">
        <f t="shared" si="53"/>
        <v>0</v>
      </c>
      <c r="CO298" s="180">
        <f t="shared" si="53"/>
        <v>0</v>
      </c>
      <c r="CP298" s="180">
        <f t="shared" si="53"/>
        <v>0</v>
      </c>
      <c r="CQ298" s="180">
        <f t="shared" si="53"/>
        <v>0</v>
      </c>
      <c r="CR298" s="180">
        <f t="shared" si="53"/>
        <v>0</v>
      </c>
      <c r="CS298" s="180">
        <f t="shared" si="53"/>
        <v>0</v>
      </c>
      <c r="CT298" s="180">
        <f t="shared" si="53"/>
        <v>0</v>
      </c>
      <c r="CU298" s="180">
        <f t="shared" si="53"/>
        <v>0</v>
      </c>
      <c r="CV298" s="180">
        <f t="shared" si="53"/>
        <v>0</v>
      </c>
      <c r="CW298" s="180">
        <f t="shared" si="53"/>
        <v>0</v>
      </c>
      <c r="CX298" s="180">
        <f t="shared" si="53"/>
        <v>0</v>
      </c>
      <c r="CY298" s="180">
        <f t="shared" si="53"/>
        <v>0</v>
      </c>
      <c r="CZ298" s="180">
        <f t="shared" si="53"/>
        <v>0</v>
      </c>
    </row>
    <row r="299" spans="1:104" x14ac:dyDescent="0.3">
      <c r="A299" s="155">
        <v>999</v>
      </c>
      <c r="B299" s="180"/>
      <c r="C299" s="180">
        <v>239</v>
      </c>
      <c r="D299" s="180">
        <f t="shared" ref="D299:AI299" si="54">D239</f>
        <v>50312</v>
      </c>
      <c r="E299" s="180">
        <f t="shared" si="54"/>
        <v>50313</v>
      </c>
      <c r="F299" s="180">
        <f t="shared" si="54"/>
        <v>50314</v>
      </c>
      <c r="G299" s="180">
        <f t="shared" si="54"/>
        <v>50315</v>
      </c>
      <c r="H299" s="180">
        <f t="shared" si="54"/>
        <v>50316</v>
      </c>
      <c r="I299" s="180">
        <f t="shared" si="54"/>
        <v>50481</v>
      </c>
      <c r="J299" s="180">
        <f t="shared" si="54"/>
        <v>50561</v>
      </c>
      <c r="K299" s="180">
        <f t="shared" si="54"/>
        <v>50317</v>
      </c>
      <c r="L299" s="180">
        <f t="shared" si="54"/>
        <v>50318</v>
      </c>
      <c r="M299" s="180">
        <f t="shared" si="54"/>
        <v>50319</v>
      </c>
      <c r="N299" s="180">
        <f t="shared" si="54"/>
        <v>50489</v>
      </c>
      <c r="O299" s="180">
        <f t="shared" si="54"/>
        <v>50320</v>
      </c>
      <c r="P299" s="180">
        <f t="shared" si="54"/>
        <v>50323</v>
      </c>
      <c r="Q299" s="180">
        <f t="shared" si="54"/>
        <v>50321</v>
      </c>
      <c r="R299" s="180">
        <f t="shared" si="54"/>
        <v>50322</v>
      </c>
      <c r="S299" s="180">
        <f t="shared" si="54"/>
        <v>50490</v>
      </c>
      <c r="T299" s="180">
        <f t="shared" si="54"/>
        <v>50324</v>
      </c>
      <c r="U299" s="180">
        <f t="shared" si="54"/>
        <v>50325</v>
      </c>
      <c r="V299" s="180">
        <f t="shared" si="54"/>
        <v>50326</v>
      </c>
      <c r="W299" s="180">
        <f t="shared" si="54"/>
        <v>50327</v>
      </c>
      <c r="X299" s="180">
        <f t="shared" si="54"/>
        <v>50328</v>
      </c>
      <c r="Y299" s="180">
        <f t="shared" si="54"/>
        <v>50329</v>
      </c>
      <c r="Z299" s="180">
        <f t="shared" si="54"/>
        <v>50330</v>
      </c>
      <c r="AA299" s="180">
        <f t="shared" si="54"/>
        <v>50331</v>
      </c>
      <c r="AB299" s="180">
        <f t="shared" si="54"/>
        <v>50332</v>
      </c>
      <c r="AC299" s="180">
        <f t="shared" si="54"/>
        <v>50333</v>
      </c>
      <c r="AD299" s="180">
        <f t="shared" si="54"/>
        <v>50335</v>
      </c>
      <c r="AE299" s="180">
        <f t="shared" si="54"/>
        <v>50334</v>
      </c>
      <c r="AF299" s="180">
        <f t="shared" si="54"/>
        <v>50336</v>
      </c>
      <c r="AG299" s="180">
        <f t="shared" si="54"/>
        <v>50337</v>
      </c>
      <c r="AH299" s="180">
        <f t="shared" si="54"/>
        <v>50338</v>
      </c>
      <c r="AI299" s="180">
        <f t="shared" si="54"/>
        <v>50339</v>
      </c>
      <c r="AJ299" s="180">
        <f t="shared" ref="AJ299:BO299" si="55">AJ239</f>
        <v>50443</v>
      </c>
      <c r="AK299" s="180">
        <f t="shared" si="55"/>
        <v>50340</v>
      </c>
      <c r="AL299" s="180">
        <f t="shared" si="55"/>
        <v>50456</v>
      </c>
      <c r="AM299" s="180">
        <f t="shared" si="55"/>
        <v>50341</v>
      </c>
      <c r="AN299" s="180">
        <f t="shared" si="55"/>
        <v>50342</v>
      </c>
      <c r="AO299" s="180">
        <f t="shared" si="55"/>
        <v>50344</v>
      </c>
      <c r="AP299" s="180">
        <f t="shared" si="55"/>
        <v>50345</v>
      </c>
      <c r="AQ299" s="180">
        <f t="shared" si="55"/>
        <v>50503</v>
      </c>
      <c r="AR299" s="180">
        <f t="shared" si="55"/>
        <v>50527</v>
      </c>
      <c r="AS299" s="180">
        <f t="shared" si="55"/>
        <v>50346</v>
      </c>
      <c r="AT299" s="180">
        <f t="shared" si="55"/>
        <v>50347</v>
      </c>
      <c r="AU299" s="180">
        <f t="shared" si="55"/>
        <v>50529</v>
      </c>
      <c r="AV299" s="180">
        <f t="shared" si="55"/>
        <v>50348</v>
      </c>
      <c r="AW299" s="180">
        <f t="shared" si="55"/>
        <v>50349</v>
      </c>
      <c r="AX299" s="180">
        <f t="shared" si="55"/>
        <v>50350</v>
      </c>
      <c r="AY299" s="180">
        <f t="shared" si="55"/>
        <v>50541</v>
      </c>
      <c r="AZ299" s="180">
        <f t="shared" si="55"/>
        <v>50351</v>
      </c>
      <c r="BA299" s="180">
        <f t="shared" si="55"/>
        <v>50484</v>
      </c>
      <c r="BB299" s="180">
        <f t="shared" si="55"/>
        <v>50352</v>
      </c>
      <c r="BC299" s="180">
        <f t="shared" si="55"/>
        <v>50353</v>
      </c>
      <c r="BD299" s="180">
        <f t="shared" si="55"/>
        <v>50354</v>
      </c>
      <c r="BE299" s="180">
        <f t="shared" si="55"/>
        <v>50355</v>
      </c>
      <c r="BF299" s="180">
        <f t="shared" si="55"/>
        <v>50356</v>
      </c>
      <c r="BG299" s="180">
        <f t="shared" si="55"/>
        <v>50357</v>
      </c>
      <c r="BH299" s="180">
        <f t="shared" si="55"/>
        <v>50482</v>
      </c>
      <c r="BI299" s="180">
        <f t="shared" si="55"/>
        <v>50358</v>
      </c>
      <c r="BJ299" s="180">
        <f t="shared" si="55"/>
        <v>50359</v>
      </c>
      <c r="BK299" s="180">
        <f t="shared" si="55"/>
        <v>50360</v>
      </c>
      <c r="BL299" s="180">
        <f t="shared" si="55"/>
        <v>50361</v>
      </c>
      <c r="BM299" s="180">
        <f t="shared" si="55"/>
        <v>50362</v>
      </c>
      <c r="BN299" s="180">
        <f t="shared" si="55"/>
        <v>50363</v>
      </c>
      <c r="BO299" s="180">
        <f t="shared" si="55"/>
        <v>50364</v>
      </c>
      <c r="BP299" s="180">
        <f t="shared" ref="BP299:CZ299" si="56">BP239</f>
        <v>50365</v>
      </c>
      <c r="BQ299" s="180">
        <f t="shared" si="56"/>
        <v>50366</v>
      </c>
      <c r="BR299" s="180">
        <f t="shared" si="56"/>
        <v>50367</v>
      </c>
      <c r="BS299" s="180">
        <f t="shared" si="56"/>
        <v>50368</v>
      </c>
      <c r="BT299" s="180">
        <f t="shared" si="56"/>
        <v>50369</v>
      </c>
      <c r="BU299" s="180">
        <f t="shared" si="56"/>
        <v>50370</v>
      </c>
      <c r="BV299" s="180">
        <f t="shared" si="56"/>
        <v>50371</v>
      </c>
      <c r="BW299" s="180">
        <f t="shared" si="56"/>
        <v>0</v>
      </c>
      <c r="BX299" s="180">
        <f t="shared" si="56"/>
        <v>0</v>
      </c>
      <c r="BY299" s="180">
        <f t="shared" si="56"/>
        <v>0</v>
      </c>
      <c r="BZ299" s="180">
        <f t="shared" si="56"/>
        <v>0</v>
      </c>
      <c r="CA299" s="180">
        <f t="shared" si="56"/>
        <v>0</v>
      </c>
      <c r="CB299" s="180">
        <f t="shared" si="56"/>
        <v>0</v>
      </c>
      <c r="CC299" s="180">
        <f t="shared" si="56"/>
        <v>0</v>
      </c>
      <c r="CD299" s="180">
        <f t="shared" si="56"/>
        <v>0</v>
      </c>
      <c r="CE299" s="180">
        <f t="shared" si="56"/>
        <v>0</v>
      </c>
      <c r="CF299" s="180">
        <f t="shared" si="56"/>
        <v>0</v>
      </c>
      <c r="CG299" s="180">
        <f t="shared" si="56"/>
        <v>0</v>
      </c>
      <c r="CH299" s="180">
        <f t="shared" si="56"/>
        <v>0</v>
      </c>
      <c r="CI299" s="180">
        <f t="shared" si="56"/>
        <v>0</v>
      </c>
      <c r="CJ299" s="180">
        <f t="shared" si="56"/>
        <v>0</v>
      </c>
      <c r="CK299" s="180">
        <f t="shared" si="56"/>
        <v>0</v>
      </c>
      <c r="CL299" s="180">
        <f t="shared" si="56"/>
        <v>0</v>
      </c>
      <c r="CM299" s="180">
        <f t="shared" si="56"/>
        <v>0</v>
      </c>
      <c r="CN299" s="180">
        <f t="shared" si="56"/>
        <v>0</v>
      </c>
      <c r="CO299" s="180">
        <f t="shared" si="56"/>
        <v>0</v>
      </c>
      <c r="CP299" s="180">
        <f t="shared" si="56"/>
        <v>0</v>
      </c>
      <c r="CQ299" s="180">
        <f t="shared" si="56"/>
        <v>0</v>
      </c>
      <c r="CR299" s="180">
        <f t="shared" si="56"/>
        <v>0</v>
      </c>
      <c r="CS299" s="180">
        <f t="shared" si="56"/>
        <v>0</v>
      </c>
      <c r="CT299" s="180">
        <f t="shared" si="56"/>
        <v>0</v>
      </c>
      <c r="CU299" s="180">
        <f t="shared" si="56"/>
        <v>0</v>
      </c>
      <c r="CV299" s="180">
        <f t="shared" si="56"/>
        <v>0</v>
      </c>
      <c r="CW299" s="180">
        <f t="shared" si="56"/>
        <v>0</v>
      </c>
      <c r="CX299" s="180">
        <f t="shared" si="56"/>
        <v>0</v>
      </c>
      <c r="CY299" s="180">
        <f t="shared" si="56"/>
        <v>0</v>
      </c>
      <c r="CZ299" s="180">
        <f t="shared" si="56"/>
        <v>0</v>
      </c>
    </row>
    <row r="300" spans="1:104" x14ac:dyDescent="0.3">
      <c r="A300" s="558">
        <v>554</v>
      </c>
      <c r="B300" s="180"/>
      <c r="C300" s="180">
        <v>144</v>
      </c>
      <c r="D300" s="555">
        <f t="shared" ref="D300:AI300" si="57">D144</f>
        <v>879580</v>
      </c>
      <c r="E300" s="555">
        <f t="shared" si="57"/>
        <v>62028288</v>
      </c>
      <c r="F300" s="555">
        <f t="shared" si="57"/>
        <v>0</v>
      </c>
      <c r="G300" s="555">
        <f t="shared" si="57"/>
        <v>0</v>
      </c>
      <c r="H300" s="555">
        <f t="shared" si="57"/>
        <v>0</v>
      </c>
      <c r="I300" s="555">
        <f t="shared" si="57"/>
        <v>0</v>
      </c>
      <c r="J300" s="555">
        <f t="shared" si="57"/>
        <v>0</v>
      </c>
      <c r="K300" s="555">
        <f t="shared" si="57"/>
        <v>0</v>
      </c>
      <c r="L300" s="555">
        <f t="shared" si="57"/>
        <v>4281111</v>
      </c>
      <c r="M300" s="555">
        <f t="shared" si="57"/>
        <v>423142</v>
      </c>
      <c r="N300" s="555">
        <f t="shared" si="57"/>
        <v>0</v>
      </c>
      <c r="O300" s="555">
        <f t="shared" si="57"/>
        <v>0</v>
      </c>
      <c r="P300" s="555">
        <f t="shared" si="57"/>
        <v>0</v>
      </c>
      <c r="Q300" s="555">
        <f t="shared" si="57"/>
        <v>0</v>
      </c>
      <c r="R300" s="555">
        <f t="shared" si="57"/>
        <v>0</v>
      </c>
      <c r="S300" s="555">
        <f t="shared" si="57"/>
        <v>0</v>
      </c>
      <c r="T300" s="555">
        <f t="shared" si="57"/>
        <v>2312043</v>
      </c>
      <c r="U300" s="555">
        <f t="shared" si="57"/>
        <v>0</v>
      </c>
      <c r="V300" s="555">
        <f t="shared" si="57"/>
        <v>0</v>
      </c>
      <c r="W300" s="555">
        <f t="shared" si="57"/>
        <v>0</v>
      </c>
      <c r="X300" s="555">
        <f t="shared" si="57"/>
        <v>0</v>
      </c>
      <c r="Y300" s="555">
        <f t="shared" si="57"/>
        <v>0</v>
      </c>
      <c r="Z300" s="555">
        <f t="shared" si="57"/>
        <v>6239717</v>
      </c>
      <c r="AA300" s="555">
        <f t="shared" si="57"/>
        <v>0</v>
      </c>
      <c r="AB300" s="555">
        <f t="shared" si="57"/>
        <v>0</v>
      </c>
      <c r="AC300" s="555">
        <f t="shared" si="57"/>
        <v>0</v>
      </c>
      <c r="AD300" s="555">
        <f t="shared" si="57"/>
        <v>0</v>
      </c>
      <c r="AE300" s="555">
        <f t="shared" si="57"/>
        <v>0</v>
      </c>
      <c r="AF300" s="555">
        <f t="shared" si="57"/>
        <v>0</v>
      </c>
      <c r="AG300" s="555">
        <f t="shared" si="57"/>
        <v>0</v>
      </c>
      <c r="AH300" s="555">
        <f t="shared" si="57"/>
        <v>1151661</v>
      </c>
      <c r="AI300" s="555">
        <f t="shared" si="57"/>
        <v>0</v>
      </c>
      <c r="AJ300" s="555">
        <f t="shared" ref="AJ300:BO300" si="58">AJ144</f>
        <v>0</v>
      </c>
      <c r="AK300" s="555">
        <f t="shared" si="58"/>
        <v>0</v>
      </c>
      <c r="AL300" s="555">
        <f t="shared" si="58"/>
        <v>0</v>
      </c>
      <c r="AM300" s="555">
        <f t="shared" si="58"/>
        <v>1259338</v>
      </c>
      <c r="AN300" s="555">
        <f t="shared" si="58"/>
        <v>0</v>
      </c>
      <c r="AO300" s="555">
        <f t="shared" si="58"/>
        <v>3563162</v>
      </c>
      <c r="AP300" s="555">
        <f t="shared" si="58"/>
        <v>0</v>
      </c>
      <c r="AQ300" s="555">
        <f t="shared" si="58"/>
        <v>0</v>
      </c>
      <c r="AR300" s="555">
        <f t="shared" si="58"/>
        <v>0</v>
      </c>
      <c r="AS300" s="555">
        <f t="shared" si="58"/>
        <v>1774902</v>
      </c>
      <c r="AT300" s="555">
        <f t="shared" si="58"/>
        <v>0</v>
      </c>
      <c r="AU300" s="555">
        <f t="shared" si="58"/>
        <v>0</v>
      </c>
      <c r="AV300" s="555">
        <f t="shared" si="58"/>
        <v>0</v>
      </c>
      <c r="AW300" s="555">
        <f t="shared" si="58"/>
        <v>0</v>
      </c>
      <c r="AX300" s="555">
        <f t="shared" si="58"/>
        <v>0</v>
      </c>
      <c r="AY300" s="555">
        <f t="shared" si="58"/>
        <v>0</v>
      </c>
      <c r="AZ300" s="555">
        <f t="shared" si="58"/>
        <v>1388159</v>
      </c>
      <c r="BA300" s="555">
        <f t="shared" si="58"/>
        <v>0</v>
      </c>
      <c r="BB300" s="555">
        <f t="shared" si="58"/>
        <v>0</v>
      </c>
      <c r="BC300" s="555">
        <f t="shared" si="58"/>
        <v>0</v>
      </c>
      <c r="BD300" s="555">
        <f t="shared" si="58"/>
        <v>0</v>
      </c>
      <c r="BE300" s="555">
        <f t="shared" si="58"/>
        <v>0</v>
      </c>
      <c r="BF300" s="555">
        <f t="shared" si="58"/>
        <v>2058640</v>
      </c>
      <c r="BG300" s="555">
        <f t="shared" si="58"/>
        <v>0</v>
      </c>
      <c r="BH300" s="555">
        <f t="shared" si="58"/>
        <v>0</v>
      </c>
      <c r="BI300" s="555">
        <f t="shared" si="58"/>
        <v>0</v>
      </c>
      <c r="BJ300" s="555">
        <f t="shared" si="58"/>
        <v>169952</v>
      </c>
      <c r="BK300" s="555">
        <f t="shared" si="58"/>
        <v>0</v>
      </c>
      <c r="BL300" s="555">
        <f t="shared" si="58"/>
        <v>0</v>
      </c>
      <c r="BM300" s="555">
        <f t="shared" si="58"/>
        <v>0</v>
      </c>
      <c r="BN300" s="555">
        <f t="shared" si="58"/>
        <v>0</v>
      </c>
      <c r="BO300" s="555">
        <f t="shared" si="58"/>
        <v>0</v>
      </c>
      <c r="BP300" s="555">
        <f t="shared" ref="BP300:CZ300" si="59">BP144</f>
        <v>0</v>
      </c>
      <c r="BQ300" s="555">
        <f t="shared" si="59"/>
        <v>0</v>
      </c>
      <c r="BR300" s="555">
        <f t="shared" si="59"/>
        <v>0</v>
      </c>
      <c r="BS300" s="555">
        <f t="shared" si="59"/>
        <v>0</v>
      </c>
      <c r="BT300" s="555">
        <f t="shared" si="59"/>
        <v>0</v>
      </c>
      <c r="BU300" s="555">
        <f t="shared" si="59"/>
        <v>0</v>
      </c>
      <c r="BV300" s="555">
        <f t="shared" si="59"/>
        <v>365073</v>
      </c>
      <c r="BW300" s="555">
        <f t="shared" si="59"/>
        <v>0</v>
      </c>
      <c r="BX300" s="555">
        <f t="shared" si="59"/>
        <v>0</v>
      </c>
      <c r="BY300" s="555">
        <f t="shared" si="59"/>
        <v>0</v>
      </c>
      <c r="BZ300" s="555">
        <f t="shared" si="59"/>
        <v>0</v>
      </c>
      <c r="CA300" s="555">
        <f t="shared" si="59"/>
        <v>0</v>
      </c>
      <c r="CB300" s="555">
        <f t="shared" si="59"/>
        <v>0</v>
      </c>
      <c r="CC300" s="555">
        <f t="shared" si="59"/>
        <v>0</v>
      </c>
      <c r="CD300" s="555">
        <f t="shared" si="59"/>
        <v>0</v>
      </c>
      <c r="CE300" s="555">
        <f t="shared" si="59"/>
        <v>0</v>
      </c>
      <c r="CF300" s="555">
        <f t="shared" si="59"/>
        <v>0</v>
      </c>
      <c r="CG300" s="555">
        <f t="shared" si="59"/>
        <v>0</v>
      </c>
      <c r="CH300" s="555">
        <f t="shared" si="59"/>
        <v>0</v>
      </c>
      <c r="CI300" s="555">
        <f t="shared" si="59"/>
        <v>0</v>
      </c>
      <c r="CJ300" s="555">
        <f t="shared" si="59"/>
        <v>0</v>
      </c>
      <c r="CK300" s="555">
        <f t="shared" si="59"/>
        <v>0</v>
      </c>
      <c r="CL300" s="555">
        <f t="shared" si="59"/>
        <v>0</v>
      </c>
      <c r="CM300" s="555">
        <f t="shared" si="59"/>
        <v>0</v>
      </c>
      <c r="CN300" s="555">
        <f t="shared" si="59"/>
        <v>0</v>
      </c>
      <c r="CO300" s="555">
        <f t="shared" si="59"/>
        <v>0</v>
      </c>
      <c r="CP300" s="555">
        <f t="shared" si="59"/>
        <v>0</v>
      </c>
      <c r="CQ300" s="555">
        <f t="shared" si="59"/>
        <v>0</v>
      </c>
      <c r="CR300" s="555">
        <f t="shared" si="59"/>
        <v>0</v>
      </c>
      <c r="CS300" s="555">
        <f t="shared" si="59"/>
        <v>0</v>
      </c>
      <c r="CT300" s="555">
        <f t="shared" si="59"/>
        <v>0</v>
      </c>
      <c r="CU300" s="555">
        <f t="shared" si="59"/>
        <v>0</v>
      </c>
      <c r="CV300" s="555">
        <f t="shared" si="59"/>
        <v>0</v>
      </c>
      <c r="CW300" s="555">
        <f t="shared" si="59"/>
        <v>0</v>
      </c>
      <c r="CX300" s="555">
        <f t="shared" si="59"/>
        <v>0</v>
      </c>
      <c r="CY300" s="555">
        <f t="shared" si="59"/>
        <v>0</v>
      </c>
      <c r="CZ300" s="555">
        <f t="shared" si="59"/>
        <v>0</v>
      </c>
    </row>
    <row r="301" spans="1:104" x14ac:dyDescent="0.3">
      <c r="A301" s="558">
        <v>555</v>
      </c>
      <c r="B301" s="180"/>
      <c r="C301" s="180">
        <v>145</v>
      </c>
      <c r="D301" s="555">
        <f t="shared" ref="D301:AI301" si="60">D145</f>
        <v>790004</v>
      </c>
      <c r="E301" s="555">
        <f t="shared" si="60"/>
        <v>48707288</v>
      </c>
      <c r="F301" s="555">
        <f t="shared" si="60"/>
        <v>0</v>
      </c>
      <c r="G301" s="555">
        <f t="shared" si="60"/>
        <v>0</v>
      </c>
      <c r="H301" s="555">
        <f t="shared" si="60"/>
        <v>0</v>
      </c>
      <c r="I301" s="555">
        <f t="shared" si="60"/>
        <v>0</v>
      </c>
      <c r="J301" s="555">
        <f t="shared" si="60"/>
        <v>0</v>
      </c>
      <c r="K301" s="555">
        <f t="shared" si="60"/>
        <v>0</v>
      </c>
      <c r="L301" s="555">
        <f t="shared" si="60"/>
        <v>3029951</v>
      </c>
      <c r="M301" s="555">
        <f t="shared" si="60"/>
        <v>0</v>
      </c>
      <c r="N301" s="555">
        <f t="shared" si="60"/>
        <v>0</v>
      </c>
      <c r="O301" s="555">
        <f t="shared" si="60"/>
        <v>0</v>
      </c>
      <c r="P301" s="555">
        <f t="shared" si="60"/>
        <v>0</v>
      </c>
      <c r="Q301" s="555">
        <f t="shared" si="60"/>
        <v>0</v>
      </c>
      <c r="R301" s="555">
        <f t="shared" si="60"/>
        <v>0</v>
      </c>
      <c r="S301" s="555">
        <f t="shared" si="60"/>
        <v>0</v>
      </c>
      <c r="T301" s="555">
        <f t="shared" si="60"/>
        <v>2281874</v>
      </c>
      <c r="U301" s="555">
        <f t="shared" si="60"/>
        <v>0</v>
      </c>
      <c r="V301" s="555">
        <f t="shared" si="60"/>
        <v>0</v>
      </c>
      <c r="W301" s="555">
        <f t="shared" si="60"/>
        <v>0</v>
      </c>
      <c r="X301" s="555">
        <f t="shared" si="60"/>
        <v>0</v>
      </c>
      <c r="Y301" s="555">
        <f t="shared" si="60"/>
        <v>0</v>
      </c>
      <c r="Z301" s="555">
        <f t="shared" si="60"/>
        <v>4561088</v>
      </c>
      <c r="AA301" s="555">
        <f t="shared" si="60"/>
        <v>0</v>
      </c>
      <c r="AB301" s="555">
        <f t="shared" si="60"/>
        <v>0</v>
      </c>
      <c r="AC301" s="555">
        <f t="shared" si="60"/>
        <v>0</v>
      </c>
      <c r="AD301" s="555">
        <f t="shared" si="60"/>
        <v>0</v>
      </c>
      <c r="AE301" s="555">
        <f t="shared" si="60"/>
        <v>0</v>
      </c>
      <c r="AF301" s="555">
        <f t="shared" si="60"/>
        <v>0</v>
      </c>
      <c r="AG301" s="555">
        <f t="shared" si="60"/>
        <v>0</v>
      </c>
      <c r="AH301" s="555">
        <f t="shared" si="60"/>
        <v>1151661</v>
      </c>
      <c r="AI301" s="555">
        <f t="shared" si="60"/>
        <v>0</v>
      </c>
      <c r="AJ301" s="555">
        <f t="shared" ref="AJ301:BO301" si="61">AJ145</f>
        <v>0</v>
      </c>
      <c r="AK301" s="555">
        <f t="shared" si="61"/>
        <v>0</v>
      </c>
      <c r="AL301" s="555">
        <f t="shared" si="61"/>
        <v>0</v>
      </c>
      <c r="AM301" s="555">
        <f t="shared" si="61"/>
        <v>1004779</v>
      </c>
      <c r="AN301" s="555">
        <f t="shared" si="61"/>
        <v>0</v>
      </c>
      <c r="AO301" s="555">
        <f t="shared" si="61"/>
        <v>1535786</v>
      </c>
      <c r="AP301" s="555">
        <f t="shared" si="61"/>
        <v>0</v>
      </c>
      <c r="AQ301" s="555">
        <f t="shared" si="61"/>
        <v>0</v>
      </c>
      <c r="AR301" s="555">
        <f t="shared" si="61"/>
        <v>0</v>
      </c>
      <c r="AS301" s="555">
        <f t="shared" si="61"/>
        <v>756133</v>
      </c>
      <c r="AT301" s="555">
        <f t="shared" si="61"/>
        <v>0</v>
      </c>
      <c r="AU301" s="555">
        <f t="shared" si="61"/>
        <v>0</v>
      </c>
      <c r="AV301" s="555">
        <f t="shared" si="61"/>
        <v>0</v>
      </c>
      <c r="AW301" s="555">
        <f t="shared" si="61"/>
        <v>0</v>
      </c>
      <c r="AX301" s="555">
        <f t="shared" si="61"/>
        <v>0</v>
      </c>
      <c r="AY301" s="555">
        <f t="shared" si="61"/>
        <v>0</v>
      </c>
      <c r="AZ301" s="555">
        <f t="shared" si="61"/>
        <v>1131535</v>
      </c>
      <c r="BA301" s="555">
        <f t="shared" si="61"/>
        <v>0</v>
      </c>
      <c r="BB301" s="555">
        <f t="shared" si="61"/>
        <v>0</v>
      </c>
      <c r="BC301" s="555">
        <f t="shared" si="61"/>
        <v>0</v>
      </c>
      <c r="BD301" s="555">
        <f t="shared" si="61"/>
        <v>0</v>
      </c>
      <c r="BE301" s="555">
        <f t="shared" si="61"/>
        <v>0</v>
      </c>
      <c r="BF301" s="555">
        <f t="shared" si="61"/>
        <v>942414</v>
      </c>
      <c r="BG301" s="555">
        <f t="shared" si="61"/>
        <v>0</v>
      </c>
      <c r="BH301" s="555">
        <f t="shared" si="61"/>
        <v>0</v>
      </c>
      <c r="BI301" s="555">
        <f t="shared" si="61"/>
        <v>0</v>
      </c>
      <c r="BJ301" s="555">
        <f t="shared" si="61"/>
        <v>0</v>
      </c>
      <c r="BK301" s="555">
        <f t="shared" si="61"/>
        <v>0</v>
      </c>
      <c r="BL301" s="555">
        <f t="shared" si="61"/>
        <v>0</v>
      </c>
      <c r="BM301" s="555">
        <f t="shared" si="61"/>
        <v>0</v>
      </c>
      <c r="BN301" s="555">
        <f t="shared" si="61"/>
        <v>0</v>
      </c>
      <c r="BO301" s="555">
        <f t="shared" si="61"/>
        <v>0</v>
      </c>
      <c r="BP301" s="555">
        <f t="shared" ref="BP301:CZ301" si="62">BP145</f>
        <v>0</v>
      </c>
      <c r="BQ301" s="555">
        <f t="shared" si="62"/>
        <v>0</v>
      </c>
      <c r="BR301" s="555">
        <f t="shared" si="62"/>
        <v>0</v>
      </c>
      <c r="BS301" s="555">
        <f t="shared" si="62"/>
        <v>0</v>
      </c>
      <c r="BT301" s="555">
        <f t="shared" si="62"/>
        <v>0</v>
      </c>
      <c r="BU301" s="555">
        <f t="shared" si="62"/>
        <v>0</v>
      </c>
      <c r="BV301" s="555">
        <f t="shared" si="62"/>
        <v>0</v>
      </c>
      <c r="BW301" s="555">
        <f t="shared" si="62"/>
        <v>0</v>
      </c>
      <c r="BX301" s="555">
        <f t="shared" si="62"/>
        <v>0</v>
      </c>
      <c r="BY301" s="555">
        <f t="shared" si="62"/>
        <v>0</v>
      </c>
      <c r="BZ301" s="555">
        <f t="shared" si="62"/>
        <v>0</v>
      </c>
      <c r="CA301" s="555">
        <f t="shared" si="62"/>
        <v>0</v>
      </c>
      <c r="CB301" s="555">
        <f t="shared" si="62"/>
        <v>0</v>
      </c>
      <c r="CC301" s="555">
        <f t="shared" si="62"/>
        <v>0</v>
      </c>
      <c r="CD301" s="555">
        <f t="shared" si="62"/>
        <v>0</v>
      </c>
      <c r="CE301" s="555">
        <f t="shared" si="62"/>
        <v>0</v>
      </c>
      <c r="CF301" s="555">
        <f t="shared" si="62"/>
        <v>0</v>
      </c>
      <c r="CG301" s="555">
        <f t="shared" si="62"/>
        <v>0</v>
      </c>
      <c r="CH301" s="555">
        <f t="shared" si="62"/>
        <v>0</v>
      </c>
      <c r="CI301" s="555">
        <f t="shared" si="62"/>
        <v>0</v>
      </c>
      <c r="CJ301" s="555">
        <f t="shared" si="62"/>
        <v>0</v>
      </c>
      <c r="CK301" s="555">
        <f t="shared" si="62"/>
        <v>0</v>
      </c>
      <c r="CL301" s="555">
        <f t="shared" si="62"/>
        <v>0</v>
      </c>
      <c r="CM301" s="555">
        <f t="shared" si="62"/>
        <v>0</v>
      </c>
      <c r="CN301" s="555">
        <f t="shared" si="62"/>
        <v>0</v>
      </c>
      <c r="CO301" s="555">
        <f t="shared" si="62"/>
        <v>0</v>
      </c>
      <c r="CP301" s="555">
        <f t="shared" si="62"/>
        <v>0</v>
      </c>
      <c r="CQ301" s="555">
        <f t="shared" si="62"/>
        <v>0</v>
      </c>
      <c r="CR301" s="555">
        <f t="shared" si="62"/>
        <v>0</v>
      </c>
      <c r="CS301" s="555">
        <f t="shared" si="62"/>
        <v>0</v>
      </c>
      <c r="CT301" s="555">
        <f t="shared" si="62"/>
        <v>0</v>
      </c>
      <c r="CU301" s="555">
        <f t="shared" si="62"/>
        <v>0</v>
      </c>
      <c r="CV301" s="555">
        <f t="shared" si="62"/>
        <v>0</v>
      </c>
      <c r="CW301" s="555">
        <f t="shared" si="62"/>
        <v>0</v>
      </c>
      <c r="CX301" s="555">
        <f t="shared" si="62"/>
        <v>0</v>
      </c>
      <c r="CY301" s="555">
        <f t="shared" si="62"/>
        <v>0</v>
      </c>
      <c r="CZ301" s="555">
        <f t="shared" si="62"/>
        <v>0</v>
      </c>
    </row>
    <row r="302" spans="1:104" x14ac:dyDescent="0.3">
      <c r="A302" s="558">
        <v>556</v>
      </c>
      <c r="B302" s="180"/>
      <c r="C302" s="180">
        <v>146</v>
      </c>
      <c r="D302" s="555">
        <f t="shared" ref="D302:AI302" si="63">D146</f>
        <v>2730370</v>
      </c>
      <c r="E302" s="555">
        <f t="shared" si="63"/>
        <v>10439796</v>
      </c>
      <c r="F302" s="555">
        <f t="shared" si="63"/>
        <v>0</v>
      </c>
      <c r="G302" s="555">
        <f t="shared" si="63"/>
        <v>0</v>
      </c>
      <c r="H302" s="555">
        <f t="shared" si="63"/>
        <v>0</v>
      </c>
      <c r="I302" s="555">
        <f t="shared" si="63"/>
        <v>0</v>
      </c>
      <c r="J302" s="555">
        <f t="shared" si="63"/>
        <v>0</v>
      </c>
      <c r="K302" s="555">
        <f t="shared" si="63"/>
        <v>0</v>
      </c>
      <c r="L302" s="555">
        <f t="shared" si="63"/>
        <v>240040</v>
      </c>
      <c r="M302" s="555">
        <f t="shared" si="63"/>
        <v>832155</v>
      </c>
      <c r="N302" s="555">
        <f t="shared" si="63"/>
        <v>0</v>
      </c>
      <c r="O302" s="555">
        <f t="shared" si="63"/>
        <v>0</v>
      </c>
      <c r="P302" s="555">
        <f t="shared" si="63"/>
        <v>0</v>
      </c>
      <c r="Q302" s="555">
        <f t="shared" si="63"/>
        <v>0</v>
      </c>
      <c r="R302" s="555">
        <f t="shared" si="63"/>
        <v>0</v>
      </c>
      <c r="S302" s="555">
        <f t="shared" si="63"/>
        <v>0</v>
      </c>
      <c r="T302" s="555">
        <f t="shared" si="63"/>
        <v>589434</v>
      </c>
      <c r="U302" s="555">
        <f t="shared" si="63"/>
        <v>0</v>
      </c>
      <c r="V302" s="555">
        <f t="shared" si="63"/>
        <v>0</v>
      </c>
      <c r="W302" s="555">
        <f t="shared" si="63"/>
        <v>0</v>
      </c>
      <c r="X302" s="555">
        <f t="shared" si="63"/>
        <v>0</v>
      </c>
      <c r="Y302" s="555">
        <f t="shared" si="63"/>
        <v>0</v>
      </c>
      <c r="Z302" s="555">
        <f t="shared" si="63"/>
        <v>1635169</v>
      </c>
      <c r="AA302" s="555">
        <f t="shared" si="63"/>
        <v>0</v>
      </c>
      <c r="AB302" s="555">
        <f t="shared" si="63"/>
        <v>0</v>
      </c>
      <c r="AC302" s="555">
        <f t="shared" si="63"/>
        <v>0</v>
      </c>
      <c r="AD302" s="555">
        <f t="shared" si="63"/>
        <v>0</v>
      </c>
      <c r="AE302" s="555">
        <f t="shared" si="63"/>
        <v>0</v>
      </c>
      <c r="AF302" s="555">
        <f t="shared" si="63"/>
        <v>0</v>
      </c>
      <c r="AG302" s="555">
        <f t="shared" si="63"/>
        <v>0</v>
      </c>
      <c r="AH302" s="555">
        <f t="shared" si="63"/>
        <v>210150</v>
      </c>
      <c r="AI302" s="555">
        <f t="shared" si="63"/>
        <v>0</v>
      </c>
      <c r="AJ302" s="555">
        <f t="shared" ref="AJ302:BO302" si="64">AJ146</f>
        <v>0</v>
      </c>
      <c r="AK302" s="555">
        <f t="shared" si="64"/>
        <v>0</v>
      </c>
      <c r="AL302" s="555">
        <f t="shared" si="64"/>
        <v>0</v>
      </c>
      <c r="AM302" s="555">
        <f t="shared" si="64"/>
        <v>181448</v>
      </c>
      <c r="AN302" s="555">
        <f t="shared" si="64"/>
        <v>0</v>
      </c>
      <c r="AO302" s="555">
        <f t="shared" si="64"/>
        <v>1670420</v>
      </c>
      <c r="AP302" s="555">
        <f t="shared" si="64"/>
        <v>0</v>
      </c>
      <c r="AQ302" s="555">
        <f t="shared" si="64"/>
        <v>0</v>
      </c>
      <c r="AR302" s="555">
        <f t="shared" si="64"/>
        <v>0</v>
      </c>
      <c r="AS302" s="555">
        <f t="shared" si="64"/>
        <v>1485678</v>
      </c>
      <c r="AT302" s="555">
        <f t="shared" si="64"/>
        <v>0</v>
      </c>
      <c r="AU302" s="555">
        <f t="shared" si="64"/>
        <v>0</v>
      </c>
      <c r="AV302" s="555">
        <f t="shared" si="64"/>
        <v>0</v>
      </c>
      <c r="AW302" s="555">
        <f t="shared" si="64"/>
        <v>0</v>
      </c>
      <c r="AX302" s="555">
        <f t="shared" si="64"/>
        <v>0</v>
      </c>
      <c r="AY302" s="555">
        <f t="shared" si="64"/>
        <v>0</v>
      </c>
      <c r="AZ302" s="555">
        <f t="shared" si="64"/>
        <v>330929</v>
      </c>
      <c r="BA302" s="555">
        <f t="shared" si="64"/>
        <v>0</v>
      </c>
      <c r="BB302" s="555">
        <f t="shared" si="64"/>
        <v>0</v>
      </c>
      <c r="BC302" s="555">
        <f t="shared" si="64"/>
        <v>0</v>
      </c>
      <c r="BD302" s="555">
        <f t="shared" si="64"/>
        <v>0</v>
      </c>
      <c r="BE302" s="555">
        <f t="shared" si="64"/>
        <v>0</v>
      </c>
      <c r="BF302" s="555">
        <f t="shared" si="64"/>
        <v>668825</v>
      </c>
      <c r="BG302" s="555">
        <f t="shared" si="64"/>
        <v>0</v>
      </c>
      <c r="BH302" s="555">
        <f t="shared" si="64"/>
        <v>0</v>
      </c>
      <c r="BI302" s="555">
        <f t="shared" si="64"/>
        <v>0</v>
      </c>
      <c r="BJ302" s="555">
        <f t="shared" si="64"/>
        <v>10087771</v>
      </c>
      <c r="BK302" s="555">
        <f t="shared" si="64"/>
        <v>0</v>
      </c>
      <c r="BL302" s="555">
        <f t="shared" si="64"/>
        <v>0</v>
      </c>
      <c r="BM302" s="555">
        <f t="shared" si="64"/>
        <v>0</v>
      </c>
      <c r="BN302" s="555">
        <f t="shared" si="64"/>
        <v>685161</v>
      </c>
      <c r="BO302" s="555">
        <f t="shared" si="64"/>
        <v>0</v>
      </c>
      <c r="BP302" s="555">
        <f t="shared" ref="BP302:CZ302" si="65">BP146</f>
        <v>0</v>
      </c>
      <c r="BQ302" s="555">
        <f t="shared" si="65"/>
        <v>0</v>
      </c>
      <c r="BR302" s="555">
        <f t="shared" si="65"/>
        <v>0</v>
      </c>
      <c r="BS302" s="555">
        <f t="shared" si="65"/>
        <v>0</v>
      </c>
      <c r="BT302" s="555">
        <f t="shared" si="65"/>
        <v>0</v>
      </c>
      <c r="BU302" s="555">
        <f t="shared" si="65"/>
        <v>0</v>
      </c>
      <c r="BV302" s="555">
        <f t="shared" si="65"/>
        <v>336002</v>
      </c>
      <c r="BW302" s="555">
        <f t="shared" si="65"/>
        <v>0</v>
      </c>
      <c r="BX302" s="555">
        <f t="shared" si="65"/>
        <v>0</v>
      </c>
      <c r="BY302" s="555">
        <f t="shared" si="65"/>
        <v>0</v>
      </c>
      <c r="BZ302" s="555">
        <f t="shared" si="65"/>
        <v>0</v>
      </c>
      <c r="CA302" s="555">
        <f t="shared" si="65"/>
        <v>0</v>
      </c>
      <c r="CB302" s="555">
        <f t="shared" si="65"/>
        <v>0</v>
      </c>
      <c r="CC302" s="555">
        <f t="shared" si="65"/>
        <v>0</v>
      </c>
      <c r="CD302" s="555">
        <f t="shared" si="65"/>
        <v>0</v>
      </c>
      <c r="CE302" s="555">
        <f t="shared" si="65"/>
        <v>0</v>
      </c>
      <c r="CF302" s="555">
        <f t="shared" si="65"/>
        <v>0</v>
      </c>
      <c r="CG302" s="555">
        <f t="shared" si="65"/>
        <v>0</v>
      </c>
      <c r="CH302" s="555">
        <f t="shared" si="65"/>
        <v>0</v>
      </c>
      <c r="CI302" s="555">
        <f t="shared" si="65"/>
        <v>0</v>
      </c>
      <c r="CJ302" s="555">
        <f t="shared" si="65"/>
        <v>0</v>
      </c>
      <c r="CK302" s="555">
        <f t="shared" si="65"/>
        <v>0</v>
      </c>
      <c r="CL302" s="555">
        <f t="shared" si="65"/>
        <v>0</v>
      </c>
      <c r="CM302" s="555">
        <f t="shared" si="65"/>
        <v>0</v>
      </c>
      <c r="CN302" s="555">
        <f t="shared" si="65"/>
        <v>0</v>
      </c>
      <c r="CO302" s="555">
        <f t="shared" si="65"/>
        <v>0</v>
      </c>
      <c r="CP302" s="555">
        <f t="shared" si="65"/>
        <v>0</v>
      </c>
      <c r="CQ302" s="555">
        <f t="shared" si="65"/>
        <v>0</v>
      </c>
      <c r="CR302" s="555">
        <f t="shared" si="65"/>
        <v>0</v>
      </c>
      <c r="CS302" s="555">
        <f t="shared" si="65"/>
        <v>0</v>
      </c>
      <c r="CT302" s="555">
        <f t="shared" si="65"/>
        <v>0</v>
      </c>
      <c r="CU302" s="555">
        <f t="shared" si="65"/>
        <v>0</v>
      </c>
      <c r="CV302" s="555">
        <f t="shared" si="65"/>
        <v>0</v>
      </c>
      <c r="CW302" s="555">
        <f t="shared" si="65"/>
        <v>0</v>
      </c>
      <c r="CX302" s="555">
        <f t="shared" si="65"/>
        <v>0</v>
      </c>
      <c r="CY302" s="555">
        <f t="shared" si="65"/>
        <v>0</v>
      </c>
      <c r="CZ302" s="555">
        <f t="shared" si="65"/>
        <v>0</v>
      </c>
    </row>
    <row r="303" spans="1:104" x14ac:dyDescent="0.3">
      <c r="A303" s="558">
        <v>557</v>
      </c>
      <c r="B303" s="180"/>
      <c r="C303" s="180">
        <v>147</v>
      </c>
      <c r="D303" s="555">
        <f t="shared" ref="D303:AI303" si="66">D147</f>
        <v>2540967</v>
      </c>
      <c r="E303" s="555">
        <f t="shared" si="66"/>
        <v>7160857</v>
      </c>
      <c r="F303" s="555">
        <f t="shared" si="66"/>
        <v>0</v>
      </c>
      <c r="G303" s="555">
        <f t="shared" si="66"/>
        <v>0</v>
      </c>
      <c r="H303" s="555">
        <f t="shared" si="66"/>
        <v>0</v>
      </c>
      <c r="I303" s="555">
        <f t="shared" si="66"/>
        <v>0</v>
      </c>
      <c r="J303" s="555">
        <f t="shared" si="66"/>
        <v>0</v>
      </c>
      <c r="K303" s="555">
        <f t="shared" si="66"/>
        <v>0</v>
      </c>
      <c r="L303" s="555">
        <f t="shared" si="66"/>
        <v>0</v>
      </c>
      <c r="M303" s="555">
        <f t="shared" si="66"/>
        <v>379972</v>
      </c>
      <c r="N303" s="555">
        <f t="shared" si="66"/>
        <v>0</v>
      </c>
      <c r="O303" s="555">
        <f t="shared" si="66"/>
        <v>0</v>
      </c>
      <c r="P303" s="555">
        <f t="shared" si="66"/>
        <v>0</v>
      </c>
      <c r="Q303" s="555">
        <f t="shared" si="66"/>
        <v>0</v>
      </c>
      <c r="R303" s="555">
        <f t="shared" si="66"/>
        <v>0</v>
      </c>
      <c r="S303" s="555">
        <f t="shared" si="66"/>
        <v>0</v>
      </c>
      <c r="T303" s="555">
        <f t="shared" si="66"/>
        <v>487687</v>
      </c>
      <c r="U303" s="555">
        <f t="shared" si="66"/>
        <v>0</v>
      </c>
      <c r="V303" s="555">
        <f t="shared" si="66"/>
        <v>0</v>
      </c>
      <c r="W303" s="555">
        <f t="shared" si="66"/>
        <v>0</v>
      </c>
      <c r="X303" s="555">
        <f t="shared" si="66"/>
        <v>0</v>
      </c>
      <c r="Y303" s="555">
        <f t="shared" si="66"/>
        <v>0</v>
      </c>
      <c r="Z303" s="555">
        <f t="shared" si="66"/>
        <v>736218</v>
      </c>
      <c r="AA303" s="555">
        <f t="shared" si="66"/>
        <v>0</v>
      </c>
      <c r="AB303" s="555">
        <f t="shared" si="66"/>
        <v>0</v>
      </c>
      <c r="AC303" s="555">
        <f t="shared" si="66"/>
        <v>0</v>
      </c>
      <c r="AD303" s="555">
        <f t="shared" si="66"/>
        <v>0</v>
      </c>
      <c r="AE303" s="555">
        <f t="shared" si="66"/>
        <v>0</v>
      </c>
      <c r="AF303" s="555">
        <f t="shared" si="66"/>
        <v>0</v>
      </c>
      <c r="AG303" s="555">
        <f t="shared" si="66"/>
        <v>0</v>
      </c>
      <c r="AH303" s="555">
        <f t="shared" si="66"/>
        <v>0</v>
      </c>
      <c r="AI303" s="555">
        <f t="shared" si="66"/>
        <v>0</v>
      </c>
      <c r="AJ303" s="555">
        <f t="shared" ref="AJ303:BO303" si="67">AJ147</f>
        <v>0</v>
      </c>
      <c r="AK303" s="555">
        <f t="shared" si="67"/>
        <v>0</v>
      </c>
      <c r="AL303" s="555">
        <f t="shared" si="67"/>
        <v>0</v>
      </c>
      <c r="AM303" s="555">
        <f t="shared" si="67"/>
        <v>0</v>
      </c>
      <c r="AN303" s="555">
        <f t="shared" si="67"/>
        <v>0</v>
      </c>
      <c r="AO303" s="555">
        <f t="shared" si="67"/>
        <v>1087117</v>
      </c>
      <c r="AP303" s="555">
        <f t="shared" si="67"/>
        <v>0</v>
      </c>
      <c r="AQ303" s="555">
        <f t="shared" si="67"/>
        <v>0</v>
      </c>
      <c r="AR303" s="555">
        <f t="shared" si="67"/>
        <v>0</v>
      </c>
      <c r="AS303" s="555">
        <f t="shared" si="67"/>
        <v>1097084</v>
      </c>
      <c r="AT303" s="555">
        <f t="shared" si="67"/>
        <v>0</v>
      </c>
      <c r="AU303" s="555">
        <f t="shared" si="67"/>
        <v>0</v>
      </c>
      <c r="AV303" s="555">
        <f t="shared" si="67"/>
        <v>0</v>
      </c>
      <c r="AW303" s="555">
        <f t="shared" si="67"/>
        <v>0</v>
      </c>
      <c r="AX303" s="555">
        <f t="shared" si="67"/>
        <v>0</v>
      </c>
      <c r="AY303" s="555">
        <f t="shared" si="67"/>
        <v>0</v>
      </c>
      <c r="AZ303" s="555">
        <f t="shared" si="67"/>
        <v>0</v>
      </c>
      <c r="BA303" s="555">
        <f t="shared" si="67"/>
        <v>0</v>
      </c>
      <c r="BB303" s="555">
        <f t="shared" si="67"/>
        <v>0</v>
      </c>
      <c r="BC303" s="555">
        <f t="shared" si="67"/>
        <v>0</v>
      </c>
      <c r="BD303" s="555">
        <f t="shared" si="67"/>
        <v>0</v>
      </c>
      <c r="BE303" s="555">
        <f t="shared" si="67"/>
        <v>0</v>
      </c>
      <c r="BF303" s="555">
        <f t="shared" si="67"/>
        <v>641798</v>
      </c>
      <c r="BG303" s="555">
        <f t="shared" si="67"/>
        <v>0</v>
      </c>
      <c r="BH303" s="555">
        <f t="shared" si="67"/>
        <v>0</v>
      </c>
      <c r="BI303" s="555">
        <f t="shared" si="67"/>
        <v>0</v>
      </c>
      <c r="BJ303" s="555">
        <f t="shared" si="67"/>
        <v>9652778</v>
      </c>
      <c r="BK303" s="555">
        <f t="shared" si="67"/>
        <v>0</v>
      </c>
      <c r="BL303" s="555">
        <f t="shared" si="67"/>
        <v>0</v>
      </c>
      <c r="BM303" s="555">
        <f t="shared" si="67"/>
        <v>0</v>
      </c>
      <c r="BN303" s="555">
        <f t="shared" si="67"/>
        <v>512390</v>
      </c>
      <c r="BO303" s="555">
        <f t="shared" si="67"/>
        <v>0</v>
      </c>
      <c r="BP303" s="555">
        <f t="shared" ref="BP303:CZ303" si="68">BP147</f>
        <v>0</v>
      </c>
      <c r="BQ303" s="555">
        <f t="shared" si="68"/>
        <v>0</v>
      </c>
      <c r="BR303" s="555">
        <f t="shared" si="68"/>
        <v>0</v>
      </c>
      <c r="BS303" s="555">
        <f t="shared" si="68"/>
        <v>0</v>
      </c>
      <c r="BT303" s="555">
        <f t="shared" si="68"/>
        <v>0</v>
      </c>
      <c r="BU303" s="555">
        <f t="shared" si="68"/>
        <v>0</v>
      </c>
      <c r="BV303" s="555">
        <f t="shared" si="68"/>
        <v>246992</v>
      </c>
      <c r="BW303" s="555">
        <f t="shared" si="68"/>
        <v>0</v>
      </c>
      <c r="BX303" s="555">
        <f t="shared" si="68"/>
        <v>0</v>
      </c>
      <c r="BY303" s="555">
        <f t="shared" si="68"/>
        <v>0</v>
      </c>
      <c r="BZ303" s="555">
        <f t="shared" si="68"/>
        <v>0</v>
      </c>
      <c r="CA303" s="555">
        <f t="shared" si="68"/>
        <v>0</v>
      </c>
      <c r="CB303" s="555">
        <f t="shared" si="68"/>
        <v>0</v>
      </c>
      <c r="CC303" s="555">
        <f t="shared" si="68"/>
        <v>0</v>
      </c>
      <c r="CD303" s="555">
        <f t="shared" si="68"/>
        <v>0</v>
      </c>
      <c r="CE303" s="555">
        <f t="shared" si="68"/>
        <v>0</v>
      </c>
      <c r="CF303" s="555">
        <f t="shared" si="68"/>
        <v>0</v>
      </c>
      <c r="CG303" s="555">
        <f t="shared" si="68"/>
        <v>0</v>
      </c>
      <c r="CH303" s="555">
        <f t="shared" si="68"/>
        <v>0</v>
      </c>
      <c r="CI303" s="555">
        <f t="shared" si="68"/>
        <v>0</v>
      </c>
      <c r="CJ303" s="555">
        <f t="shared" si="68"/>
        <v>0</v>
      </c>
      <c r="CK303" s="555">
        <f t="shared" si="68"/>
        <v>0</v>
      </c>
      <c r="CL303" s="555">
        <f t="shared" si="68"/>
        <v>0</v>
      </c>
      <c r="CM303" s="555">
        <f t="shared" si="68"/>
        <v>0</v>
      </c>
      <c r="CN303" s="555">
        <f t="shared" si="68"/>
        <v>0</v>
      </c>
      <c r="CO303" s="555">
        <f t="shared" si="68"/>
        <v>0</v>
      </c>
      <c r="CP303" s="555">
        <f t="shared" si="68"/>
        <v>0</v>
      </c>
      <c r="CQ303" s="555">
        <f t="shared" si="68"/>
        <v>0</v>
      </c>
      <c r="CR303" s="555">
        <f t="shared" si="68"/>
        <v>0</v>
      </c>
      <c r="CS303" s="555">
        <f t="shared" si="68"/>
        <v>0</v>
      </c>
      <c r="CT303" s="555">
        <f t="shared" si="68"/>
        <v>0</v>
      </c>
      <c r="CU303" s="555">
        <f t="shared" si="68"/>
        <v>0</v>
      </c>
      <c r="CV303" s="555">
        <f t="shared" si="68"/>
        <v>0</v>
      </c>
      <c r="CW303" s="555">
        <f t="shared" si="68"/>
        <v>0</v>
      </c>
      <c r="CX303" s="555">
        <f t="shared" si="68"/>
        <v>0</v>
      </c>
      <c r="CY303" s="555">
        <f t="shared" si="68"/>
        <v>0</v>
      </c>
      <c r="CZ303" s="555">
        <f t="shared" si="68"/>
        <v>0</v>
      </c>
    </row>
    <row r="304" spans="1:104" x14ac:dyDescent="0.3">
      <c r="A304" s="558">
        <v>606</v>
      </c>
      <c r="B304" s="180"/>
      <c r="C304" s="180">
        <v>164</v>
      </c>
      <c r="D304" s="555">
        <f t="shared" ref="D304:AI304" si="69">D164</f>
        <v>1</v>
      </c>
      <c r="E304" s="555">
        <f t="shared" si="69"/>
        <v>1</v>
      </c>
      <c r="F304" s="555">
        <f t="shared" si="69"/>
        <v>0</v>
      </c>
      <c r="G304" s="555">
        <f t="shared" si="69"/>
        <v>0</v>
      </c>
      <c r="H304" s="555">
        <f t="shared" si="69"/>
        <v>0</v>
      </c>
      <c r="I304" s="555">
        <f t="shared" si="69"/>
        <v>0</v>
      </c>
      <c r="J304" s="555">
        <f t="shared" si="69"/>
        <v>0</v>
      </c>
      <c r="K304" s="555">
        <f t="shared" si="69"/>
        <v>0</v>
      </c>
      <c r="L304" s="555">
        <f t="shared" si="69"/>
        <v>1</v>
      </c>
      <c r="M304" s="555">
        <f t="shared" si="69"/>
        <v>1</v>
      </c>
      <c r="N304" s="555">
        <f t="shared" si="69"/>
        <v>0</v>
      </c>
      <c r="O304" s="555">
        <f t="shared" si="69"/>
        <v>0</v>
      </c>
      <c r="P304" s="555">
        <f t="shared" si="69"/>
        <v>0</v>
      </c>
      <c r="Q304" s="555">
        <f t="shared" si="69"/>
        <v>0</v>
      </c>
      <c r="R304" s="555">
        <f t="shared" si="69"/>
        <v>0</v>
      </c>
      <c r="S304" s="555">
        <f t="shared" si="69"/>
        <v>0</v>
      </c>
      <c r="T304" s="555">
        <f t="shared" si="69"/>
        <v>1</v>
      </c>
      <c r="U304" s="555">
        <f t="shared" si="69"/>
        <v>0</v>
      </c>
      <c r="V304" s="555">
        <f t="shared" si="69"/>
        <v>0</v>
      </c>
      <c r="W304" s="555">
        <f t="shared" si="69"/>
        <v>0</v>
      </c>
      <c r="X304" s="555">
        <f t="shared" si="69"/>
        <v>0</v>
      </c>
      <c r="Y304" s="555">
        <f t="shared" si="69"/>
        <v>0</v>
      </c>
      <c r="Z304" s="555">
        <f t="shared" si="69"/>
        <v>1</v>
      </c>
      <c r="AA304" s="555">
        <f t="shared" si="69"/>
        <v>0</v>
      </c>
      <c r="AB304" s="555">
        <f t="shared" si="69"/>
        <v>0</v>
      </c>
      <c r="AC304" s="555">
        <f t="shared" si="69"/>
        <v>0</v>
      </c>
      <c r="AD304" s="555">
        <f t="shared" si="69"/>
        <v>0</v>
      </c>
      <c r="AE304" s="555">
        <f t="shared" si="69"/>
        <v>0</v>
      </c>
      <c r="AF304" s="555">
        <f t="shared" si="69"/>
        <v>0</v>
      </c>
      <c r="AG304" s="555">
        <f t="shared" si="69"/>
        <v>0</v>
      </c>
      <c r="AH304" s="555">
        <f t="shared" si="69"/>
        <v>1</v>
      </c>
      <c r="AI304" s="555">
        <f t="shared" si="69"/>
        <v>0</v>
      </c>
      <c r="AJ304" s="555">
        <f t="shared" ref="AJ304:BO304" si="70">AJ164</f>
        <v>0</v>
      </c>
      <c r="AK304" s="555">
        <f t="shared" si="70"/>
        <v>0</v>
      </c>
      <c r="AL304" s="555">
        <f t="shared" si="70"/>
        <v>0</v>
      </c>
      <c r="AM304" s="555">
        <f t="shared" si="70"/>
        <v>1</v>
      </c>
      <c r="AN304" s="555">
        <f t="shared" si="70"/>
        <v>0</v>
      </c>
      <c r="AO304" s="555">
        <f t="shared" si="70"/>
        <v>1</v>
      </c>
      <c r="AP304" s="555">
        <f t="shared" si="70"/>
        <v>0</v>
      </c>
      <c r="AQ304" s="555">
        <f t="shared" si="70"/>
        <v>0</v>
      </c>
      <c r="AR304" s="555">
        <f t="shared" si="70"/>
        <v>0</v>
      </c>
      <c r="AS304" s="555">
        <f t="shared" si="70"/>
        <v>1</v>
      </c>
      <c r="AT304" s="555">
        <f t="shared" si="70"/>
        <v>0</v>
      </c>
      <c r="AU304" s="555">
        <f t="shared" si="70"/>
        <v>0</v>
      </c>
      <c r="AV304" s="555">
        <f t="shared" si="70"/>
        <v>0</v>
      </c>
      <c r="AW304" s="555">
        <f t="shared" si="70"/>
        <v>0</v>
      </c>
      <c r="AX304" s="555">
        <f t="shared" si="70"/>
        <v>0</v>
      </c>
      <c r="AY304" s="555">
        <f t="shared" si="70"/>
        <v>0</v>
      </c>
      <c r="AZ304" s="555">
        <f t="shared" si="70"/>
        <v>1</v>
      </c>
      <c r="BA304" s="555">
        <f t="shared" si="70"/>
        <v>0</v>
      </c>
      <c r="BB304" s="555">
        <f t="shared" si="70"/>
        <v>0</v>
      </c>
      <c r="BC304" s="555">
        <f t="shared" si="70"/>
        <v>0</v>
      </c>
      <c r="BD304" s="555">
        <f t="shared" si="70"/>
        <v>0</v>
      </c>
      <c r="BE304" s="555">
        <f t="shared" si="70"/>
        <v>0</v>
      </c>
      <c r="BF304" s="555">
        <f t="shared" si="70"/>
        <v>1</v>
      </c>
      <c r="BG304" s="555">
        <f t="shared" si="70"/>
        <v>0</v>
      </c>
      <c r="BH304" s="555">
        <f t="shared" si="70"/>
        <v>0</v>
      </c>
      <c r="BI304" s="555">
        <f t="shared" si="70"/>
        <v>0</v>
      </c>
      <c r="BJ304" s="555">
        <f t="shared" si="70"/>
        <v>1</v>
      </c>
      <c r="BK304" s="555">
        <f t="shared" si="70"/>
        <v>0</v>
      </c>
      <c r="BL304" s="555">
        <f t="shared" si="70"/>
        <v>0</v>
      </c>
      <c r="BM304" s="555">
        <f t="shared" si="70"/>
        <v>0</v>
      </c>
      <c r="BN304" s="555">
        <f t="shared" si="70"/>
        <v>1</v>
      </c>
      <c r="BO304" s="555">
        <f t="shared" si="70"/>
        <v>0</v>
      </c>
      <c r="BP304" s="555">
        <f t="shared" ref="BP304:CZ304" si="71">BP164</f>
        <v>0</v>
      </c>
      <c r="BQ304" s="555">
        <f t="shared" si="71"/>
        <v>0</v>
      </c>
      <c r="BR304" s="555">
        <f t="shared" si="71"/>
        <v>0</v>
      </c>
      <c r="BS304" s="555">
        <f t="shared" si="71"/>
        <v>0</v>
      </c>
      <c r="BT304" s="555">
        <f t="shared" si="71"/>
        <v>0</v>
      </c>
      <c r="BU304" s="555">
        <f t="shared" si="71"/>
        <v>0</v>
      </c>
      <c r="BV304" s="555">
        <f t="shared" si="71"/>
        <v>1</v>
      </c>
      <c r="BW304" s="555">
        <f t="shared" si="71"/>
        <v>0</v>
      </c>
      <c r="BX304" s="555">
        <f t="shared" si="71"/>
        <v>0</v>
      </c>
      <c r="BY304" s="555">
        <f t="shared" si="71"/>
        <v>0</v>
      </c>
      <c r="BZ304" s="555">
        <f t="shared" si="71"/>
        <v>0</v>
      </c>
      <c r="CA304" s="555">
        <f t="shared" si="71"/>
        <v>0</v>
      </c>
      <c r="CB304" s="555">
        <f t="shared" si="71"/>
        <v>0</v>
      </c>
      <c r="CC304" s="555">
        <f t="shared" si="71"/>
        <v>0</v>
      </c>
      <c r="CD304" s="555">
        <f t="shared" si="71"/>
        <v>0</v>
      </c>
      <c r="CE304" s="555">
        <f t="shared" si="71"/>
        <v>0</v>
      </c>
      <c r="CF304" s="555">
        <f t="shared" si="71"/>
        <v>0</v>
      </c>
      <c r="CG304" s="555">
        <f t="shared" si="71"/>
        <v>0</v>
      </c>
      <c r="CH304" s="555">
        <f t="shared" si="71"/>
        <v>0</v>
      </c>
      <c r="CI304" s="555">
        <f t="shared" si="71"/>
        <v>0</v>
      </c>
      <c r="CJ304" s="555">
        <f t="shared" si="71"/>
        <v>0</v>
      </c>
      <c r="CK304" s="555">
        <f t="shared" si="71"/>
        <v>0</v>
      </c>
      <c r="CL304" s="555">
        <f t="shared" si="71"/>
        <v>0</v>
      </c>
      <c r="CM304" s="555">
        <f t="shared" si="71"/>
        <v>0</v>
      </c>
      <c r="CN304" s="555">
        <f t="shared" si="71"/>
        <v>0</v>
      </c>
      <c r="CO304" s="555">
        <f t="shared" si="71"/>
        <v>0</v>
      </c>
      <c r="CP304" s="555">
        <f t="shared" si="71"/>
        <v>0</v>
      </c>
      <c r="CQ304" s="555">
        <f t="shared" si="71"/>
        <v>0</v>
      </c>
      <c r="CR304" s="555">
        <f t="shared" si="71"/>
        <v>0</v>
      </c>
      <c r="CS304" s="555">
        <f t="shared" si="71"/>
        <v>0</v>
      </c>
      <c r="CT304" s="555">
        <f t="shared" si="71"/>
        <v>0</v>
      </c>
      <c r="CU304" s="555">
        <f t="shared" si="71"/>
        <v>0</v>
      </c>
      <c r="CV304" s="555">
        <f t="shared" si="71"/>
        <v>0</v>
      </c>
      <c r="CW304" s="555">
        <f t="shared" si="71"/>
        <v>0</v>
      </c>
      <c r="CX304" s="555">
        <f t="shared" si="71"/>
        <v>0</v>
      </c>
      <c r="CY304" s="555">
        <f t="shared" si="71"/>
        <v>0</v>
      </c>
      <c r="CZ304" s="555">
        <f t="shared" si="71"/>
        <v>0</v>
      </c>
    </row>
    <row r="305" spans="1:104" x14ac:dyDescent="0.3">
      <c r="A305" s="558">
        <v>662</v>
      </c>
      <c r="B305" s="180" t="s">
        <v>451</v>
      </c>
      <c r="C305" s="180">
        <v>201</v>
      </c>
      <c r="D305" s="555">
        <f t="shared" ref="D305:AI305" si="72">D201</f>
        <v>0</v>
      </c>
      <c r="E305" s="555">
        <f t="shared" si="72"/>
        <v>0</v>
      </c>
      <c r="F305" s="555">
        <f t="shared" si="72"/>
        <v>0</v>
      </c>
      <c r="G305" s="555">
        <f t="shared" si="72"/>
        <v>0</v>
      </c>
      <c r="H305" s="555">
        <f t="shared" si="72"/>
        <v>0</v>
      </c>
      <c r="I305" s="555">
        <f t="shared" si="72"/>
        <v>0</v>
      </c>
      <c r="J305" s="555">
        <f t="shared" si="72"/>
        <v>0</v>
      </c>
      <c r="K305" s="555">
        <f t="shared" si="72"/>
        <v>0</v>
      </c>
      <c r="L305" s="555">
        <f t="shared" si="72"/>
        <v>0</v>
      </c>
      <c r="M305" s="555">
        <f t="shared" si="72"/>
        <v>143015</v>
      </c>
      <c r="N305" s="555">
        <f t="shared" si="72"/>
        <v>0</v>
      </c>
      <c r="O305" s="555">
        <f t="shared" si="72"/>
        <v>0</v>
      </c>
      <c r="P305" s="555">
        <f t="shared" si="72"/>
        <v>0</v>
      </c>
      <c r="Q305" s="555">
        <f t="shared" si="72"/>
        <v>0</v>
      </c>
      <c r="R305" s="555">
        <f t="shared" si="72"/>
        <v>0</v>
      </c>
      <c r="S305" s="555">
        <f t="shared" si="72"/>
        <v>0</v>
      </c>
      <c r="T305" s="555">
        <f t="shared" si="72"/>
        <v>0</v>
      </c>
      <c r="U305" s="555">
        <f t="shared" si="72"/>
        <v>0</v>
      </c>
      <c r="V305" s="555">
        <f t="shared" si="72"/>
        <v>0</v>
      </c>
      <c r="W305" s="555">
        <f t="shared" si="72"/>
        <v>0</v>
      </c>
      <c r="X305" s="555">
        <f t="shared" si="72"/>
        <v>0</v>
      </c>
      <c r="Y305" s="555">
        <f t="shared" si="72"/>
        <v>0</v>
      </c>
      <c r="Z305" s="555">
        <f t="shared" si="72"/>
        <v>127979</v>
      </c>
      <c r="AA305" s="555">
        <f t="shared" si="72"/>
        <v>0</v>
      </c>
      <c r="AB305" s="555">
        <f t="shared" si="72"/>
        <v>0</v>
      </c>
      <c r="AC305" s="555">
        <f t="shared" si="72"/>
        <v>0</v>
      </c>
      <c r="AD305" s="555">
        <f t="shared" si="72"/>
        <v>0</v>
      </c>
      <c r="AE305" s="555">
        <f t="shared" si="72"/>
        <v>0</v>
      </c>
      <c r="AF305" s="555">
        <f t="shared" si="72"/>
        <v>0</v>
      </c>
      <c r="AG305" s="555">
        <f t="shared" si="72"/>
        <v>0</v>
      </c>
      <c r="AH305" s="555">
        <f t="shared" si="72"/>
        <v>0</v>
      </c>
      <c r="AI305" s="555">
        <f t="shared" si="72"/>
        <v>0</v>
      </c>
      <c r="AJ305" s="555">
        <f t="shared" ref="AJ305:BO305" si="73">AJ201</f>
        <v>0</v>
      </c>
      <c r="AK305" s="555">
        <f t="shared" si="73"/>
        <v>0</v>
      </c>
      <c r="AL305" s="555">
        <f t="shared" si="73"/>
        <v>0</v>
      </c>
      <c r="AM305" s="555">
        <f t="shared" si="73"/>
        <v>0</v>
      </c>
      <c r="AN305" s="555">
        <f t="shared" si="73"/>
        <v>0</v>
      </c>
      <c r="AO305" s="555">
        <f t="shared" si="73"/>
        <v>0</v>
      </c>
      <c r="AP305" s="555">
        <f t="shared" si="73"/>
        <v>0</v>
      </c>
      <c r="AQ305" s="555">
        <f t="shared" si="73"/>
        <v>0</v>
      </c>
      <c r="AR305" s="555">
        <f t="shared" si="73"/>
        <v>0</v>
      </c>
      <c r="AS305" s="555">
        <f t="shared" si="73"/>
        <v>0</v>
      </c>
      <c r="AT305" s="555">
        <f t="shared" si="73"/>
        <v>0</v>
      </c>
      <c r="AU305" s="555">
        <f t="shared" si="73"/>
        <v>0</v>
      </c>
      <c r="AV305" s="555">
        <f t="shared" si="73"/>
        <v>0</v>
      </c>
      <c r="AW305" s="555">
        <f t="shared" si="73"/>
        <v>0</v>
      </c>
      <c r="AX305" s="555">
        <f t="shared" si="73"/>
        <v>0</v>
      </c>
      <c r="AY305" s="555">
        <f t="shared" si="73"/>
        <v>0</v>
      </c>
      <c r="AZ305" s="555">
        <f t="shared" si="73"/>
        <v>0</v>
      </c>
      <c r="BA305" s="555">
        <f t="shared" si="73"/>
        <v>0</v>
      </c>
      <c r="BB305" s="555">
        <f t="shared" si="73"/>
        <v>0</v>
      </c>
      <c r="BC305" s="555">
        <f t="shared" si="73"/>
        <v>0</v>
      </c>
      <c r="BD305" s="555">
        <f t="shared" si="73"/>
        <v>0</v>
      </c>
      <c r="BE305" s="555">
        <f t="shared" si="73"/>
        <v>0</v>
      </c>
      <c r="BF305" s="555">
        <f t="shared" si="73"/>
        <v>0</v>
      </c>
      <c r="BG305" s="555">
        <f t="shared" si="73"/>
        <v>0</v>
      </c>
      <c r="BH305" s="555">
        <f t="shared" si="73"/>
        <v>0</v>
      </c>
      <c r="BI305" s="555">
        <f t="shared" si="73"/>
        <v>0</v>
      </c>
      <c r="BJ305" s="555">
        <f t="shared" si="73"/>
        <v>0</v>
      </c>
      <c r="BK305" s="555">
        <f t="shared" si="73"/>
        <v>0</v>
      </c>
      <c r="BL305" s="555">
        <f t="shared" si="73"/>
        <v>0</v>
      </c>
      <c r="BM305" s="555">
        <f t="shared" si="73"/>
        <v>0</v>
      </c>
      <c r="BN305" s="555">
        <f t="shared" si="73"/>
        <v>0</v>
      </c>
      <c r="BO305" s="555">
        <f t="shared" si="73"/>
        <v>0</v>
      </c>
      <c r="BP305" s="555">
        <f t="shared" ref="BP305:CZ305" si="74">BP201</f>
        <v>0</v>
      </c>
      <c r="BQ305" s="555">
        <f t="shared" si="74"/>
        <v>0</v>
      </c>
      <c r="BR305" s="555">
        <f t="shared" si="74"/>
        <v>0</v>
      </c>
      <c r="BS305" s="555">
        <f t="shared" si="74"/>
        <v>0</v>
      </c>
      <c r="BT305" s="555">
        <f t="shared" si="74"/>
        <v>0</v>
      </c>
      <c r="BU305" s="555">
        <f t="shared" si="74"/>
        <v>0</v>
      </c>
      <c r="BV305" s="555">
        <f t="shared" si="74"/>
        <v>0</v>
      </c>
      <c r="BW305" s="555">
        <f t="shared" si="74"/>
        <v>0</v>
      </c>
      <c r="BX305" s="555">
        <f t="shared" si="74"/>
        <v>0</v>
      </c>
      <c r="BY305" s="555">
        <f t="shared" si="74"/>
        <v>0</v>
      </c>
      <c r="BZ305" s="555">
        <f t="shared" si="74"/>
        <v>0</v>
      </c>
      <c r="CA305" s="555">
        <f t="shared" si="74"/>
        <v>0</v>
      </c>
      <c r="CB305" s="555">
        <f t="shared" si="74"/>
        <v>0</v>
      </c>
      <c r="CC305" s="555">
        <f t="shared" si="74"/>
        <v>0</v>
      </c>
      <c r="CD305" s="555">
        <f t="shared" si="74"/>
        <v>0</v>
      </c>
      <c r="CE305" s="555">
        <f t="shared" si="74"/>
        <v>0</v>
      </c>
      <c r="CF305" s="555">
        <f t="shared" si="74"/>
        <v>0</v>
      </c>
      <c r="CG305" s="555">
        <f t="shared" si="74"/>
        <v>0</v>
      </c>
      <c r="CH305" s="555">
        <f t="shared" si="74"/>
        <v>0</v>
      </c>
      <c r="CI305" s="555">
        <f t="shared" si="74"/>
        <v>0</v>
      </c>
      <c r="CJ305" s="555">
        <f t="shared" si="74"/>
        <v>0</v>
      </c>
      <c r="CK305" s="555">
        <f t="shared" si="74"/>
        <v>0</v>
      </c>
      <c r="CL305" s="555">
        <f t="shared" si="74"/>
        <v>0</v>
      </c>
      <c r="CM305" s="555">
        <f t="shared" si="74"/>
        <v>0</v>
      </c>
      <c r="CN305" s="555">
        <f t="shared" si="74"/>
        <v>0</v>
      </c>
      <c r="CO305" s="555">
        <f t="shared" si="74"/>
        <v>0</v>
      </c>
      <c r="CP305" s="555">
        <f t="shared" si="74"/>
        <v>0</v>
      </c>
      <c r="CQ305" s="555">
        <f t="shared" si="74"/>
        <v>0</v>
      </c>
      <c r="CR305" s="555">
        <f t="shared" si="74"/>
        <v>0</v>
      </c>
      <c r="CS305" s="555">
        <f t="shared" si="74"/>
        <v>0</v>
      </c>
      <c r="CT305" s="555">
        <f t="shared" si="74"/>
        <v>0</v>
      </c>
      <c r="CU305" s="555">
        <f t="shared" si="74"/>
        <v>0</v>
      </c>
      <c r="CV305" s="555">
        <f t="shared" si="74"/>
        <v>0</v>
      </c>
      <c r="CW305" s="555">
        <f t="shared" si="74"/>
        <v>0</v>
      </c>
      <c r="CX305" s="555">
        <f t="shared" si="74"/>
        <v>0</v>
      </c>
      <c r="CY305" s="555">
        <f t="shared" si="74"/>
        <v>0</v>
      </c>
      <c r="CZ305" s="555">
        <f t="shared" si="74"/>
        <v>0</v>
      </c>
    </row>
    <row r="306" spans="1:104" x14ac:dyDescent="0.3">
      <c r="A306" s="558">
        <v>663</v>
      </c>
      <c r="B306" s="180" t="s">
        <v>974</v>
      </c>
      <c r="C306" s="180">
        <v>202</v>
      </c>
      <c r="D306" s="555">
        <f t="shared" ref="D306:AI306" si="75">D202</f>
        <v>0</v>
      </c>
      <c r="E306" s="555">
        <f t="shared" si="75"/>
        <v>23748938</v>
      </c>
      <c r="F306" s="555">
        <f t="shared" si="75"/>
        <v>0</v>
      </c>
      <c r="G306" s="555">
        <f t="shared" si="75"/>
        <v>0</v>
      </c>
      <c r="H306" s="555">
        <f t="shared" si="75"/>
        <v>0</v>
      </c>
      <c r="I306" s="555">
        <f t="shared" si="75"/>
        <v>0</v>
      </c>
      <c r="J306" s="555">
        <f t="shared" si="75"/>
        <v>0</v>
      </c>
      <c r="K306" s="555">
        <f t="shared" si="75"/>
        <v>0</v>
      </c>
      <c r="L306" s="555">
        <f t="shared" si="75"/>
        <v>0</v>
      </c>
      <c r="M306" s="555">
        <f t="shared" si="75"/>
        <v>24000</v>
      </c>
      <c r="N306" s="555">
        <f t="shared" si="75"/>
        <v>0</v>
      </c>
      <c r="O306" s="555">
        <f t="shared" si="75"/>
        <v>0</v>
      </c>
      <c r="P306" s="555">
        <f t="shared" si="75"/>
        <v>0</v>
      </c>
      <c r="Q306" s="555">
        <f t="shared" si="75"/>
        <v>0</v>
      </c>
      <c r="R306" s="555">
        <f t="shared" si="75"/>
        <v>0</v>
      </c>
      <c r="S306" s="555">
        <f t="shared" si="75"/>
        <v>0</v>
      </c>
      <c r="T306" s="555">
        <f t="shared" si="75"/>
        <v>0</v>
      </c>
      <c r="U306" s="555">
        <f t="shared" si="75"/>
        <v>0</v>
      </c>
      <c r="V306" s="555">
        <f t="shared" si="75"/>
        <v>0</v>
      </c>
      <c r="W306" s="555">
        <f t="shared" si="75"/>
        <v>0</v>
      </c>
      <c r="X306" s="555">
        <f t="shared" si="75"/>
        <v>0</v>
      </c>
      <c r="Y306" s="555">
        <f t="shared" si="75"/>
        <v>0</v>
      </c>
      <c r="Z306" s="555">
        <f t="shared" si="75"/>
        <v>3165708</v>
      </c>
      <c r="AA306" s="555">
        <f t="shared" si="75"/>
        <v>0</v>
      </c>
      <c r="AB306" s="555">
        <f t="shared" si="75"/>
        <v>0</v>
      </c>
      <c r="AC306" s="555">
        <f t="shared" si="75"/>
        <v>0</v>
      </c>
      <c r="AD306" s="555">
        <f t="shared" si="75"/>
        <v>0</v>
      </c>
      <c r="AE306" s="555">
        <f t="shared" si="75"/>
        <v>0</v>
      </c>
      <c r="AF306" s="555">
        <f t="shared" si="75"/>
        <v>0</v>
      </c>
      <c r="AG306" s="555">
        <f t="shared" si="75"/>
        <v>0</v>
      </c>
      <c r="AH306" s="555">
        <f t="shared" si="75"/>
        <v>0</v>
      </c>
      <c r="AI306" s="555">
        <f t="shared" si="75"/>
        <v>0</v>
      </c>
      <c r="AJ306" s="555">
        <f t="shared" ref="AJ306:BO306" si="76">AJ202</f>
        <v>0</v>
      </c>
      <c r="AK306" s="555">
        <f t="shared" si="76"/>
        <v>0</v>
      </c>
      <c r="AL306" s="555">
        <f t="shared" si="76"/>
        <v>0</v>
      </c>
      <c r="AM306" s="555">
        <f t="shared" si="76"/>
        <v>0</v>
      </c>
      <c r="AN306" s="555">
        <f t="shared" si="76"/>
        <v>0</v>
      </c>
      <c r="AO306" s="555">
        <f t="shared" si="76"/>
        <v>99804</v>
      </c>
      <c r="AP306" s="555">
        <f t="shared" si="76"/>
        <v>0</v>
      </c>
      <c r="AQ306" s="555">
        <f t="shared" si="76"/>
        <v>0</v>
      </c>
      <c r="AR306" s="555">
        <f t="shared" si="76"/>
        <v>0</v>
      </c>
      <c r="AS306" s="555">
        <f t="shared" si="76"/>
        <v>0</v>
      </c>
      <c r="AT306" s="555">
        <f t="shared" si="76"/>
        <v>0</v>
      </c>
      <c r="AU306" s="555">
        <f t="shared" si="76"/>
        <v>0</v>
      </c>
      <c r="AV306" s="555">
        <f t="shared" si="76"/>
        <v>0</v>
      </c>
      <c r="AW306" s="555">
        <f t="shared" si="76"/>
        <v>0</v>
      </c>
      <c r="AX306" s="555">
        <f t="shared" si="76"/>
        <v>0</v>
      </c>
      <c r="AY306" s="555">
        <f t="shared" si="76"/>
        <v>0</v>
      </c>
      <c r="AZ306" s="555">
        <f t="shared" si="76"/>
        <v>0</v>
      </c>
      <c r="BA306" s="555">
        <f t="shared" si="76"/>
        <v>0</v>
      </c>
      <c r="BB306" s="555">
        <f t="shared" si="76"/>
        <v>0</v>
      </c>
      <c r="BC306" s="555">
        <f t="shared" si="76"/>
        <v>0</v>
      </c>
      <c r="BD306" s="555">
        <f t="shared" si="76"/>
        <v>0</v>
      </c>
      <c r="BE306" s="555">
        <f t="shared" si="76"/>
        <v>0</v>
      </c>
      <c r="BF306" s="555">
        <f t="shared" si="76"/>
        <v>98453</v>
      </c>
      <c r="BG306" s="555">
        <f t="shared" si="76"/>
        <v>0</v>
      </c>
      <c r="BH306" s="555">
        <f t="shared" si="76"/>
        <v>0</v>
      </c>
      <c r="BI306" s="555">
        <f t="shared" si="76"/>
        <v>0</v>
      </c>
      <c r="BJ306" s="555">
        <f t="shared" si="76"/>
        <v>0</v>
      </c>
      <c r="BK306" s="555">
        <f t="shared" si="76"/>
        <v>0</v>
      </c>
      <c r="BL306" s="555">
        <f t="shared" si="76"/>
        <v>0</v>
      </c>
      <c r="BM306" s="555">
        <f t="shared" si="76"/>
        <v>0</v>
      </c>
      <c r="BN306" s="555">
        <f t="shared" si="76"/>
        <v>0</v>
      </c>
      <c r="BO306" s="555">
        <f t="shared" si="76"/>
        <v>0</v>
      </c>
      <c r="BP306" s="555">
        <f t="shared" ref="BP306:CZ306" si="77">BP202</f>
        <v>0</v>
      </c>
      <c r="BQ306" s="555">
        <f t="shared" si="77"/>
        <v>0</v>
      </c>
      <c r="BR306" s="555">
        <f t="shared" si="77"/>
        <v>0</v>
      </c>
      <c r="BS306" s="555">
        <f t="shared" si="77"/>
        <v>0</v>
      </c>
      <c r="BT306" s="555">
        <f t="shared" si="77"/>
        <v>0</v>
      </c>
      <c r="BU306" s="555">
        <f t="shared" si="77"/>
        <v>0</v>
      </c>
      <c r="BV306" s="555">
        <f t="shared" si="77"/>
        <v>0</v>
      </c>
      <c r="BW306" s="555">
        <f t="shared" si="77"/>
        <v>0</v>
      </c>
      <c r="BX306" s="555">
        <f t="shared" si="77"/>
        <v>0</v>
      </c>
      <c r="BY306" s="555">
        <f t="shared" si="77"/>
        <v>0</v>
      </c>
      <c r="BZ306" s="555">
        <f t="shared" si="77"/>
        <v>0</v>
      </c>
      <c r="CA306" s="555">
        <f t="shared" si="77"/>
        <v>0</v>
      </c>
      <c r="CB306" s="555">
        <f t="shared" si="77"/>
        <v>0</v>
      </c>
      <c r="CC306" s="555">
        <f t="shared" si="77"/>
        <v>0</v>
      </c>
      <c r="CD306" s="555">
        <f t="shared" si="77"/>
        <v>0</v>
      </c>
      <c r="CE306" s="555">
        <f t="shared" si="77"/>
        <v>0</v>
      </c>
      <c r="CF306" s="555">
        <f t="shared" si="77"/>
        <v>0</v>
      </c>
      <c r="CG306" s="555">
        <f t="shared" si="77"/>
        <v>0</v>
      </c>
      <c r="CH306" s="555">
        <f t="shared" si="77"/>
        <v>0</v>
      </c>
      <c r="CI306" s="555">
        <f t="shared" si="77"/>
        <v>0</v>
      </c>
      <c r="CJ306" s="555">
        <f t="shared" si="77"/>
        <v>0</v>
      </c>
      <c r="CK306" s="555">
        <f t="shared" si="77"/>
        <v>0</v>
      </c>
      <c r="CL306" s="555">
        <f t="shared" si="77"/>
        <v>0</v>
      </c>
      <c r="CM306" s="555">
        <f t="shared" si="77"/>
        <v>0</v>
      </c>
      <c r="CN306" s="555">
        <f t="shared" si="77"/>
        <v>0</v>
      </c>
      <c r="CO306" s="555">
        <f t="shared" si="77"/>
        <v>0</v>
      </c>
      <c r="CP306" s="555">
        <f t="shared" si="77"/>
        <v>0</v>
      </c>
      <c r="CQ306" s="555">
        <f t="shared" si="77"/>
        <v>0</v>
      </c>
      <c r="CR306" s="555">
        <f t="shared" si="77"/>
        <v>0</v>
      </c>
      <c r="CS306" s="555">
        <f t="shared" si="77"/>
        <v>0</v>
      </c>
      <c r="CT306" s="555">
        <f t="shared" si="77"/>
        <v>0</v>
      </c>
      <c r="CU306" s="555">
        <f t="shared" si="77"/>
        <v>0</v>
      </c>
      <c r="CV306" s="555">
        <f t="shared" si="77"/>
        <v>0</v>
      </c>
      <c r="CW306" s="555">
        <f t="shared" si="77"/>
        <v>0</v>
      </c>
      <c r="CX306" s="555">
        <f t="shared" si="77"/>
        <v>0</v>
      </c>
      <c r="CY306" s="555">
        <f t="shared" si="77"/>
        <v>0</v>
      </c>
      <c r="CZ306" s="555">
        <f t="shared" si="77"/>
        <v>0</v>
      </c>
    </row>
    <row r="307" spans="1:104" s="180" customFormat="1" x14ac:dyDescent="0.3">
      <c r="A307" s="558">
        <v>1064</v>
      </c>
      <c r="C307" s="180">
        <v>254</v>
      </c>
      <c r="D307" s="555">
        <f t="shared" ref="D307:AI307" si="78">D254</f>
        <v>790004</v>
      </c>
      <c r="E307" s="555">
        <f t="shared" si="78"/>
        <v>12191711</v>
      </c>
      <c r="F307" s="555">
        <f t="shared" si="78"/>
        <v>0</v>
      </c>
      <c r="G307" s="555">
        <f t="shared" si="78"/>
        <v>0</v>
      </c>
      <c r="H307" s="555">
        <f t="shared" si="78"/>
        <v>0</v>
      </c>
      <c r="I307" s="555">
        <f t="shared" si="78"/>
        <v>0</v>
      </c>
      <c r="J307" s="555">
        <f t="shared" si="78"/>
        <v>0</v>
      </c>
      <c r="K307" s="555">
        <f t="shared" si="78"/>
        <v>0</v>
      </c>
      <c r="L307" s="555">
        <f t="shared" si="78"/>
        <v>526548</v>
      </c>
      <c r="M307" s="555">
        <f t="shared" si="78"/>
        <v>0</v>
      </c>
      <c r="N307" s="555">
        <f t="shared" si="78"/>
        <v>0</v>
      </c>
      <c r="O307" s="555">
        <f t="shared" si="78"/>
        <v>0</v>
      </c>
      <c r="P307" s="555">
        <f t="shared" si="78"/>
        <v>0</v>
      </c>
      <c r="Q307" s="555">
        <f t="shared" si="78"/>
        <v>0</v>
      </c>
      <c r="R307" s="555">
        <f t="shared" si="78"/>
        <v>0</v>
      </c>
      <c r="S307" s="555">
        <f t="shared" si="78"/>
        <v>0</v>
      </c>
      <c r="T307" s="555">
        <f t="shared" si="78"/>
        <v>2281874</v>
      </c>
      <c r="U307" s="555">
        <f t="shared" si="78"/>
        <v>0</v>
      </c>
      <c r="V307" s="555">
        <f t="shared" si="78"/>
        <v>0</v>
      </c>
      <c r="W307" s="555">
        <f t="shared" si="78"/>
        <v>0</v>
      </c>
      <c r="X307" s="555">
        <f t="shared" si="78"/>
        <v>0</v>
      </c>
      <c r="Y307" s="555">
        <f t="shared" si="78"/>
        <v>0</v>
      </c>
      <c r="Z307" s="555">
        <f t="shared" si="78"/>
        <v>1160942</v>
      </c>
      <c r="AA307" s="555">
        <f t="shared" si="78"/>
        <v>0</v>
      </c>
      <c r="AB307" s="555">
        <f t="shared" si="78"/>
        <v>0</v>
      </c>
      <c r="AC307" s="555">
        <f t="shared" si="78"/>
        <v>0</v>
      </c>
      <c r="AD307" s="555">
        <f t="shared" si="78"/>
        <v>0</v>
      </c>
      <c r="AE307" s="555">
        <f t="shared" si="78"/>
        <v>0</v>
      </c>
      <c r="AF307" s="555">
        <f t="shared" si="78"/>
        <v>0</v>
      </c>
      <c r="AG307" s="555">
        <f t="shared" si="78"/>
        <v>0</v>
      </c>
      <c r="AH307" s="555">
        <f t="shared" si="78"/>
        <v>0</v>
      </c>
      <c r="AI307" s="555">
        <f t="shared" si="78"/>
        <v>0</v>
      </c>
      <c r="AJ307" s="555">
        <f t="shared" ref="AJ307:BO307" si="79">AJ254</f>
        <v>0</v>
      </c>
      <c r="AK307" s="555">
        <f t="shared" si="79"/>
        <v>0</v>
      </c>
      <c r="AL307" s="555">
        <f t="shared" si="79"/>
        <v>0</v>
      </c>
      <c r="AM307" s="555">
        <f t="shared" si="79"/>
        <v>248437</v>
      </c>
      <c r="AN307" s="555">
        <f t="shared" si="79"/>
        <v>0</v>
      </c>
      <c r="AO307" s="555">
        <f t="shared" si="79"/>
        <v>1535786</v>
      </c>
      <c r="AP307" s="555">
        <f t="shared" si="79"/>
        <v>0</v>
      </c>
      <c r="AQ307" s="555">
        <f t="shared" si="79"/>
        <v>0</v>
      </c>
      <c r="AR307" s="555">
        <f t="shared" si="79"/>
        <v>0</v>
      </c>
      <c r="AS307" s="555">
        <f t="shared" si="79"/>
        <v>494682</v>
      </c>
      <c r="AT307" s="555">
        <f t="shared" si="79"/>
        <v>0</v>
      </c>
      <c r="AU307" s="555">
        <f t="shared" si="79"/>
        <v>0</v>
      </c>
      <c r="AV307" s="555">
        <f t="shared" si="79"/>
        <v>0</v>
      </c>
      <c r="AW307" s="555">
        <f t="shared" si="79"/>
        <v>0</v>
      </c>
      <c r="AX307" s="555">
        <f t="shared" si="79"/>
        <v>0</v>
      </c>
      <c r="AY307" s="555">
        <f t="shared" si="79"/>
        <v>0</v>
      </c>
      <c r="AZ307" s="555">
        <f t="shared" si="79"/>
        <v>1131535</v>
      </c>
      <c r="BA307" s="555">
        <f t="shared" si="79"/>
        <v>0</v>
      </c>
      <c r="BB307" s="555">
        <f t="shared" si="79"/>
        <v>0</v>
      </c>
      <c r="BC307" s="555">
        <f t="shared" si="79"/>
        <v>0</v>
      </c>
      <c r="BD307" s="555">
        <f t="shared" si="79"/>
        <v>0</v>
      </c>
      <c r="BE307" s="555">
        <f t="shared" si="79"/>
        <v>0</v>
      </c>
      <c r="BF307" s="555">
        <f t="shared" si="79"/>
        <v>0</v>
      </c>
      <c r="BG307" s="555">
        <f t="shared" si="79"/>
        <v>0</v>
      </c>
      <c r="BH307" s="555">
        <f t="shared" si="79"/>
        <v>0</v>
      </c>
      <c r="BI307" s="555">
        <f t="shared" si="79"/>
        <v>0</v>
      </c>
      <c r="BJ307" s="555">
        <f t="shared" si="79"/>
        <v>169952</v>
      </c>
      <c r="BK307" s="555">
        <f t="shared" si="79"/>
        <v>0</v>
      </c>
      <c r="BL307" s="555">
        <f t="shared" si="79"/>
        <v>0</v>
      </c>
      <c r="BM307" s="555">
        <f t="shared" si="79"/>
        <v>0</v>
      </c>
      <c r="BN307" s="555">
        <f t="shared" si="79"/>
        <v>0</v>
      </c>
      <c r="BO307" s="555">
        <f t="shared" si="79"/>
        <v>0</v>
      </c>
      <c r="BP307" s="555">
        <f t="shared" ref="BP307:CZ307" si="80">BP254</f>
        <v>0</v>
      </c>
      <c r="BQ307" s="555">
        <f t="shared" si="80"/>
        <v>0</v>
      </c>
      <c r="BR307" s="555">
        <f t="shared" si="80"/>
        <v>0</v>
      </c>
      <c r="BS307" s="555">
        <f t="shared" si="80"/>
        <v>0</v>
      </c>
      <c r="BT307" s="555">
        <f t="shared" si="80"/>
        <v>0</v>
      </c>
      <c r="BU307" s="555">
        <f t="shared" si="80"/>
        <v>0</v>
      </c>
      <c r="BV307" s="555">
        <f t="shared" si="80"/>
        <v>318863</v>
      </c>
      <c r="BW307" s="555">
        <f t="shared" si="80"/>
        <v>0</v>
      </c>
      <c r="BX307" s="555">
        <f t="shared" si="80"/>
        <v>0</v>
      </c>
      <c r="BY307" s="555">
        <f t="shared" si="80"/>
        <v>0</v>
      </c>
      <c r="BZ307" s="555">
        <f t="shared" si="80"/>
        <v>0</v>
      </c>
      <c r="CA307" s="555">
        <f t="shared" si="80"/>
        <v>0</v>
      </c>
      <c r="CB307" s="555">
        <f t="shared" si="80"/>
        <v>0</v>
      </c>
      <c r="CC307" s="555">
        <f t="shared" si="80"/>
        <v>0</v>
      </c>
      <c r="CD307" s="555">
        <f t="shared" si="80"/>
        <v>0</v>
      </c>
      <c r="CE307" s="555">
        <f t="shared" si="80"/>
        <v>0</v>
      </c>
      <c r="CF307" s="555">
        <f t="shared" si="80"/>
        <v>0</v>
      </c>
      <c r="CG307" s="555">
        <f t="shared" si="80"/>
        <v>0</v>
      </c>
      <c r="CH307" s="555">
        <f t="shared" si="80"/>
        <v>0</v>
      </c>
      <c r="CI307" s="555">
        <f t="shared" si="80"/>
        <v>0</v>
      </c>
      <c r="CJ307" s="555">
        <f t="shared" si="80"/>
        <v>0</v>
      </c>
      <c r="CK307" s="555">
        <f t="shared" si="80"/>
        <v>0</v>
      </c>
      <c r="CL307" s="555">
        <f t="shared" si="80"/>
        <v>0</v>
      </c>
      <c r="CM307" s="555">
        <f t="shared" si="80"/>
        <v>0</v>
      </c>
      <c r="CN307" s="555">
        <f t="shared" si="80"/>
        <v>0</v>
      </c>
      <c r="CO307" s="555">
        <f t="shared" si="80"/>
        <v>0</v>
      </c>
      <c r="CP307" s="555">
        <f t="shared" si="80"/>
        <v>0</v>
      </c>
      <c r="CQ307" s="555">
        <f t="shared" si="80"/>
        <v>0</v>
      </c>
      <c r="CR307" s="555">
        <f t="shared" si="80"/>
        <v>0</v>
      </c>
      <c r="CS307" s="555">
        <f t="shared" si="80"/>
        <v>0</v>
      </c>
      <c r="CT307" s="555">
        <f t="shared" si="80"/>
        <v>0</v>
      </c>
      <c r="CU307" s="555">
        <f t="shared" si="80"/>
        <v>0</v>
      </c>
      <c r="CV307" s="555">
        <f t="shared" si="80"/>
        <v>0</v>
      </c>
      <c r="CW307" s="555">
        <f t="shared" si="80"/>
        <v>0</v>
      </c>
      <c r="CX307" s="555">
        <f t="shared" si="80"/>
        <v>0</v>
      </c>
      <c r="CY307" s="555">
        <f t="shared" si="80"/>
        <v>0</v>
      </c>
      <c r="CZ307" s="555">
        <f t="shared" si="80"/>
        <v>0</v>
      </c>
    </row>
    <row r="308" spans="1:104" s="180" customFormat="1" x14ac:dyDescent="0.3">
      <c r="A308" s="558">
        <v>1065</v>
      </c>
      <c r="C308" s="180">
        <v>258</v>
      </c>
      <c r="D308" s="555">
        <f t="shared" ref="D308:AI308" si="81">D255</f>
        <v>0</v>
      </c>
      <c r="E308" s="555">
        <f t="shared" si="81"/>
        <v>0</v>
      </c>
      <c r="F308" s="555">
        <f t="shared" si="81"/>
        <v>0</v>
      </c>
      <c r="G308" s="555">
        <f t="shared" si="81"/>
        <v>0</v>
      </c>
      <c r="H308" s="555">
        <f t="shared" si="81"/>
        <v>0</v>
      </c>
      <c r="I308" s="555">
        <f t="shared" si="81"/>
        <v>0</v>
      </c>
      <c r="J308" s="555">
        <f t="shared" si="81"/>
        <v>0</v>
      </c>
      <c r="K308" s="555">
        <f t="shared" si="81"/>
        <v>0</v>
      </c>
      <c r="L308" s="555">
        <f t="shared" si="81"/>
        <v>0</v>
      </c>
      <c r="M308" s="555">
        <f t="shared" si="81"/>
        <v>0</v>
      </c>
      <c r="N308" s="555">
        <f t="shared" si="81"/>
        <v>0</v>
      </c>
      <c r="O308" s="555">
        <f t="shared" si="81"/>
        <v>0</v>
      </c>
      <c r="P308" s="555">
        <f t="shared" si="81"/>
        <v>0</v>
      </c>
      <c r="Q308" s="555">
        <f t="shared" si="81"/>
        <v>0</v>
      </c>
      <c r="R308" s="555">
        <f t="shared" si="81"/>
        <v>0</v>
      </c>
      <c r="S308" s="555">
        <f t="shared" si="81"/>
        <v>0</v>
      </c>
      <c r="T308" s="555">
        <f t="shared" si="81"/>
        <v>0</v>
      </c>
      <c r="U308" s="555">
        <f t="shared" si="81"/>
        <v>0</v>
      </c>
      <c r="V308" s="555">
        <f t="shared" si="81"/>
        <v>0</v>
      </c>
      <c r="W308" s="555">
        <f t="shared" si="81"/>
        <v>0</v>
      </c>
      <c r="X308" s="555">
        <f t="shared" si="81"/>
        <v>0</v>
      </c>
      <c r="Y308" s="555">
        <f t="shared" si="81"/>
        <v>0</v>
      </c>
      <c r="Z308" s="555">
        <f t="shared" si="81"/>
        <v>0</v>
      </c>
      <c r="AA308" s="555">
        <f t="shared" si="81"/>
        <v>0</v>
      </c>
      <c r="AB308" s="555">
        <f t="shared" si="81"/>
        <v>0</v>
      </c>
      <c r="AC308" s="555">
        <f t="shared" si="81"/>
        <v>0</v>
      </c>
      <c r="AD308" s="555">
        <f t="shared" si="81"/>
        <v>0</v>
      </c>
      <c r="AE308" s="555">
        <f t="shared" si="81"/>
        <v>0</v>
      </c>
      <c r="AF308" s="555">
        <f t="shared" si="81"/>
        <v>0</v>
      </c>
      <c r="AG308" s="555">
        <f t="shared" si="81"/>
        <v>0</v>
      </c>
      <c r="AH308" s="555">
        <f t="shared" si="81"/>
        <v>0</v>
      </c>
      <c r="AI308" s="555">
        <f t="shared" si="81"/>
        <v>0</v>
      </c>
      <c r="AJ308" s="555">
        <f t="shared" ref="AJ308:BO308" si="82">AJ255</f>
        <v>0</v>
      </c>
      <c r="AK308" s="555">
        <f t="shared" si="82"/>
        <v>0</v>
      </c>
      <c r="AL308" s="555">
        <f t="shared" si="82"/>
        <v>0</v>
      </c>
      <c r="AM308" s="555">
        <f t="shared" si="82"/>
        <v>0</v>
      </c>
      <c r="AN308" s="555">
        <f t="shared" si="82"/>
        <v>0</v>
      </c>
      <c r="AO308" s="555">
        <f t="shared" si="82"/>
        <v>0</v>
      </c>
      <c r="AP308" s="555">
        <f t="shared" si="82"/>
        <v>0</v>
      </c>
      <c r="AQ308" s="555">
        <f t="shared" si="82"/>
        <v>0</v>
      </c>
      <c r="AR308" s="555">
        <f t="shared" si="82"/>
        <v>0</v>
      </c>
      <c r="AS308" s="555">
        <f t="shared" si="82"/>
        <v>0</v>
      </c>
      <c r="AT308" s="555">
        <f t="shared" si="82"/>
        <v>0</v>
      </c>
      <c r="AU308" s="555">
        <f t="shared" si="82"/>
        <v>0</v>
      </c>
      <c r="AV308" s="555">
        <f t="shared" si="82"/>
        <v>0</v>
      </c>
      <c r="AW308" s="555">
        <f t="shared" si="82"/>
        <v>0</v>
      </c>
      <c r="AX308" s="555">
        <f t="shared" si="82"/>
        <v>0</v>
      </c>
      <c r="AY308" s="555">
        <f t="shared" si="82"/>
        <v>0</v>
      </c>
      <c r="AZ308" s="555">
        <f t="shared" si="82"/>
        <v>0</v>
      </c>
      <c r="BA308" s="555">
        <f t="shared" si="82"/>
        <v>0</v>
      </c>
      <c r="BB308" s="555">
        <f t="shared" si="82"/>
        <v>0</v>
      </c>
      <c r="BC308" s="555">
        <f t="shared" si="82"/>
        <v>0</v>
      </c>
      <c r="BD308" s="555">
        <f t="shared" si="82"/>
        <v>0</v>
      </c>
      <c r="BE308" s="555">
        <f t="shared" si="82"/>
        <v>0</v>
      </c>
      <c r="BF308" s="555">
        <f t="shared" si="82"/>
        <v>0</v>
      </c>
      <c r="BG308" s="555">
        <f t="shared" si="82"/>
        <v>0</v>
      </c>
      <c r="BH308" s="555">
        <f t="shared" si="82"/>
        <v>0</v>
      </c>
      <c r="BI308" s="555">
        <f t="shared" si="82"/>
        <v>0</v>
      </c>
      <c r="BJ308" s="555">
        <f t="shared" si="82"/>
        <v>0</v>
      </c>
      <c r="BK308" s="555">
        <f t="shared" si="82"/>
        <v>0</v>
      </c>
      <c r="BL308" s="555">
        <f t="shared" si="82"/>
        <v>0</v>
      </c>
      <c r="BM308" s="555">
        <f t="shared" si="82"/>
        <v>0</v>
      </c>
      <c r="BN308" s="555">
        <f t="shared" si="82"/>
        <v>0</v>
      </c>
      <c r="BO308" s="555">
        <f t="shared" si="82"/>
        <v>0</v>
      </c>
      <c r="BP308" s="555">
        <f t="shared" ref="BP308:CZ308" si="83">BP255</f>
        <v>0</v>
      </c>
      <c r="BQ308" s="555">
        <f t="shared" si="83"/>
        <v>0</v>
      </c>
      <c r="BR308" s="555">
        <f t="shared" si="83"/>
        <v>0</v>
      </c>
      <c r="BS308" s="555">
        <f t="shared" si="83"/>
        <v>0</v>
      </c>
      <c r="BT308" s="555">
        <f t="shared" si="83"/>
        <v>0</v>
      </c>
      <c r="BU308" s="555">
        <f t="shared" si="83"/>
        <v>0</v>
      </c>
      <c r="BV308" s="555">
        <f t="shared" si="83"/>
        <v>0</v>
      </c>
      <c r="BW308" s="555">
        <f t="shared" si="83"/>
        <v>0</v>
      </c>
      <c r="BX308" s="555">
        <f t="shared" si="83"/>
        <v>0</v>
      </c>
      <c r="BY308" s="555">
        <f t="shared" si="83"/>
        <v>0</v>
      </c>
      <c r="BZ308" s="555">
        <f t="shared" si="83"/>
        <v>0</v>
      </c>
      <c r="CA308" s="555">
        <f t="shared" si="83"/>
        <v>0</v>
      </c>
      <c r="CB308" s="555">
        <f t="shared" si="83"/>
        <v>0</v>
      </c>
      <c r="CC308" s="555">
        <f t="shared" si="83"/>
        <v>0</v>
      </c>
      <c r="CD308" s="555">
        <f t="shared" si="83"/>
        <v>0</v>
      </c>
      <c r="CE308" s="555">
        <f t="shared" si="83"/>
        <v>0</v>
      </c>
      <c r="CF308" s="555">
        <f t="shared" si="83"/>
        <v>0</v>
      </c>
      <c r="CG308" s="555">
        <f t="shared" si="83"/>
        <v>0</v>
      </c>
      <c r="CH308" s="555">
        <f t="shared" si="83"/>
        <v>0</v>
      </c>
      <c r="CI308" s="555">
        <f t="shared" si="83"/>
        <v>0</v>
      </c>
      <c r="CJ308" s="555">
        <f t="shared" si="83"/>
        <v>0</v>
      </c>
      <c r="CK308" s="555">
        <f t="shared" si="83"/>
        <v>0</v>
      </c>
      <c r="CL308" s="555">
        <f t="shared" si="83"/>
        <v>0</v>
      </c>
      <c r="CM308" s="555">
        <f t="shared" si="83"/>
        <v>0</v>
      </c>
      <c r="CN308" s="555">
        <f t="shared" si="83"/>
        <v>0</v>
      </c>
      <c r="CO308" s="555">
        <f t="shared" si="83"/>
        <v>0</v>
      </c>
      <c r="CP308" s="555">
        <f t="shared" si="83"/>
        <v>0</v>
      </c>
      <c r="CQ308" s="555">
        <f t="shared" si="83"/>
        <v>0</v>
      </c>
      <c r="CR308" s="555">
        <f t="shared" si="83"/>
        <v>0</v>
      </c>
      <c r="CS308" s="555">
        <f t="shared" si="83"/>
        <v>0</v>
      </c>
      <c r="CT308" s="555">
        <f t="shared" si="83"/>
        <v>0</v>
      </c>
      <c r="CU308" s="555">
        <f t="shared" si="83"/>
        <v>0</v>
      </c>
      <c r="CV308" s="555">
        <f t="shared" si="83"/>
        <v>0</v>
      </c>
      <c r="CW308" s="555">
        <f t="shared" si="83"/>
        <v>0</v>
      </c>
      <c r="CX308" s="555">
        <f t="shared" si="83"/>
        <v>0</v>
      </c>
      <c r="CY308" s="555">
        <f t="shared" si="83"/>
        <v>0</v>
      </c>
      <c r="CZ308" s="555">
        <f t="shared" si="83"/>
        <v>0</v>
      </c>
    </row>
    <row r="309" spans="1:104" x14ac:dyDescent="0.3">
      <c r="A309" s="559">
        <v>336</v>
      </c>
      <c r="B309" s="180"/>
      <c r="C309" s="180">
        <v>58</v>
      </c>
      <c r="D309" s="560">
        <f t="shared" ref="D309:AI309" si="84">D58</f>
        <v>613261</v>
      </c>
      <c r="E309" s="560">
        <f t="shared" si="84"/>
        <v>279537188</v>
      </c>
      <c r="F309" s="560">
        <f t="shared" si="84"/>
        <v>0</v>
      </c>
      <c r="G309" s="560">
        <f t="shared" si="84"/>
        <v>0</v>
      </c>
      <c r="H309" s="560">
        <f t="shared" si="84"/>
        <v>74063</v>
      </c>
      <c r="I309" s="560">
        <f t="shared" si="84"/>
        <v>0</v>
      </c>
      <c r="J309" s="560">
        <f t="shared" si="84"/>
        <v>0</v>
      </c>
      <c r="K309" s="560">
        <f t="shared" si="84"/>
        <v>271523</v>
      </c>
      <c r="L309" s="560">
        <f t="shared" si="84"/>
        <v>363288</v>
      </c>
      <c r="M309" s="560">
        <f t="shared" si="84"/>
        <v>3991688</v>
      </c>
      <c r="N309" s="560">
        <f t="shared" si="84"/>
        <v>2892</v>
      </c>
      <c r="O309" s="560">
        <f t="shared" si="84"/>
        <v>190986</v>
      </c>
      <c r="P309" s="560">
        <f t="shared" si="84"/>
        <v>0</v>
      </c>
      <c r="Q309" s="560">
        <f t="shared" si="84"/>
        <v>23899</v>
      </c>
      <c r="R309" s="560">
        <f t="shared" si="84"/>
        <v>336644</v>
      </c>
      <c r="S309" s="560">
        <f t="shared" si="84"/>
        <v>33250</v>
      </c>
      <c r="T309" s="560">
        <f t="shared" si="84"/>
        <v>1242731</v>
      </c>
      <c r="U309" s="560">
        <f t="shared" si="84"/>
        <v>0</v>
      </c>
      <c r="V309" s="560">
        <f t="shared" si="84"/>
        <v>0</v>
      </c>
      <c r="W309" s="560">
        <f t="shared" si="84"/>
        <v>0</v>
      </c>
      <c r="X309" s="560">
        <f t="shared" si="84"/>
        <v>350600</v>
      </c>
      <c r="Y309" s="560">
        <f t="shared" si="84"/>
        <v>108184</v>
      </c>
      <c r="Z309" s="560">
        <f t="shared" si="84"/>
        <v>21924742</v>
      </c>
      <c r="AA309" s="560">
        <f t="shared" si="84"/>
        <v>2140999</v>
      </c>
      <c r="AB309" s="560">
        <f t="shared" si="84"/>
        <v>72574</v>
      </c>
      <c r="AC309" s="560">
        <f t="shared" si="84"/>
        <v>17486</v>
      </c>
      <c r="AD309" s="560">
        <f t="shared" si="84"/>
        <v>250661</v>
      </c>
      <c r="AE309" s="560">
        <f t="shared" si="84"/>
        <v>52985</v>
      </c>
      <c r="AF309" s="560">
        <f t="shared" si="84"/>
        <v>29513</v>
      </c>
      <c r="AG309" s="560">
        <f t="shared" si="84"/>
        <v>63698</v>
      </c>
      <c r="AH309" s="560">
        <f t="shared" si="84"/>
        <v>8320103</v>
      </c>
      <c r="AI309" s="560">
        <f t="shared" si="84"/>
        <v>3654</v>
      </c>
      <c r="AJ309" s="560">
        <f t="shared" ref="AJ309:BO309" si="85">AJ58</f>
        <v>744988</v>
      </c>
      <c r="AK309" s="560">
        <f t="shared" si="85"/>
        <v>0</v>
      </c>
      <c r="AL309" s="560">
        <f t="shared" si="85"/>
        <v>155301</v>
      </c>
      <c r="AM309" s="560">
        <f t="shared" si="85"/>
        <v>1448426</v>
      </c>
      <c r="AN309" s="560">
        <f t="shared" si="85"/>
        <v>38825</v>
      </c>
      <c r="AO309" s="560">
        <f t="shared" si="85"/>
        <v>6524866</v>
      </c>
      <c r="AP309" s="560">
        <f t="shared" si="85"/>
        <v>73243</v>
      </c>
      <c r="AQ309" s="560">
        <f t="shared" si="85"/>
        <v>15311</v>
      </c>
      <c r="AR309" s="560">
        <f t="shared" si="85"/>
        <v>12869</v>
      </c>
      <c r="AS309" s="560">
        <f t="shared" si="85"/>
        <v>3501072</v>
      </c>
      <c r="AT309" s="560">
        <f t="shared" si="85"/>
        <v>18722</v>
      </c>
      <c r="AU309" s="560">
        <f t="shared" si="85"/>
        <v>170422</v>
      </c>
      <c r="AV309" s="560">
        <f t="shared" si="85"/>
        <v>11382</v>
      </c>
      <c r="AW309" s="560">
        <f t="shared" si="85"/>
        <v>16602</v>
      </c>
      <c r="AX309" s="560">
        <f t="shared" si="85"/>
        <v>1274358</v>
      </c>
      <c r="AY309" s="560">
        <f t="shared" si="85"/>
        <v>18045</v>
      </c>
      <c r="AZ309" s="560">
        <f t="shared" si="85"/>
        <v>345072</v>
      </c>
      <c r="BA309" s="560">
        <f t="shared" si="85"/>
        <v>244640</v>
      </c>
      <c r="BB309" s="560">
        <f t="shared" si="85"/>
        <v>23121</v>
      </c>
      <c r="BC309" s="560">
        <f t="shared" si="85"/>
        <v>38210</v>
      </c>
      <c r="BD309" s="560">
        <f t="shared" si="85"/>
        <v>1006218</v>
      </c>
      <c r="BE309" s="560">
        <f t="shared" si="85"/>
        <v>147122</v>
      </c>
      <c r="BF309" s="560">
        <f t="shared" si="85"/>
        <v>9704208</v>
      </c>
      <c r="BG309" s="560">
        <f t="shared" si="85"/>
        <v>0</v>
      </c>
      <c r="BH309" s="560">
        <f t="shared" si="85"/>
        <v>66638</v>
      </c>
      <c r="BI309" s="560">
        <f t="shared" si="85"/>
        <v>57716</v>
      </c>
      <c r="BJ309" s="560">
        <f t="shared" si="85"/>
        <v>5344704</v>
      </c>
      <c r="BK309" s="560">
        <f t="shared" si="85"/>
        <v>225044</v>
      </c>
      <c r="BL309" s="560">
        <f t="shared" si="85"/>
        <v>4647544</v>
      </c>
      <c r="BM309" s="560">
        <f t="shared" si="85"/>
        <v>1344298</v>
      </c>
      <c r="BN309" s="560">
        <f t="shared" si="85"/>
        <v>1954368</v>
      </c>
      <c r="BO309" s="560">
        <f t="shared" si="85"/>
        <v>325034</v>
      </c>
      <c r="BP309" s="560">
        <f t="shared" ref="BP309:CZ309" si="86">BP58</f>
        <v>0</v>
      </c>
      <c r="BQ309" s="560">
        <f t="shared" si="86"/>
        <v>203482</v>
      </c>
      <c r="BR309" s="560">
        <f t="shared" si="86"/>
        <v>0</v>
      </c>
      <c r="BS309" s="560">
        <f t="shared" si="86"/>
        <v>670990</v>
      </c>
      <c r="BT309" s="560">
        <f t="shared" si="86"/>
        <v>89373</v>
      </c>
      <c r="BU309" s="560">
        <f t="shared" si="86"/>
        <v>0</v>
      </c>
      <c r="BV309" s="560">
        <f t="shared" si="86"/>
        <v>450353</v>
      </c>
      <c r="BW309" s="560">
        <f t="shared" si="86"/>
        <v>0</v>
      </c>
      <c r="BX309" s="560">
        <f t="shared" si="86"/>
        <v>0</v>
      </c>
      <c r="BY309" s="560">
        <f t="shared" si="86"/>
        <v>0</v>
      </c>
      <c r="BZ309" s="560">
        <f t="shared" si="86"/>
        <v>0</v>
      </c>
      <c r="CA309" s="560">
        <f t="shared" si="86"/>
        <v>0</v>
      </c>
      <c r="CB309" s="560">
        <f t="shared" si="86"/>
        <v>0</v>
      </c>
      <c r="CC309" s="560">
        <f t="shared" si="86"/>
        <v>0</v>
      </c>
      <c r="CD309" s="560">
        <f t="shared" si="86"/>
        <v>0</v>
      </c>
      <c r="CE309" s="560">
        <f t="shared" si="86"/>
        <v>0</v>
      </c>
      <c r="CF309" s="560">
        <f t="shared" si="86"/>
        <v>0</v>
      </c>
      <c r="CG309" s="560">
        <f t="shared" si="86"/>
        <v>0</v>
      </c>
      <c r="CH309" s="560">
        <f t="shared" si="86"/>
        <v>0</v>
      </c>
      <c r="CI309" s="560">
        <f t="shared" si="86"/>
        <v>0</v>
      </c>
      <c r="CJ309" s="560">
        <f t="shared" si="86"/>
        <v>0</v>
      </c>
      <c r="CK309" s="560">
        <f t="shared" si="86"/>
        <v>0</v>
      </c>
      <c r="CL309" s="560">
        <f t="shared" si="86"/>
        <v>0</v>
      </c>
      <c r="CM309" s="560">
        <f t="shared" si="86"/>
        <v>0</v>
      </c>
      <c r="CN309" s="560">
        <f t="shared" si="86"/>
        <v>0</v>
      </c>
      <c r="CO309" s="560">
        <f t="shared" si="86"/>
        <v>0</v>
      </c>
      <c r="CP309" s="560">
        <f t="shared" si="86"/>
        <v>0</v>
      </c>
      <c r="CQ309" s="560">
        <f t="shared" si="86"/>
        <v>0</v>
      </c>
      <c r="CR309" s="560">
        <f t="shared" si="86"/>
        <v>0</v>
      </c>
      <c r="CS309" s="560">
        <f t="shared" si="86"/>
        <v>0</v>
      </c>
      <c r="CT309" s="560">
        <f t="shared" si="86"/>
        <v>0</v>
      </c>
      <c r="CU309" s="560">
        <f t="shared" si="86"/>
        <v>0</v>
      </c>
      <c r="CV309" s="560">
        <f t="shared" si="86"/>
        <v>0</v>
      </c>
      <c r="CW309" s="560">
        <f t="shared" si="86"/>
        <v>0</v>
      </c>
      <c r="CX309" s="560">
        <f t="shared" si="86"/>
        <v>0</v>
      </c>
      <c r="CY309" s="560">
        <f t="shared" si="86"/>
        <v>0</v>
      </c>
      <c r="CZ309" s="560">
        <f t="shared" si="86"/>
        <v>0</v>
      </c>
    </row>
    <row r="310" spans="1:104" x14ac:dyDescent="0.3">
      <c r="A310" s="559">
        <v>44</v>
      </c>
      <c r="B310" s="180"/>
      <c r="C310" s="180">
        <v>14</v>
      </c>
      <c r="D310" s="560">
        <f t="shared" ref="D310:AI310" si="87">D14</f>
        <v>7072079</v>
      </c>
      <c r="E310" s="560">
        <f t="shared" si="87"/>
        <v>541517208</v>
      </c>
      <c r="F310" s="560">
        <f t="shared" si="87"/>
        <v>0</v>
      </c>
      <c r="G310" s="560">
        <f t="shared" si="87"/>
        <v>0</v>
      </c>
      <c r="H310" s="560">
        <f t="shared" si="87"/>
        <v>1402785</v>
      </c>
      <c r="I310" s="560">
        <f t="shared" si="87"/>
        <v>0</v>
      </c>
      <c r="J310" s="560">
        <f t="shared" si="87"/>
        <v>0</v>
      </c>
      <c r="K310" s="560">
        <f t="shared" si="87"/>
        <v>0</v>
      </c>
      <c r="L310" s="560">
        <f t="shared" si="87"/>
        <v>734556</v>
      </c>
      <c r="M310" s="560">
        <f t="shared" si="87"/>
        <v>10073208</v>
      </c>
      <c r="N310" s="560">
        <f t="shared" si="87"/>
        <v>0</v>
      </c>
      <c r="O310" s="560">
        <f t="shared" si="87"/>
        <v>562881</v>
      </c>
      <c r="P310" s="560">
        <f t="shared" si="87"/>
        <v>0</v>
      </c>
      <c r="Q310" s="560">
        <f t="shared" si="87"/>
        <v>0</v>
      </c>
      <c r="R310" s="560">
        <f t="shared" si="87"/>
        <v>0</v>
      </c>
      <c r="S310" s="560">
        <f t="shared" si="87"/>
        <v>2055017</v>
      </c>
      <c r="T310" s="560">
        <f t="shared" si="87"/>
        <v>0</v>
      </c>
      <c r="U310" s="560">
        <f t="shared" si="87"/>
        <v>0</v>
      </c>
      <c r="V310" s="560">
        <f t="shared" si="87"/>
        <v>0</v>
      </c>
      <c r="W310" s="560">
        <f t="shared" si="87"/>
        <v>0</v>
      </c>
      <c r="X310" s="560">
        <f t="shared" si="87"/>
        <v>4746219</v>
      </c>
      <c r="Y310" s="560">
        <f t="shared" si="87"/>
        <v>0</v>
      </c>
      <c r="Z310" s="560">
        <f t="shared" si="87"/>
        <v>19143151</v>
      </c>
      <c r="AA310" s="560">
        <f t="shared" si="87"/>
        <v>0</v>
      </c>
      <c r="AB310" s="560">
        <f t="shared" si="87"/>
        <v>54922</v>
      </c>
      <c r="AC310" s="560">
        <f t="shared" si="87"/>
        <v>245792</v>
      </c>
      <c r="AD310" s="560">
        <f t="shared" si="87"/>
        <v>978788</v>
      </c>
      <c r="AE310" s="560">
        <f t="shared" si="87"/>
        <v>544873</v>
      </c>
      <c r="AF310" s="560">
        <f t="shared" si="87"/>
        <v>462358</v>
      </c>
      <c r="AG310" s="560">
        <f t="shared" si="87"/>
        <v>223253</v>
      </c>
      <c r="AH310" s="560">
        <f t="shared" si="87"/>
        <v>2509388</v>
      </c>
      <c r="AI310" s="560">
        <f t="shared" si="87"/>
        <v>0</v>
      </c>
      <c r="AJ310" s="560">
        <f t="shared" ref="AJ310:BO310" si="88">AJ14</f>
        <v>0</v>
      </c>
      <c r="AK310" s="560">
        <f t="shared" si="88"/>
        <v>0</v>
      </c>
      <c r="AL310" s="560">
        <f t="shared" si="88"/>
        <v>1050637</v>
      </c>
      <c r="AM310" s="560">
        <f t="shared" si="88"/>
        <v>1128139</v>
      </c>
      <c r="AN310" s="560">
        <f t="shared" si="88"/>
        <v>411554</v>
      </c>
      <c r="AO310" s="560">
        <f t="shared" si="88"/>
        <v>35376722</v>
      </c>
      <c r="AP310" s="560">
        <f t="shared" si="88"/>
        <v>696720</v>
      </c>
      <c r="AQ310" s="560">
        <f t="shared" si="88"/>
        <v>0</v>
      </c>
      <c r="AR310" s="560">
        <f t="shared" si="88"/>
        <v>73906</v>
      </c>
      <c r="AS310" s="560">
        <f t="shared" si="88"/>
        <v>19856771</v>
      </c>
      <c r="AT310" s="560">
        <f t="shared" si="88"/>
        <v>715105</v>
      </c>
      <c r="AU310" s="560">
        <f t="shared" si="88"/>
        <v>5044706</v>
      </c>
      <c r="AV310" s="560">
        <f t="shared" si="88"/>
        <v>819127</v>
      </c>
      <c r="AW310" s="560">
        <f t="shared" si="88"/>
        <v>880632</v>
      </c>
      <c r="AX310" s="560">
        <f t="shared" si="88"/>
        <v>0</v>
      </c>
      <c r="AY310" s="560">
        <f t="shared" si="88"/>
        <v>15684</v>
      </c>
      <c r="AZ310" s="560">
        <f t="shared" si="88"/>
        <v>6614690</v>
      </c>
      <c r="BA310" s="560">
        <f t="shared" si="88"/>
        <v>330695</v>
      </c>
      <c r="BB310" s="560">
        <f t="shared" si="88"/>
        <v>788492</v>
      </c>
      <c r="BC310" s="560">
        <f t="shared" si="88"/>
        <v>582069</v>
      </c>
      <c r="BD310" s="560">
        <f t="shared" si="88"/>
        <v>7723314</v>
      </c>
      <c r="BE310" s="560">
        <f t="shared" si="88"/>
        <v>544037</v>
      </c>
      <c r="BF310" s="560">
        <f t="shared" si="88"/>
        <v>14501268</v>
      </c>
      <c r="BG310" s="560">
        <f t="shared" si="88"/>
        <v>0</v>
      </c>
      <c r="BH310" s="560">
        <f t="shared" si="88"/>
        <v>0</v>
      </c>
      <c r="BI310" s="560">
        <f t="shared" si="88"/>
        <v>899762</v>
      </c>
      <c r="BJ310" s="560">
        <f t="shared" si="88"/>
        <v>15594310</v>
      </c>
      <c r="BK310" s="560">
        <f t="shared" si="88"/>
        <v>1180634</v>
      </c>
      <c r="BL310" s="560">
        <f t="shared" si="88"/>
        <v>18132007</v>
      </c>
      <c r="BM310" s="560">
        <f t="shared" si="88"/>
        <v>0</v>
      </c>
      <c r="BN310" s="560">
        <f t="shared" si="88"/>
        <v>4955336</v>
      </c>
      <c r="BO310" s="560">
        <f t="shared" si="88"/>
        <v>1566543</v>
      </c>
      <c r="BP310" s="560">
        <f t="shared" ref="BP310:CZ310" si="89">BP14</f>
        <v>0</v>
      </c>
      <c r="BQ310" s="560">
        <f t="shared" si="89"/>
        <v>0</v>
      </c>
      <c r="BR310" s="560">
        <f t="shared" si="89"/>
        <v>0</v>
      </c>
      <c r="BS310" s="560">
        <f t="shared" si="89"/>
        <v>847799</v>
      </c>
      <c r="BT310" s="560">
        <f t="shared" si="89"/>
        <v>634233</v>
      </c>
      <c r="BU310" s="560">
        <f t="shared" si="89"/>
        <v>0</v>
      </c>
      <c r="BV310" s="560">
        <f t="shared" si="89"/>
        <v>379718</v>
      </c>
      <c r="BW310" s="560">
        <f t="shared" si="89"/>
        <v>0</v>
      </c>
      <c r="BX310" s="560">
        <f t="shared" si="89"/>
        <v>0</v>
      </c>
      <c r="BY310" s="560">
        <f t="shared" si="89"/>
        <v>0</v>
      </c>
      <c r="BZ310" s="560">
        <f t="shared" si="89"/>
        <v>0</v>
      </c>
      <c r="CA310" s="560">
        <f t="shared" si="89"/>
        <v>0</v>
      </c>
      <c r="CB310" s="560">
        <f t="shared" si="89"/>
        <v>0</v>
      </c>
      <c r="CC310" s="560">
        <f t="shared" si="89"/>
        <v>0</v>
      </c>
      <c r="CD310" s="560">
        <f t="shared" si="89"/>
        <v>0</v>
      </c>
      <c r="CE310" s="560">
        <f t="shared" si="89"/>
        <v>0</v>
      </c>
      <c r="CF310" s="560">
        <f t="shared" si="89"/>
        <v>0</v>
      </c>
      <c r="CG310" s="560">
        <f t="shared" si="89"/>
        <v>0</v>
      </c>
      <c r="CH310" s="560">
        <f t="shared" si="89"/>
        <v>0</v>
      </c>
      <c r="CI310" s="560">
        <f t="shared" si="89"/>
        <v>0</v>
      </c>
      <c r="CJ310" s="560">
        <f t="shared" si="89"/>
        <v>0</v>
      </c>
      <c r="CK310" s="560">
        <f t="shared" si="89"/>
        <v>0</v>
      </c>
      <c r="CL310" s="560">
        <f t="shared" si="89"/>
        <v>0</v>
      </c>
      <c r="CM310" s="560">
        <f t="shared" si="89"/>
        <v>0</v>
      </c>
      <c r="CN310" s="560">
        <f t="shared" si="89"/>
        <v>0</v>
      </c>
      <c r="CO310" s="560">
        <f t="shared" si="89"/>
        <v>0</v>
      </c>
      <c r="CP310" s="560">
        <f t="shared" si="89"/>
        <v>0</v>
      </c>
      <c r="CQ310" s="560">
        <f t="shared" si="89"/>
        <v>0</v>
      </c>
      <c r="CR310" s="560">
        <f t="shared" si="89"/>
        <v>0</v>
      </c>
      <c r="CS310" s="560">
        <f t="shared" si="89"/>
        <v>0</v>
      </c>
      <c r="CT310" s="560">
        <f t="shared" si="89"/>
        <v>0</v>
      </c>
      <c r="CU310" s="560">
        <f t="shared" si="89"/>
        <v>0</v>
      </c>
      <c r="CV310" s="560">
        <f t="shared" si="89"/>
        <v>0</v>
      </c>
      <c r="CW310" s="560">
        <f t="shared" si="89"/>
        <v>0</v>
      </c>
      <c r="CX310" s="560">
        <f t="shared" si="89"/>
        <v>0</v>
      </c>
      <c r="CY310" s="560">
        <f t="shared" si="89"/>
        <v>0</v>
      </c>
      <c r="CZ310" s="560">
        <f t="shared" si="89"/>
        <v>0</v>
      </c>
    </row>
    <row r="311" spans="1:104" x14ac:dyDescent="0.3">
      <c r="A311" s="559">
        <v>45</v>
      </c>
      <c r="B311" s="180"/>
      <c r="C311" s="180">
        <v>15</v>
      </c>
      <c r="D311" s="560">
        <f t="shared" ref="D311:AI311" si="90">D15</f>
        <v>420846</v>
      </c>
      <c r="E311" s="560">
        <f t="shared" si="90"/>
        <v>47669156</v>
      </c>
      <c r="F311" s="560">
        <f t="shared" si="90"/>
        <v>0</v>
      </c>
      <c r="G311" s="560">
        <f t="shared" si="90"/>
        <v>0</v>
      </c>
      <c r="H311" s="560">
        <f t="shared" si="90"/>
        <v>5770</v>
      </c>
      <c r="I311" s="560">
        <f t="shared" si="90"/>
        <v>0</v>
      </c>
      <c r="J311" s="560">
        <f t="shared" si="90"/>
        <v>0</v>
      </c>
      <c r="K311" s="560">
        <f t="shared" si="90"/>
        <v>0</v>
      </c>
      <c r="L311" s="560">
        <f t="shared" si="90"/>
        <v>315609</v>
      </c>
      <c r="M311" s="560">
        <f t="shared" si="90"/>
        <v>2114999</v>
      </c>
      <c r="N311" s="560">
        <f t="shared" si="90"/>
        <v>0</v>
      </c>
      <c r="O311" s="560">
        <f t="shared" si="90"/>
        <v>27204</v>
      </c>
      <c r="P311" s="560">
        <f t="shared" si="90"/>
        <v>0</v>
      </c>
      <c r="Q311" s="560">
        <f t="shared" si="90"/>
        <v>0</v>
      </c>
      <c r="R311" s="560">
        <f t="shared" si="90"/>
        <v>0</v>
      </c>
      <c r="S311" s="560">
        <f t="shared" si="90"/>
        <v>273228</v>
      </c>
      <c r="T311" s="560">
        <f t="shared" si="90"/>
        <v>0</v>
      </c>
      <c r="U311" s="560">
        <f t="shared" si="90"/>
        <v>0</v>
      </c>
      <c r="V311" s="560">
        <f t="shared" si="90"/>
        <v>0</v>
      </c>
      <c r="W311" s="560">
        <f t="shared" si="90"/>
        <v>0</v>
      </c>
      <c r="X311" s="560">
        <f t="shared" si="90"/>
        <v>276410</v>
      </c>
      <c r="Y311" s="560">
        <f t="shared" si="90"/>
        <v>0</v>
      </c>
      <c r="Z311" s="560">
        <f t="shared" si="90"/>
        <v>1962738</v>
      </c>
      <c r="AA311" s="560">
        <f t="shared" si="90"/>
        <v>0</v>
      </c>
      <c r="AB311" s="560">
        <f t="shared" si="90"/>
        <v>68966</v>
      </c>
      <c r="AC311" s="560">
        <f t="shared" si="90"/>
        <v>183460</v>
      </c>
      <c r="AD311" s="560">
        <f t="shared" si="90"/>
        <v>83285</v>
      </c>
      <c r="AE311" s="560">
        <f t="shared" si="90"/>
        <v>494857</v>
      </c>
      <c r="AF311" s="560">
        <f t="shared" si="90"/>
        <v>53782</v>
      </c>
      <c r="AG311" s="560">
        <f t="shared" si="90"/>
        <v>106003</v>
      </c>
      <c r="AH311" s="560">
        <f t="shared" si="90"/>
        <v>1865244</v>
      </c>
      <c r="AI311" s="560">
        <f t="shared" si="90"/>
        <v>0</v>
      </c>
      <c r="AJ311" s="560">
        <f t="shared" ref="AJ311:BO311" si="91">AJ15</f>
        <v>0</v>
      </c>
      <c r="AK311" s="560">
        <f t="shared" si="91"/>
        <v>0</v>
      </c>
      <c r="AL311" s="560">
        <f t="shared" si="91"/>
        <v>101177</v>
      </c>
      <c r="AM311" s="560">
        <f t="shared" si="91"/>
        <v>165028</v>
      </c>
      <c r="AN311" s="560">
        <f t="shared" si="91"/>
        <v>40491</v>
      </c>
      <c r="AO311" s="560">
        <f t="shared" si="91"/>
        <v>7851726</v>
      </c>
      <c r="AP311" s="560">
        <f t="shared" si="91"/>
        <v>99317</v>
      </c>
      <c r="AQ311" s="560">
        <f t="shared" si="91"/>
        <v>0</v>
      </c>
      <c r="AR311" s="560">
        <f t="shared" si="91"/>
        <v>17080</v>
      </c>
      <c r="AS311" s="560">
        <f t="shared" si="91"/>
        <v>5109369</v>
      </c>
      <c r="AT311" s="560">
        <f t="shared" si="91"/>
        <v>66294</v>
      </c>
      <c r="AU311" s="560">
        <f t="shared" si="91"/>
        <v>195914</v>
      </c>
      <c r="AV311" s="560">
        <f t="shared" si="91"/>
        <v>81816</v>
      </c>
      <c r="AW311" s="560">
        <f t="shared" si="91"/>
        <v>82235</v>
      </c>
      <c r="AX311" s="560">
        <f t="shared" si="91"/>
        <v>0</v>
      </c>
      <c r="AY311" s="560">
        <f t="shared" si="91"/>
        <v>0</v>
      </c>
      <c r="AZ311" s="560">
        <f t="shared" si="91"/>
        <v>291412</v>
      </c>
      <c r="BA311" s="560">
        <f t="shared" si="91"/>
        <v>39510</v>
      </c>
      <c r="BB311" s="560">
        <f t="shared" si="91"/>
        <v>26326</v>
      </c>
      <c r="BC311" s="560">
        <f t="shared" si="91"/>
        <v>2492</v>
      </c>
      <c r="BD311" s="560">
        <f t="shared" si="91"/>
        <v>212234</v>
      </c>
      <c r="BE311" s="560">
        <f t="shared" si="91"/>
        <v>206703</v>
      </c>
      <c r="BF311" s="560">
        <f t="shared" si="91"/>
        <v>2934304</v>
      </c>
      <c r="BG311" s="560">
        <f t="shared" si="91"/>
        <v>0</v>
      </c>
      <c r="BH311" s="560">
        <f t="shared" si="91"/>
        <v>0</v>
      </c>
      <c r="BI311" s="560">
        <f t="shared" si="91"/>
        <v>34419</v>
      </c>
      <c r="BJ311" s="560">
        <f t="shared" si="91"/>
        <v>1059690</v>
      </c>
      <c r="BK311" s="560">
        <f t="shared" si="91"/>
        <v>157974</v>
      </c>
      <c r="BL311" s="560">
        <f t="shared" si="91"/>
        <v>1359531</v>
      </c>
      <c r="BM311" s="560">
        <f t="shared" si="91"/>
        <v>0</v>
      </c>
      <c r="BN311" s="560">
        <f t="shared" si="91"/>
        <v>561143</v>
      </c>
      <c r="BO311" s="560">
        <f t="shared" si="91"/>
        <v>243151</v>
      </c>
      <c r="BP311" s="560">
        <f t="shared" ref="BP311:CZ311" si="92">BP15</f>
        <v>0</v>
      </c>
      <c r="BQ311" s="560">
        <f t="shared" si="92"/>
        <v>0</v>
      </c>
      <c r="BR311" s="560">
        <f t="shared" si="92"/>
        <v>0</v>
      </c>
      <c r="BS311" s="560">
        <f t="shared" si="92"/>
        <v>519681</v>
      </c>
      <c r="BT311" s="560">
        <f t="shared" si="92"/>
        <v>124394</v>
      </c>
      <c r="BU311" s="560">
        <f t="shared" si="92"/>
        <v>0</v>
      </c>
      <c r="BV311" s="560">
        <f t="shared" si="92"/>
        <v>322693</v>
      </c>
      <c r="BW311" s="560">
        <f t="shared" si="92"/>
        <v>0</v>
      </c>
      <c r="BX311" s="560">
        <f t="shared" si="92"/>
        <v>0</v>
      </c>
      <c r="BY311" s="560">
        <f t="shared" si="92"/>
        <v>0</v>
      </c>
      <c r="BZ311" s="560">
        <f t="shared" si="92"/>
        <v>0</v>
      </c>
      <c r="CA311" s="560">
        <f t="shared" si="92"/>
        <v>0</v>
      </c>
      <c r="CB311" s="560">
        <f t="shared" si="92"/>
        <v>0</v>
      </c>
      <c r="CC311" s="560">
        <f t="shared" si="92"/>
        <v>0</v>
      </c>
      <c r="CD311" s="560">
        <f t="shared" si="92"/>
        <v>0</v>
      </c>
      <c r="CE311" s="560">
        <f t="shared" si="92"/>
        <v>0</v>
      </c>
      <c r="CF311" s="560">
        <f t="shared" si="92"/>
        <v>0</v>
      </c>
      <c r="CG311" s="560">
        <f t="shared" si="92"/>
        <v>0</v>
      </c>
      <c r="CH311" s="560">
        <f t="shared" si="92"/>
        <v>0</v>
      </c>
      <c r="CI311" s="560">
        <f t="shared" si="92"/>
        <v>0</v>
      </c>
      <c r="CJ311" s="560">
        <f t="shared" si="92"/>
        <v>0</v>
      </c>
      <c r="CK311" s="560">
        <f t="shared" si="92"/>
        <v>0</v>
      </c>
      <c r="CL311" s="560">
        <f t="shared" si="92"/>
        <v>0</v>
      </c>
      <c r="CM311" s="560">
        <f t="shared" si="92"/>
        <v>0</v>
      </c>
      <c r="CN311" s="560">
        <f t="shared" si="92"/>
        <v>0</v>
      </c>
      <c r="CO311" s="560">
        <f t="shared" si="92"/>
        <v>0</v>
      </c>
      <c r="CP311" s="560">
        <f t="shared" si="92"/>
        <v>0</v>
      </c>
      <c r="CQ311" s="560">
        <f t="shared" si="92"/>
        <v>0</v>
      </c>
      <c r="CR311" s="560">
        <f t="shared" si="92"/>
        <v>0</v>
      </c>
      <c r="CS311" s="560">
        <f t="shared" si="92"/>
        <v>0</v>
      </c>
      <c r="CT311" s="560">
        <f t="shared" si="92"/>
        <v>0</v>
      </c>
      <c r="CU311" s="560">
        <f t="shared" si="92"/>
        <v>0</v>
      </c>
      <c r="CV311" s="560">
        <f t="shared" si="92"/>
        <v>0</v>
      </c>
      <c r="CW311" s="560">
        <f t="shared" si="92"/>
        <v>0</v>
      </c>
      <c r="CX311" s="560">
        <f t="shared" si="92"/>
        <v>0</v>
      </c>
      <c r="CY311" s="560">
        <f t="shared" si="92"/>
        <v>0</v>
      </c>
      <c r="CZ311" s="560">
        <f t="shared" si="92"/>
        <v>0</v>
      </c>
    </row>
    <row r="312" spans="1:104" x14ac:dyDescent="0.3">
      <c r="A312" s="559">
        <v>47</v>
      </c>
      <c r="B312" s="180"/>
      <c r="C312" s="180">
        <v>16</v>
      </c>
      <c r="D312" s="560">
        <f t="shared" ref="D312:AI312" si="93">D16</f>
        <v>0</v>
      </c>
      <c r="E312" s="560">
        <f t="shared" si="93"/>
        <v>0</v>
      </c>
      <c r="F312" s="560">
        <f t="shared" si="93"/>
        <v>0</v>
      </c>
      <c r="G312" s="560">
        <f t="shared" si="93"/>
        <v>0</v>
      </c>
      <c r="H312" s="560">
        <f t="shared" si="93"/>
        <v>0</v>
      </c>
      <c r="I312" s="560">
        <f t="shared" si="93"/>
        <v>0</v>
      </c>
      <c r="J312" s="560">
        <f t="shared" si="93"/>
        <v>0</v>
      </c>
      <c r="K312" s="560">
        <f t="shared" si="93"/>
        <v>0</v>
      </c>
      <c r="L312" s="560">
        <f t="shared" si="93"/>
        <v>1363331</v>
      </c>
      <c r="M312" s="560">
        <f t="shared" si="93"/>
        <v>0</v>
      </c>
      <c r="N312" s="560">
        <f t="shared" si="93"/>
        <v>0</v>
      </c>
      <c r="O312" s="560">
        <f t="shared" si="93"/>
        <v>0</v>
      </c>
      <c r="P312" s="560">
        <f t="shared" si="93"/>
        <v>0</v>
      </c>
      <c r="Q312" s="560">
        <f t="shared" si="93"/>
        <v>0</v>
      </c>
      <c r="R312" s="560">
        <f t="shared" si="93"/>
        <v>0</v>
      </c>
      <c r="S312" s="560">
        <f t="shared" si="93"/>
        <v>0</v>
      </c>
      <c r="T312" s="560">
        <f t="shared" si="93"/>
        <v>0</v>
      </c>
      <c r="U312" s="560">
        <f t="shared" si="93"/>
        <v>0</v>
      </c>
      <c r="V312" s="560">
        <f t="shared" si="93"/>
        <v>0</v>
      </c>
      <c r="W312" s="560">
        <f t="shared" si="93"/>
        <v>0</v>
      </c>
      <c r="X312" s="560">
        <f t="shared" si="93"/>
        <v>0</v>
      </c>
      <c r="Y312" s="560">
        <f t="shared" si="93"/>
        <v>0</v>
      </c>
      <c r="Z312" s="560">
        <f t="shared" si="93"/>
        <v>49161477</v>
      </c>
      <c r="AA312" s="560">
        <f t="shared" si="93"/>
        <v>0</v>
      </c>
      <c r="AB312" s="560">
        <f t="shared" si="93"/>
        <v>0</v>
      </c>
      <c r="AC312" s="560">
        <f t="shared" si="93"/>
        <v>0</v>
      </c>
      <c r="AD312" s="560">
        <f t="shared" si="93"/>
        <v>0</v>
      </c>
      <c r="AE312" s="560">
        <f t="shared" si="93"/>
        <v>0</v>
      </c>
      <c r="AF312" s="560">
        <f t="shared" si="93"/>
        <v>0</v>
      </c>
      <c r="AG312" s="560">
        <f t="shared" si="93"/>
        <v>0</v>
      </c>
      <c r="AH312" s="560">
        <f t="shared" si="93"/>
        <v>0</v>
      </c>
      <c r="AI312" s="560">
        <f t="shared" si="93"/>
        <v>0</v>
      </c>
      <c r="AJ312" s="560">
        <f t="shared" ref="AJ312:BO312" si="94">AJ16</f>
        <v>0</v>
      </c>
      <c r="AK312" s="560">
        <f t="shared" si="94"/>
        <v>0</v>
      </c>
      <c r="AL312" s="560">
        <f t="shared" si="94"/>
        <v>0</v>
      </c>
      <c r="AM312" s="560">
        <f t="shared" si="94"/>
        <v>0</v>
      </c>
      <c r="AN312" s="560">
        <f t="shared" si="94"/>
        <v>0</v>
      </c>
      <c r="AO312" s="560">
        <f t="shared" si="94"/>
        <v>0</v>
      </c>
      <c r="AP312" s="560">
        <f t="shared" si="94"/>
        <v>0</v>
      </c>
      <c r="AQ312" s="560">
        <f t="shared" si="94"/>
        <v>0</v>
      </c>
      <c r="AR312" s="560">
        <f t="shared" si="94"/>
        <v>0</v>
      </c>
      <c r="AS312" s="560">
        <f t="shared" si="94"/>
        <v>0</v>
      </c>
      <c r="AT312" s="560">
        <f t="shared" si="94"/>
        <v>0</v>
      </c>
      <c r="AU312" s="560">
        <f t="shared" si="94"/>
        <v>0</v>
      </c>
      <c r="AV312" s="560">
        <f t="shared" si="94"/>
        <v>2325814</v>
      </c>
      <c r="AW312" s="560">
        <f t="shared" si="94"/>
        <v>0</v>
      </c>
      <c r="AX312" s="560">
        <f t="shared" si="94"/>
        <v>0</v>
      </c>
      <c r="AY312" s="560">
        <f t="shared" si="94"/>
        <v>0</v>
      </c>
      <c r="AZ312" s="560">
        <f t="shared" si="94"/>
        <v>4103285</v>
      </c>
      <c r="BA312" s="560">
        <f t="shared" si="94"/>
        <v>0</v>
      </c>
      <c r="BB312" s="560">
        <f t="shared" si="94"/>
        <v>0</v>
      </c>
      <c r="BC312" s="560">
        <f t="shared" si="94"/>
        <v>0</v>
      </c>
      <c r="BD312" s="560">
        <f t="shared" si="94"/>
        <v>0</v>
      </c>
      <c r="BE312" s="560">
        <f t="shared" si="94"/>
        <v>2661755</v>
      </c>
      <c r="BF312" s="560">
        <f t="shared" si="94"/>
        <v>10722989</v>
      </c>
      <c r="BG312" s="560">
        <f t="shared" si="94"/>
        <v>0</v>
      </c>
      <c r="BH312" s="560">
        <f t="shared" si="94"/>
        <v>0</v>
      </c>
      <c r="BI312" s="560">
        <f t="shared" si="94"/>
        <v>0</v>
      </c>
      <c r="BJ312" s="560">
        <f t="shared" si="94"/>
        <v>15217825</v>
      </c>
      <c r="BK312" s="560">
        <f t="shared" si="94"/>
        <v>0</v>
      </c>
      <c r="BL312" s="560">
        <f t="shared" si="94"/>
        <v>0</v>
      </c>
      <c r="BM312" s="560">
        <f t="shared" si="94"/>
        <v>0</v>
      </c>
      <c r="BN312" s="560">
        <f t="shared" si="94"/>
        <v>8287506</v>
      </c>
      <c r="BO312" s="560">
        <f t="shared" si="94"/>
        <v>0</v>
      </c>
      <c r="BP312" s="560">
        <f t="shared" ref="BP312:CZ312" si="95">BP16</f>
        <v>0</v>
      </c>
      <c r="BQ312" s="560">
        <f t="shared" si="95"/>
        <v>0</v>
      </c>
      <c r="BR312" s="560">
        <f t="shared" si="95"/>
        <v>0</v>
      </c>
      <c r="BS312" s="560">
        <f t="shared" si="95"/>
        <v>0</v>
      </c>
      <c r="BT312" s="560">
        <f t="shared" si="95"/>
        <v>0</v>
      </c>
      <c r="BU312" s="560">
        <f t="shared" si="95"/>
        <v>0</v>
      </c>
      <c r="BV312" s="560">
        <f t="shared" si="95"/>
        <v>0</v>
      </c>
      <c r="BW312" s="560">
        <f t="shared" si="95"/>
        <v>0</v>
      </c>
      <c r="BX312" s="560">
        <f t="shared" si="95"/>
        <v>0</v>
      </c>
      <c r="BY312" s="560">
        <f t="shared" si="95"/>
        <v>0</v>
      </c>
      <c r="BZ312" s="560">
        <f t="shared" si="95"/>
        <v>0</v>
      </c>
      <c r="CA312" s="560">
        <f t="shared" si="95"/>
        <v>0</v>
      </c>
      <c r="CB312" s="560">
        <f t="shared" si="95"/>
        <v>0</v>
      </c>
      <c r="CC312" s="560">
        <f t="shared" si="95"/>
        <v>0</v>
      </c>
      <c r="CD312" s="560">
        <f t="shared" si="95"/>
        <v>0</v>
      </c>
      <c r="CE312" s="560">
        <f t="shared" si="95"/>
        <v>0</v>
      </c>
      <c r="CF312" s="560">
        <f t="shared" si="95"/>
        <v>0</v>
      </c>
      <c r="CG312" s="560">
        <f t="shared" si="95"/>
        <v>0</v>
      </c>
      <c r="CH312" s="560">
        <f t="shared" si="95"/>
        <v>0</v>
      </c>
      <c r="CI312" s="560">
        <f t="shared" si="95"/>
        <v>0</v>
      </c>
      <c r="CJ312" s="560">
        <f t="shared" si="95"/>
        <v>0</v>
      </c>
      <c r="CK312" s="560">
        <f t="shared" si="95"/>
        <v>0</v>
      </c>
      <c r="CL312" s="560">
        <f t="shared" si="95"/>
        <v>0</v>
      </c>
      <c r="CM312" s="560">
        <f t="shared" si="95"/>
        <v>0</v>
      </c>
      <c r="CN312" s="560">
        <f t="shared" si="95"/>
        <v>0</v>
      </c>
      <c r="CO312" s="560">
        <f t="shared" si="95"/>
        <v>0</v>
      </c>
      <c r="CP312" s="560">
        <f t="shared" si="95"/>
        <v>0</v>
      </c>
      <c r="CQ312" s="560">
        <f t="shared" si="95"/>
        <v>0</v>
      </c>
      <c r="CR312" s="560">
        <f t="shared" si="95"/>
        <v>0</v>
      </c>
      <c r="CS312" s="560">
        <f t="shared" si="95"/>
        <v>0</v>
      </c>
      <c r="CT312" s="560">
        <f t="shared" si="95"/>
        <v>0</v>
      </c>
      <c r="CU312" s="560">
        <f t="shared" si="95"/>
        <v>0</v>
      </c>
      <c r="CV312" s="560">
        <f t="shared" si="95"/>
        <v>0</v>
      </c>
      <c r="CW312" s="560">
        <f t="shared" si="95"/>
        <v>0</v>
      </c>
      <c r="CX312" s="560">
        <f t="shared" si="95"/>
        <v>0</v>
      </c>
      <c r="CY312" s="560">
        <f t="shared" si="95"/>
        <v>0</v>
      </c>
      <c r="CZ312" s="560">
        <f t="shared" si="95"/>
        <v>0</v>
      </c>
    </row>
    <row r="313" spans="1:104" x14ac:dyDescent="0.3">
      <c r="A313" s="559">
        <v>48</v>
      </c>
      <c r="B313" s="180"/>
      <c r="C313" s="180">
        <v>17</v>
      </c>
      <c r="D313" s="560">
        <f t="shared" ref="D313:AI313" si="96">D17</f>
        <v>0</v>
      </c>
      <c r="E313" s="560">
        <f t="shared" si="96"/>
        <v>0</v>
      </c>
      <c r="F313" s="560">
        <f t="shared" si="96"/>
        <v>0</v>
      </c>
      <c r="G313" s="560">
        <f t="shared" si="96"/>
        <v>0</v>
      </c>
      <c r="H313" s="560">
        <f t="shared" si="96"/>
        <v>0</v>
      </c>
      <c r="I313" s="560">
        <f t="shared" si="96"/>
        <v>0</v>
      </c>
      <c r="J313" s="560">
        <f t="shared" si="96"/>
        <v>0</v>
      </c>
      <c r="K313" s="560">
        <f t="shared" si="96"/>
        <v>0</v>
      </c>
      <c r="L313" s="560">
        <f t="shared" si="96"/>
        <v>495182</v>
      </c>
      <c r="M313" s="560">
        <f t="shared" si="96"/>
        <v>0</v>
      </c>
      <c r="N313" s="560">
        <f t="shared" si="96"/>
        <v>0</v>
      </c>
      <c r="O313" s="560">
        <f t="shared" si="96"/>
        <v>0</v>
      </c>
      <c r="P313" s="560">
        <f t="shared" si="96"/>
        <v>0</v>
      </c>
      <c r="Q313" s="560">
        <f t="shared" si="96"/>
        <v>0</v>
      </c>
      <c r="R313" s="560">
        <f t="shared" si="96"/>
        <v>0</v>
      </c>
      <c r="S313" s="560">
        <f t="shared" si="96"/>
        <v>0</v>
      </c>
      <c r="T313" s="560">
        <f t="shared" si="96"/>
        <v>0</v>
      </c>
      <c r="U313" s="560">
        <f t="shared" si="96"/>
        <v>0</v>
      </c>
      <c r="V313" s="560">
        <f t="shared" si="96"/>
        <v>0</v>
      </c>
      <c r="W313" s="560">
        <f t="shared" si="96"/>
        <v>0</v>
      </c>
      <c r="X313" s="560">
        <f t="shared" si="96"/>
        <v>0</v>
      </c>
      <c r="Y313" s="560">
        <f t="shared" si="96"/>
        <v>0</v>
      </c>
      <c r="Z313" s="560">
        <f t="shared" si="96"/>
        <v>8372361</v>
      </c>
      <c r="AA313" s="560">
        <f t="shared" si="96"/>
        <v>0</v>
      </c>
      <c r="AB313" s="560">
        <f t="shared" si="96"/>
        <v>0</v>
      </c>
      <c r="AC313" s="560">
        <f t="shared" si="96"/>
        <v>0</v>
      </c>
      <c r="AD313" s="560">
        <f t="shared" si="96"/>
        <v>0</v>
      </c>
      <c r="AE313" s="560">
        <f t="shared" si="96"/>
        <v>0</v>
      </c>
      <c r="AF313" s="560">
        <f t="shared" si="96"/>
        <v>0</v>
      </c>
      <c r="AG313" s="560">
        <f t="shared" si="96"/>
        <v>0</v>
      </c>
      <c r="AH313" s="560">
        <f t="shared" si="96"/>
        <v>0</v>
      </c>
      <c r="AI313" s="560">
        <f t="shared" si="96"/>
        <v>0</v>
      </c>
      <c r="AJ313" s="560">
        <f t="shared" ref="AJ313:BO313" si="97">AJ17</f>
        <v>0</v>
      </c>
      <c r="AK313" s="560">
        <f t="shared" si="97"/>
        <v>0</v>
      </c>
      <c r="AL313" s="560">
        <f t="shared" si="97"/>
        <v>0</v>
      </c>
      <c r="AM313" s="560">
        <f t="shared" si="97"/>
        <v>0</v>
      </c>
      <c r="AN313" s="560">
        <f t="shared" si="97"/>
        <v>0</v>
      </c>
      <c r="AO313" s="560">
        <f t="shared" si="97"/>
        <v>0</v>
      </c>
      <c r="AP313" s="560">
        <f t="shared" si="97"/>
        <v>0</v>
      </c>
      <c r="AQ313" s="560">
        <f t="shared" si="97"/>
        <v>0</v>
      </c>
      <c r="AR313" s="560">
        <f t="shared" si="97"/>
        <v>0</v>
      </c>
      <c r="AS313" s="560">
        <f t="shared" si="97"/>
        <v>0</v>
      </c>
      <c r="AT313" s="560">
        <f t="shared" si="97"/>
        <v>0</v>
      </c>
      <c r="AU313" s="560">
        <f t="shared" si="97"/>
        <v>0</v>
      </c>
      <c r="AV313" s="560">
        <f t="shared" si="97"/>
        <v>273617</v>
      </c>
      <c r="AW313" s="560">
        <f t="shared" si="97"/>
        <v>0</v>
      </c>
      <c r="AX313" s="560">
        <f t="shared" si="97"/>
        <v>0</v>
      </c>
      <c r="AY313" s="560">
        <f t="shared" si="97"/>
        <v>0</v>
      </c>
      <c r="AZ313" s="560">
        <f t="shared" si="97"/>
        <v>809121</v>
      </c>
      <c r="BA313" s="560">
        <f t="shared" si="97"/>
        <v>0</v>
      </c>
      <c r="BB313" s="560">
        <f t="shared" si="97"/>
        <v>0</v>
      </c>
      <c r="BC313" s="560">
        <f t="shared" si="97"/>
        <v>0</v>
      </c>
      <c r="BD313" s="560">
        <f t="shared" si="97"/>
        <v>0</v>
      </c>
      <c r="BE313" s="560">
        <f t="shared" si="97"/>
        <v>228301</v>
      </c>
      <c r="BF313" s="560">
        <f t="shared" si="97"/>
        <v>1979533</v>
      </c>
      <c r="BG313" s="560">
        <f t="shared" si="97"/>
        <v>0</v>
      </c>
      <c r="BH313" s="560">
        <f t="shared" si="97"/>
        <v>0</v>
      </c>
      <c r="BI313" s="560">
        <f t="shared" si="97"/>
        <v>0</v>
      </c>
      <c r="BJ313" s="560">
        <f t="shared" si="97"/>
        <v>2159093</v>
      </c>
      <c r="BK313" s="560">
        <f t="shared" si="97"/>
        <v>0</v>
      </c>
      <c r="BL313" s="560">
        <f t="shared" si="97"/>
        <v>0</v>
      </c>
      <c r="BM313" s="560">
        <f t="shared" si="97"/>
        <v>0</v>
      </c>
      <c r="BN313" s="560">
        <f t="shared" si="97"/>
        <v>825518</v>
      </c>
      <c r="BO313" s="560">
        <f t="shared" si="97"/>
        <v>0</v>
      </c>
      <c r="BP313" s="560">
        <f t="shared" ref="BP313:CZ313" si="98">BP17</f>
        <v>0</v>
      </c>
      <c r="BQ313" s="560">
        <f t="shared" si="98"/>
        <v>0</v>
      </c>
      <c r="BR313" s="560">
        <f t="shared" si="98"/>
        <v>0</v>
      </c>
      <c r="BS313" s="560">
        <f t="shared" si="98"/>
        <v>0</v>
      </c>
      <c r="BT313" s="560">
        <f t="shared" si="98"/>
        <v>0</v>
      </c>
      <c r="BU313" s="560">
        <f t="shared" si="98"/>
        <v>0</v>
      </c>
      <c r="BV313" s="560">
        <f t="shared" si="98"/>
        <v>0</v>
      </c>
      <c r="BW313" s="560">
        <f t="shared" si="98"/>
        <v>0</v>
      </c>
      <c r="BX313" s="560">
        <f t="shared" si="98"/>
        <v>0</v>
      </c>
      <c r="BY313" s="560">
        <f t="shared" si="98"/>
        <v>0</v>
      </c>
      <c r="BZ313" s="560">
        <f t="shared" si="98"/>
        <v>0</v>
      </c>
      <c r="CA313" s="560">
        <f t="shared" si="98"/>
        <v>0</v>
      </c>
      <c r="CB313" s="560">
        <f t="shared" si="98"/>
        <v>0</v>
      </c>
      <c r="CC313" s="560">
        <f t="shared" si="98"/>
        <v>0</v>
      </c>
      <c r="CD313" s="560">
        <f t="shared" si="98"/>
        <v>0</v>
      </c>
      <c r="CE313" s="560">
        <f t="shared" si="98"/>
        <v>0</v>
      </c>
      <c r="CF313" s="560">
        <f t="shared" si="98"/>
        <v>0</v>
      </c>
      <c r="CG313" s="560">
        <f t="shared" si="98"/>
        <v>0</v>
      </c>
      <c r="CH313" s="560">
        <f t="shared" si="98"/>
        <v>0</v>
      </c>
      <c r="CI313" s="560">
        <f t="shared" si="98"/>
        <v>0</v>
      </c>
      <c r="CJ313" s="560">
        <f t="shared" si="98"/>
        <v>0</v>
      </c>
      <c r="CK313" s="560">
        <f t="shared" si="98"/>
        <v>0</v>
      </c>
      <c r="CL313" s="560">
        <f t="shared" si="98"/>
        <v>0</v>
      </c>
      <c r="CM313" s="560">
        <f t="shared" si="98"/>
        <v>0</v>
      </c>
      <c r="CN313" s="560">
        <f t="shared" si="98"/>
        <v>0</v>
      </c>
      <c r="CO313" s="560">
        <f t="shared" si="98"/>
        <v>0</v>
      </c>
      <c r="CP313" s="560">
        <f t="shared" si="98"/>
        <v>0</v>
      </c>
      <c r="CQ313" s="560">
        <f t="shared" si="98"/>
        <v>0</v>
      </c>
      <c r="CR313" s="560">
        <f t="shared" si="98"/>
        <v>0</v>
      </c>
      <c r="CS313" s="560">
        <f t="shared" si="98"/>
        <v>0</v>
      </c>
      <c r="CT313" s="560">
        <f t="shared" si="98"/>
        <v>0</v>
      </c>
      <c r="CU313" s="560">
        <f t="shared" si="98"/>
        <v>0</v>
      </c>
      <c r="CV313" s="560">
        <f t="shared" si="98"/>
        <v>0</v>
      </c>
      <c r="CW313" s="560">
        <f t="shared" si="98"/>
        <v>0</v>
      </c>
      <c r="CX313" s="560">
        <f t="shared" si="98"/>
        <v>0</v>
      </c>
      <c r="CY313" s="560">
        <f t="shared" si="98"/>
        <v>0</v>
      </c>
      <c r="CZ313" s="560">
        <f t="shared" si="98"/>
        <v>0</v>
      </c>
    </row>
    <row r="314" spans="1:104" x14ac:dyDescent="0.3">
      <c r="A314" s="563">
        <v>385</v>
      </c>
      <c r="B314" s="180"/>
      <c r="C314" s="180">
        <v>95</v>
      </c>
      <c r="D314" s="564">
        <f t="shared" ref="D314:AI314" si="99">D95</f>
        <v>17216847</v>
      </c>
      <c r="E314" s="564">
        <f t="shared" si="99"/>
        <v>2400160543</v>
      </c>
      <c r="F314" s="564">
        <f t="shared" si="99"/>
        <v>0</v>
      </c>
      <c r="G314" s="564">
        <f t="shared" si="99"/>
        <v>0</v>
      </c>
      <c r="H314" s="564">
        <f t="shared" si="99"/>
        <v>8747747</v>
      </c>
      <c r="I314" s="564">
        <f t="shared" si="99"/>
        <v>84078</v>
      </c>
      <c r="J314" s="564">
        <f t="shared" si="99"/>
        <v>0</v>
      </c>
      <c r="K314" s="564">
        <f t="shared" si="99"/>
        <v>12661286</v>
      </c>
      <c r="L314" s="564">
        <f t="shared" si="99"/>
        <v>11164929</v>
      </c>
      <c r="M314" s="564">
        <f t="shared" si="99"/>
        <v>53688654</v>
      </c>
      <c r="N314" s="564">
        <f t="shared" si="99"/>
        <v>981073</v>
      </c>
      <c r="O314" s="564">
        <f t="shared" si="99"/>
        <v>2198347</v>
      </c>
      <c r="P314" s="564">
        <f t="shared" si="99"/>
        <v>0</v>
      </c>
      <c r="Q314" s="564">
        <f t="shared" si="99"/>
        <v>2320704</v>
      </c>
      <c r="R314" s="564">
        <f t="shared" si="99"/>
        <v>3093408</v>
      </c>
      <c r="S314" s="564">
        <f t="shared" si="99"/>
        <v>6649941</v>
      </c>
      <c r="T314" s="564">
        <f t="shared" si="99"/>
        <v>33378338</v>
      </c>
      <c r="U314" s="564">
        <f t="shared" si="99"/>
        <v>0</v>
      </c>
      <c r="V314" s="564">
        <f t="shared" si="99"/>
        <v>0</v>
      </c>
      <c r="W314" s="564">
        <f t="shared" si="99"/>
        <v>0</v>
      </c>
      <c r="X314" s="564">
        <f t="shared" si="99"/>
        <v>39879777</v>
      </c>
      <c r="Y314" s="564">
        <f t="shared" si="99"/>
        <v>5387512</v>
      </c>
      <c r="Z314" s="564">
        <f t="shared" si="99"/>
        <v>256322723</v>
      </c>
      <c r="AA314" s="564">
        <f t="shared" si="99"/>
        <v>68605074</v>
      </c>
      <c r="AB314" s="564">
        <f t="shared" si="99"/>
        <v>530101</v>
      </c>
      <c r="AC314" s="564">
        <f t="shared" si="99"/>
        <v>1495507</v>
      </c>
      <c r="AD314" s="564">
        <f t="shared" si="99"/>
        <v>2798817</v>
      </c>
      <c r="AE314" s="564">
        <f t="shared" si="99"/>
        <v>4056426</v>
      </c>
      <c r="AF314" s="564">
        <f t="shared" si="99"/>
        <v>1364519</v>
      </c>
      <c r="AG314" s="564">
        <f t="shared" si="99"/>
        <v>1771389</v>
      </c>
      <c r="AH314" s="564">
        <f t="shared" si="99"/>
        <v>15683523</v>
      </c>
      <c r="AI314" s="564">
        <f t="shared" si="99"/>
        <v>706159</v>
      </c>
      <c r="AJ314" s="564">
        <f t="shared" ref="AJ314:BO314" si="100">AJ95</f>
        <v>10015118</v>
      </c>
      <c r="AK314" s="564">
        <f t="shared" si="100"/>
        <v>832280</v>
      </c>
      <c r="AL314" s="564">
        <f t="shared" si="100"/>
        <v>3172779</v>
      </c>
      <c r="AM314" s="564">
        <f t="shared" si="100"/>
        <v>10709847</v>
      </c>
      <c r="AN314" s="564">
        <f t="shared" si="100"/>
        <v>1417945</v>
      </c>
      <c r="AO314" s="564">
        <f t="shared" si="100"/>
        <v>110735006</v>
      </c>
      <c r="AP314" s="564">
        <f t="shared" si="100"/>
        <v>3551140</v>
      </c>
      <c r="AQ314" s="564">
        <f t="shared" si="100"/>
        <v>843820</v>
      </c>
      <c r="AR314" s="564">
        <f t="shared" si="100"/>
        <v>1535934</v>
      </c>
      <c r="AS314" s="564">
        <f t="shared" si="100"/>
        <v>99001289</v>
      </c>
      <c r="AT314" s="564">
        <f t="shared" si="100"/>
        <v>1058758</v>
      </c>
      <c r="AU314" s="564">
        <f t="shared" si="100"/>
        <v>11737900</v>
      </c>
      <c r="AV314" s="564">
        <f t="shared" si="100"/>
        <v>4794228</v>
      </c>
      <c r="AW314" s="564">
        <f t="shared" si="100"/>
        <v>1340290</v>
      </c>
      <c r="AX314" s="564">
        <f t="shared" si="100"/>
        <v>5000533</v>
      </c>
      <c r="AY314" s="564">
        <f t="shared" si="100"/>
        <v>990244</v>
      </c>
      <c r="AZ314" s="564">
        <f t="shared" si="100"/>
        <v>17811113</v>
      </c>
      <c r="BA314" s="564">
        <f t="shared" si="100"/>
        <v>4402663</v>
      </c>
      <c r="BB314" s="564">
        <f t="shared" si="100"/>
        <v>256532</v>
      </c>
      <c r="BC314" s="564">
        <f t="shared" si="100"/>
        <v>1658458</v>
      </c>
      <c r="BD314" s="564">
        <f t="shared" si="100"/>
        <v>28935652</v>
      </c>
      <c r="BE314" s="564">
        <f t="shared" si="100"/>
        <v>2961086</v>
      </c>
      <c r="BF314" s="564">
        <f t="shared" si="100"/>
        <v>110954789</v>
      </c>
      <c r="BG314" s="564">
        <f t="shared" si="100"/>
        <v>0</v>
      </c>
      <c r="BH314" s="564">
        <f t="shared" si="100"/>
        <v>718723</v>
      </c>
      <c r="BI314" s="564">
        <f t="shared" si="100"/>
        <v>874183</v>
      </c>
      <c r="BJ314" s="564">
        <f t="shared" si="100"/>
        <v>57857014</v>
      </c>
      <c r="BK314" s="564">
        <f t="shared" si="100"/>
        <v>3954663</v>
      </c>
      <c r="BL314" s="564">
        <f t="shared" si="100"/>
        <v>72284163</v>
      </c>
      <c r="BM314" s="564">
        <f t="shared" si="100"/>
        <v>31651930</v>
      </c>
      <c r="BN314" s="564">
        <f t="shared" si="100"/>
        <v>26204120</v>
      </c>
      <c r="BO314" s="564">
        <f t="shared" si="100"/>
        <v>5452799</v>
      </c>
      <c r="BP314" s="564">
        <f t="shared" ref="BP314:CZ314" si="101">BP95</f>
        <v>0</v>
      </c>
      <c r="BQ314" s="564">
        <f t="shared" si="101"/>
        <v>12411961</v>
      </c>
      <c r="BR314" s="564">
        <f t="shared" si="101"/>
        <v>0</v>
      </c>
      <c r="BS314" s="564">
        <f t="shared" si="101"/>
        <v>8921617</v>
      </c>
      <c r="BT314" s="564">
        <f t="shared" si="101"/>
        <v>3842494</v>
      </c>
      <c r="BU314" s="564">
        <f t="shared" si="101"/>
        <v>0</v>
      </c>
      <c r="BV314" s="564">
        <f t="shared" si="101"/>
        <v>9065190</v>
      </c>
      <c r="BW314" s="564">
        <f t="shared" si="101"/>
        <v>0</v>
      </c>
      <c r="BX314" s="564">
        <f t="shared" si="101"/>
        <v>0</v>
      </c>
      <c r="BY314" s="564">
        <f t="shared" si="101"/>
        <v>0</v>
      </c>
      <c r="BZ314" s="564">
        <f t="shared" si="101"/>
        <v>0</v>
      </c>
      <c r="CA314" s="564">
        <f t="shared" si="101"/>
        <v>0</v>
      </c>
      <c r="CB314" s="564">
        <f t="shared" si="101"/>
        <v>0</v>
      </c>
      <c r="CC314" s="564">
        <f t="shared" si="101"/>
        <v>0</v>
      </c>
      <c r="CD314" s="564">
        <f t="shared" si="101"/>
        <v>0</v>
      </c>
      <c r="CE314" s="564">
        <f t="shared" si="101"/>
        <v>0</v>
      </c>
      <c r="CF314" s="564">
        <f t="shared" si="101"/>
        <v>0</v>
      </c>
      <c r="CG314" s="564">
        <f t="shared" si="101"/>
        <v>0</v>
      </c>
      <c r="CH314" s="564">
        <f t="shared" si="101"/>
        <v>0</v>
      </c>
      <c r="CI314" s="564">
        <f t="shared" si="101"/>
        <v>0</v>
      </c>
      <c r="CJ314" s="564">
        <f t="shared" si="101"/>
        <v>0</v>
      </c>
      <c r="CK314" s="564">
        <f t="shared" si="101"/>
        <v>0</v>
      </c>
      <c r="CL314" s="564">
        <f t="shared" si="101"/>
        <v>0</v>
      </c>
      <c r="CM314" s="564">
        <f t="shared" si="101"/>
        <v>0</v>
      </c>
      <c r="CN314" s="564">
        <f t="shared" si="101"/>
        <v>0</v>
      </c>
      <c r="CO314" s="564">
        <f t="shared" si="101"/>
        <v>0</v>
      </c>
      <c r="CP314" s="564">
        <f t="shared" si="101"/>
        <v>0</v>
      </c>
      <c r="CQ314" s="564">
        <f t="shared" si="101"/>
        <v>0</v>
      </c>
      <c r="CR314" s="564">
        <f t="shared" si="101"/>
        <v>0</v>
      </c>
      <c r="CS314" s="564">
        <f t="shared" si="101"/>
        <v>0</v>
      </c>
      <c r="CT314" s="564">
        <f t="shared" si="101"/>
        <v>0</v>
      </c>
      <c r="CU314" s="564">
        <f t="shared" si="101"/>
        <v>0</v>
      </c>
      <c r="CV314" s="564">
        <f t="shared" si="101"/>
        <v>0</v>
      </c>
      <c r="CW314" s="564">
        <f t="shared" si="101"/>
        <v>0</v>
      </c>
      <c r="CX314" s="564">
        <f t="shared" si="101"/>
        <v>0</v>
      </c>
      <c r="CY314" s="564">
        <f t="shared" si="101"/>
        <v>0</v>
      </c>
      <c r="CZ314" s="564">
        <f t="shared" si="101"/>
        <v>0</v>
      </c>
    </row>
    <row r="315" spans="1:104" x14ac:dyDescent="0.3">
      <c r="A315" s="563">
        <v>626</v>
      </c>
      <c r="B315" s="180"/>
      <c r="C315" s="180">
        <v>170</v>
      </c>
      <c r="D315" s="564">
        <f t="shared" ref="D315:AI315" si="102">D170</f>
        <v>673261</v>
      </c>
      <c r="E315" s="564">
        <f t="shared" si="102"/>
        <v>295069172</v>
      </c>
      <c r="F315" s="564">
        <f t="shared" si="102"/>
        <v>0</v>
      </c>
      <c r="G315" s="564">
        <f t="shared" si="102"/>
        <v>0</v>
      </c>
      <c r="H315" s="564">
        <f t="shared" si="102"/>
        <v>74063</v>
      </c>
      <c r="I315" s="564">
        <f t="shared" si="102"/>
        <v>0</v>
      </c>
      <c r="J315" s="564">
        <f t="shared" si="102"/>
        <v>0</v>
      </c>
      <c r="K315" s="564">
        <f t="shared" si="102"/>
        <v>271523</v>
      </c>
      <c r="L315" s="564">
        <f t="shared" si="102"/>
        <v>373288</v>
      </c>
      <c r="M315" s="564">
        <f t="shared" si="102"/>
        <v>4068534</v>
      </c>
      <c r="N315" s="564">
        <f t="shared" si="102"/>
        <v>2892</v>
      </c>
      <c r="O315" s="564">
        <f t="shared" si="102"/>
        <v>204899</v>
      </c>
      <c r="P315" s="564">
        <f t="shared" si="102"/>
        <v>0</v>
      </c>
      <c r="Q315" s="564">
        <f t="shared" si="102"/>
        <v>124432</v>
      </c>
      <c r="R315" s="564">
        <f t="shared" si="102"/>
        <v>387923</v>
      </c>
      <c r="S315" s="564">
        <f t="shared" si="102"/>
        <v>65757</v>
      </c>
      <c r="T315" s="564">
        <f t="shared" si="102"/>
        <v>2746175</v>
      </c>
      <c r="U315" s="564">
        <f t="shared" si="102"/>
        <v>0</v>
      </c>
      <c r="V315" s="564">
        <f t="shared" si="102"/>
        <v>0</v>
      </c>
      <c r="W315" s="564">
        <f t="shared" si="102"/>
        <v>0</v>
      </c>
      <c r="X315" s="564">
        <f t="shared" si="102"/>
        <v>1244459</v>
      </c>
      <c r="Y315" s="564">
        <f t="shared" si="102"/>
        <v>325598</v>
      </c>
      <c r="Z315" s="564">
        <f t="shared" si="102"/>
        <v>23911183</v>
      </c>
      <c r="AA315" s="564">
        <f t="shared" si="102"/>
        <v>2718144</v>
      </c>
      <c r="AB315" s="564">
        <f t="shared" si="102"/>
        <v>72574</v>
      </c>
      <c r="AC315" s="564">
        <f t="shared" si="102"/>
        <v>17486</v>
      </c>
      <c r="AD315" s="564">
        <f t="shared" si="102"/>
        <v>254374</v>
      </c>
      <c r="AE315" s="564">
        <f t="shared" si="102"/>
        <v>56504</v>
      </c>
      <c r="AF315" s="564">
        <f t="shared" si="102"/>
        <v>30263</v>
      </c>
      <c r="AG315" s="564">
        <f t="shared" si="102"/>
        <v>63698</v>
      </c>
      <c r="AH315" s="564">
        <f t="shared" si="102"/>
        <v>8347358</v>
      </c>
      <c r="AI315" s="564">
        <f t="shared" si="102"/>
        <v>3654</v>
      </c>
      <c r="AJ315" s="564">
        <f t="shared" ref="AJ315:BO315" si="103">AJ170</f>
        <v>747091</v>
      </c>
      <c r="AK315" s="564">
        <f t="shared" si="103"/>
        <v>65811</v>
      </c>
      <c r="AL315" s="564">
        <f t="shared" si="103"/>
        <v>158936</v>
      </c>
      <c r="AM315" s="564">
        <f t="shared" si="103"/>
        <v>1462018</v>
      </c>
      <c r="AN315" s="564">
        <f t="shared" si="103"/>
        <v>38825</v>
      </c>
      <c r="AO315" s="564">
        <f t="shared" si="103"/>
        <v>6729822</v>
      </c>
      <c r="AP315" s="564">
        <f t="shared" si="103"/>
        <v>73243</v>
      </c>
      <c r="AQ315" s="564">
        <f t="shared" si="103"/>
        <v>15311</v>
      </c>
      <c r="AR315" s="564">
        <f t="shared" si="103"/>
        <v>12869</v>
      </c>
      <c r="AS315" s="564">
        <f t="shared" si="103"/>
        <v>4685069</v>
      </c>
      <c r="AT315" s="564">
        <f t="shared" si="103"/>
        <v>18722</v>
      </c>
      <c r="AU315" s="564">
        <f t="shared" si="103"/>
        <v>758567</v>
      </c>
      <c r="AV315" s="564">
        <f t="shared" si="103"/>
        <v>11382</v>
      </c>
      <c r="AW315" s="564">
        <f t="shared" si="103"/>
        <v>23261</v>
      </c>
      <c r="AX315" s="564">
        <f t="shared" si="103"/>
        <v>1276884</v>
      </c>
      <c r="AY315" s="564">
        <f t="shared" si="103"/>
        <v>18045</v>
      </c>
      <c r="AZ315" s="564">
        <f t="shared" si="103"/>
        <v>424800</v>
      </c>
      <c r="BA315" s="564">
        <f t="shared" si="103"/>
        <v>244640</v>
      </c>
      <c r="BB315" s="564">
        <f t="shared" si="103"/>
        <v>23121</v>
      </c>
      <c r="BC315" s="564">
        <f t="shared" si="103"/>
        <v>38210</v>
      </c>
      <c r="BD315" s="564">
        <f t="shared" si="103"/>
        <v>1144112</v>
      </c>
      <c r="BE315" s="564">
        <f t="shared" si="103"/>
        <v>147122</v>
      </c>
      <c r="BF315" s="564">
        <f t="shared" si="103"/>
        <v>9990190</v>
      </c>
      <c r="BG315" s="564">
        <f t="shared" si="103"/>
        <v>0</v>
      </c>
      <c r="BH315" s="564">
        <f t="shared" si="103"/>
        <v>66638</v>
      </c>
      <c r="BI315" s="564">
        <f t="shared" si="103"/>
        <v>57716</v>
      </c>
      <c r="BJ315" s="564">
        <f t="shared" si="103"/>
        <v>5459982</v>
      </c>
      <c r="BK315" s="564">
        <f t="shared" si="103"/>
        <v>559025</v>
      </c>
      <c r="BL315" s="564">
        <f t="shared" si="103"/>
        <v>5911070</v>
      </c>
      <c r="BM315" s="564">
        <f t="shared" si="103"/>
        <v>2454961</v>
      </c>
      <c r="BN315" s="564">
        <f t="shared" si="103"/>
        <v>2008152</v>
      </c>
      <c r="BO315" s="564">
        <f t="shared" si="103"/>
        <v>325034</v>
      </c>
      <c r="BP315" s="564">
        <f t="shared" ref="BP315:CZ315" si="104">BP170</f>
        <v>0</v>
      </c>
      <c r="BQ315" s="564">
        <f t="shared" si="104"/>
        <v>722480</v>
      </c>
      <c r="BR315" s="564">
        <f t="shared" si="104"/>
        <v>0</v>
      </c>
      <c r="BS315" s="564">
        <f t="shared" si="104"/>
        <v>705990</v>
      </c>
      <c r="BT315" s="564">
        <f t="shared" si="104"/>
        <v>113373</v>
      </c>
      <c r="BU315" s="564">
        <f t="shared" si="104"/>
        <v>0</v>
      </c>
      <c r="BV315" s="564">
        <f t="shared" si="104"/>
        <v>503974</v>
      </c>
      <c r="BW315" s="564">
        <f t="shared" si="104"/>
        <v>0</v>
      </c>
      <c r="BX315" s="564">
        <f t="shared" si="104"/>
        <v>0</v>
      </c>
      <c r="BY315" s="564">
        <f t="shared" si="104"/>
        <v>0</v>
      </c>
      <c r="BZ315" s="564">
        <f t="shared" si="104"/>
        <v>0</v>
      </c>
      <c r="CA315" s="564">
        <f t="shared" si="104"/>
        <v>0</v>
      </c>
      <c r="CB315" s="564">
        <f t="shared" si="104"/>
        <v>0</v>
      </c>
      <c r="CC315" s="564">
        <f t="shared" si="104"/>
        <v>0</v>
      </c>
      <c r="CD315" s="564">
        <f t="shared" si="104"/>
        <v>0</v>
      </c>
      <c r="CE315" s="564">
        <f t="shared" si="104"/>
        <v>0</v>
      </c>
      <c r="CF315" s="564">
        <f t="shared" si="104"/>
        <v>0</v>
      </c>
      <c r="CG315" s="564">
        <f t="shared" si="104"/>
        <v>0</v>
      </c>
      <c r="CH315" s="564">
        <f t="shared" si="104"/>
        <v>0</v>
      </c>
      <c r="CI315" s="564">
        <f t="shared" si="104"/>
        <v>0</v>
      </c>
      <c r="CJ315" s="564">
        <f t="shared" si="104"/>
        <v>0</v>
      </c>
      <c r="CK315" s="564">
        <f t="shared" si="104"/>
        <v>0</v>
      </c>
      <c r="CL315" s="564">
        <f t="shared" si="104"/>
        <v>0</v>
      </c>
      <c r="CM315" s="564">
        <f t="shared" si="104"/>
        <v>0</v>
      </c>
      <c r="CN315" s="564">
        <f t="shared" si="104"/>
        <v>0</v>
      </c>
      <c r="CO315" s="564">
        <f t="shared" si="104"/>
        <v>0</v>
      </c>
      <c r="CP315" s="564">
        <f t="shared" si="104"/>
        <v>0</v>
      </c>
      <c r="CQ315" s="564">
        <f t="shared" si="104"/>
        <v>0</v>
      </c>
      <c r="CR315" s="564">
        <f t="shared" si="104"/>
        <v>0</v>
      </c>
      <c r="CS315" s="564">
        <f t="shared" si="104"/>
        <v>0</v>
      </c>
      <c r="CT315" s="564">
        <f t="shared" si="104"/>
        <v>0</v>
      </c>
      <c r="CU315" s="564">
        <f t="shared" si="104"/>
        <v>0</v>
      </c>
      <c r="CV315" s="564">
        <f t="shared" si="104"/>
        <v>0</v>
      </c>
      <c r="CW315" s="564">
        <f t="shared" si="104"/>
        <v>0</v>
      </c>
      <c r="CX315" s="564">
        <f t="shared" si="104"/>
        <v>0</v>
      </c>
      <c r="CY315" s="564">
        <f t="shared" si="104"/>
        <v>0</v>
      </c>
      <c r="CZ315" s="564">
        <f t="shared" si="104"/>
        <v>0</v>
      </c>
    </row>
    <row r="316" spans="1:104" x14ac:dyDescent="0.3">
      <c r="A316" s="563">
        <v>338</v>
      </c>
      <c r="B316" s="180"/>
      <c r="C316" s="180">
        <v>60</v>
      </c>
      <c r="D316" s="569">
        <f t="shared" ref="D316:AI316" si="105">D60</f>
        <v>6151158</v>
      </c>
      <c r="E316" s="569">
        <f t="shared" si="105"/>
        <v>1132445666</v>
      </c>
      <c r="F316" s="569">
        <f t="shared" si="105"/>
        <v>0</v>
      </c>
      <c r="G316" s="569">
        <f t="shared" si="105"/>
        <v>0</v>
      </c>
      <c r="H316" s="569">
        <f t="shared" si="105"/>
        <v>4843676</v>
      </c>
      <c r="I316" s="569">
        <f t="shared" si="105"/>
        <v>0</v>
      </c>
      <c r="J316" s="569">
        <f t="shared" si="105"/>
        <v>0</v>
      </c>
      <c r="K316" s="569">
        <f t="shared" si="105"/>
        <v>336023</v>
      </c>
      <c r="L316" s="569">
        <f t="shared" si="105"/>
        <v>8685502</v>
      </c>
      <c r="M316" s="569">
        <f t="shared" si="105"/>
        <v>25601158</v>
      </c>
      <c r="N316" s="569">
        <f t="shared" si="105"/>
        <v>2892</v>
      </c>
      <c r="O316" s="569">
        <f t="shared" si="105"/>
        <v>357603</v>
      </c>
      <c r="P316" s="569">
        <f t="shared" si="105"/>
        <v>0</v>
      </c>
      <c r="Q316" s="569">
        <f t="shared" si="105"/>
        <v>611330</v>
      </c>
      <c r="R316" s="569">
        <f t="shared" si="105"/>
        <v>764489</v>
      </c>
      <c r="S316" s="569">
        <f t="shared" si="105"/>
        <v>726762</v>
      </c>
      <c r="T316" s="569">
        <f t="shared" si="105"/>
        <v>26188723</v>
      </c>
      <c r="U316" s="569">
        <f t="shared" si="105"/>
        <v>0</v>
      </c>
      <c r="V316" s="569">
        <f t="shared" si="105"/>
        <v>0</v>
      </c>
      <c r="W316" s="569">
        <f t="shared" si="105"/>
        <v>0</v>
      </c>
      <c r="X316" s="569">
        <f t="shared" si="105"/>
        <v>15932891</v>
      </c>
      <c r="Y316" s="569">
        <f t="shared" si="105"/>
        <v>1466904</v>
      </c>
      <c r="Z316" s="569">
        <f t="shared" si="105"/>
        <v>142808777</v>
      </c>
      <c r="AA316" s="569">
        <f t="shared" si="105"/>
        <v>11044740</v>
      </c>
      <c r="AB316" s="569">
        <f t="shared" si="105"/>
        <v>72574</v>
      </c>
      <c r="AC316" s="569">
        <f t="shared" si="105"/>
        <v>69274</v>
      </c>
      <c r="AD316" s="569">
        <f t="shared" si="105"/>
        <v>1166898</v>
      </c>
      <c r="AE316" s="569">
        <f t="shared" si="105"/>
        <v>401832</v>
      </c>
      <c r="AF316" s="569">
        <f t="shared" si="105"/>
        <v>209047</v>
      </c>
      <c r="AG316" s="569">
        <f t="shared" si="105"/>
        <v>1327001</v>
      </c>
      <c r="AH316" s="569">
        <f t="shared" si="105"/>
        <v>11706599</v>
      </c>
      <c r="AI316" s="569">
        <f t="shared" si="105"/>
        <v>3654</v>
      </c>
      <c r="AJ316" s="569">
        <f t="shared" ref="AJ316:BO316" si="106">AJ60</f>
        <v>3430412</v>
      </c>
      <c r="AK316" s="569">
        <f t="shared" si="106"/>
        <v>65811</v>
      </c>
      <c r="AL316" s="569">
        <f t="shared" si="106"/>
        <v>1076444</v>
      </c>
      <c r="AM316" s="569">
        <f t="shared" si="106"/>
        <v>4178794</v>
      </c>
      <c r="AN316" s="569">
        <f t="shared" si="106"/>
        <v>77700</v>
      </c>
      <c r="AO316" s="569">
        <f t="shared" si="106"/>
        <v>38777846</v>
      </c>
      <c r="AP316" s="569">
        <f t="shared" si="106"/>
        <v>610332</v>
      </c>
      <c r="AQ316" s="569">
        <f t="shared" si="106"/>
        <v>63753</v>
      </c>
      <c r="AR316" s="569">
        <f t="shared" si="106"/>
        <v>497762</v>
      </c>
      <c r="AS316" s="569">
        <f t="shared" si="106"/>
        <v>78983721</v>
      </c>
      <c r="AT316" s="569">
        <f t="shared" si="106"/>
        <v>18757</v>
      </c>
      <c r="AU316" s="569">
        <f t="shared" si="106"/>
        <v>991121</v>
      </c>
      <c r="AV316" s="569">
        <f t="shared" si="106"/>
        <v>1119824</v>
      </c>
      <c r="AW316" s="569">
        <f t="shared" si="106"/>
        <v>410281</v>
      </c>
      <c r="AX316" s="569">
        <f t="shared" si="106"/>
        <v>1495031</v>
      </c>
      <c r="AY316" s="569">
        <f t="shared" si="106"/>
        <v>97388</v>
      </c>
      <c r="AZ316" s="569">
        <f t="shared" si="106"/>
        <v>10896443</v>
      </c>
      <c r="BA316" s="569">
        <f t="shared" si="106"/>
        <v>1512411</v>
      </c>
      <c r="BB316" s="569">
        <f t="shared" si="106"/>
        <v>23121</v>
      </c>
      <c r="BC316" s="569">
        <f t="shared" si="106"/>
        <v>69323</v>
      </c>
      <c r="BD316" s="569">
        <f t="shared" si="106"/>
        <v>6568556</v>
      </c>
      <c r="BE316" s="569">
        <f t="shared" si="106"/>
        <v>1342187</v>
      </c>
      <c r="BF316" s="569">
        <f t="shared" si="106"/>
        <v>51734689</v>
      </c>
      <c r="BG316" s="569">
        <f t="shared" si="106"/>
        <v>0</v>
      </c>
      <c r="BH316" s="569">
        <f t="shared" si="106"/>
        <v>235278</v>
      </c>
      <c r="BI316" s="569">
        <f t="shared" si="106"/>
        <v>57716</v>
      </c>
      <c r="BJ316" s="569">
        <f t="shared" si="106"/>
        <v>29236583</v>
      </c>
      <c r="BK316" s="569">
        <f t="shared" si="106"/>
        <v>864938</v>
      </c>
      <c r="BL316" s="569">
        <f t="shared" si="106"/>
        <v>21177746</v>
      </c>
      <c r="BM316" s="569">
        <f t="shared" si="106"/>
        <v>12367127</v>
      </c>
      <c r="BN316" s="569">
        <f t="shared" si="106"/>
        <v>11625285</v>
      </c>
      <c r="BO316" s="569">
        <f t="shared" si="106"/>
        <v>540196</v>
      </c>
      <c r="BP316" s="569">
        <f t="shared" ref="BP316:CZ316" si="107">BP60</f>
        <v>0</v>
      </c>
      <c r="BQ316" s="569">
        <f t="shared" si="107"/>
        <v>4417908</v>
      </c>
      <c r="BR316" s="569">
        <f t="shared" si="107"/>
        <v>0</v>
      </c>
      <c r="BS316" s="569">
        <f t="shared" si="107"/>
        <v>4348572</v>
      </c>
      <c r="BT316" s="569">
        <f t="shared" si="107"/>
        <v>1209038</v>
      </c>
      <c r="BU316" s="569">
        <f t="shared" si="107"/>
        <v>0</v>
      </c>
      <c r="BV316" s="569">
        <f t="shared" si="107"/>
        <v>1716762</v>
      </c>
      <c r="BW316" s="569">
        <f t="shared" si="107"/>
        <v>0</v>
      </c>
      <c r="BX316" s="569">
        <f t="shared" si="107"/>
        <v>0</v>
      </c>
      <c r="BY316" s="569">
        <f t="shared" si="107"/>
        <v>0</v>
      </c>
      <c r="BZ316" s="569">
        <f t="shared" si="107"/>
        <v>0</v>
      </c>
      <c r="CA316" s="569">
        <f t="shared" si="107"/>
        <v>0</v>
      </c>
      <c r="CB316" s="569">
        <f t="shared" si="107"/>
        <v>0</v>
      </c>
      <c r="CC316" s="569">
        <f t="shared" si="107"/>
        <v>0</v>
      </c>
      <c r="CD316" s="569">
        <f t="shared" si="107"/>
        <v>0</v>
      </c>
      <c r="CE316" s="569">
        <f t="shared" si="107"/>
        <v>0</v>
      </c>
      <c r="CF316" s="569">
        <f t="shared" si="107"/>
        <v>0</v>
      </c>
      <c r="CG316" s="569">
        <f t="shared" si="107"/>
        <v>0</v>
      </c>
      <c r="CH316" s="569">
        <f t="shared" si="107"/>
        <v>0</v>
      </c>
      <c r="CI316" s="569">
        <f t="shared" si="107"/>
        <v>0</v>
      </c>
      <c r="CJ316" s="569">
        <f t="shared" si="107"/>
        <v>0</v>
      </c>
      <c r="CK316" s="569">
        <f t="shared" si="107"/>
        <v>0</v>
      </c>
      <c r="CL316" s="569">
        <f t="shared" si="107"/>
        <v>0</v>
      </c>
      <c r="CM316" s="569">
        <f t="shared" si="107"/>
        <v>0</v>
      </c>
      <c r="CN316" s="569">
        <f t="shared" si="107"/>
        <v>0</v>
      </c>
      <c r="CO316" s="569">
        <f t="shared" si="107"/>
        <v>0</v>
      </c>
      <c r="CP316" s="569">
        <f t="shared" si="107"/>
        <v>0</v>
      </c>
      <c r="CQ316" s="569">
        <f t="shared" si="107"/>
        <v>0</v>
      </c>
      <c r="CR316" s="569">
        <f t="shared" si="107"/>
        <v>0</v>
      </c>
      <c r="CS316" s="569">
        <f t="shared" si="107"/>
        <v>0</v>
      </c>
      <c r="CT316" s="569">
        <f t="shared" si="107"/>
        <v>0</v>
      </c>
      <c r="CU316" s="569">
        <f t="shared" si="107"/>
        <v>0</v>
      </c>
      <c r="CV316" s="569">
        <f t="shared" si="107"/>
        <v>0</v>
      </c>
      <c r="CW316" s="569">
        <f t="shared" si="107"/>
        <v>0</v>
      </c>
      <c r="CX316" s="569">
        <f t="shared" si="107"/>
        <v>0</v>
      </c>
      <c r="CY316" s="569">
        <f t="shared" si="107"/>
        <v>0</v>
      </c>
      <c r="CZ316" s="569">
        <f t="shared" si="107"/>
        <v>0</v>
      </c>
    </row>
    <row r="317" spans="1:104" s="180" customFormat="1" x14ac:dyDescent="0.3">
      <c r="A317" s="567">
        <v>620</v>
      </c>
      <c r="C317" s="180">
        <v>166</v>
      </c>
      <c r="D317" s="568">
        <f t="shared" ref="D317:AI317" si="108">D166</f>
        <v>2</v>
      </c>
      <c r="E317" s="568">
        <f t="shared" si="108"/>
        <v>1</v>
      </c>
      <c r="F317" s="568">
        <f t="shared" si="108"/>
        <v>0</v>
      </c>
      <c r="G317" s="568">
        <f t="shared" si="108"/>
        <v>0</v>
      </c>
      <c r="H317" s="568">
        <f t="shared" si="108"/>
        <v>2</v>
      </c>
      <c r="I317" s="568">
        <f t="shared" si="108"/>
        <v>2</v>
      </c>
      <c r="J317" s="568">
        <f t="shared" si="108"/>
        <v>0</v>
      </c>
      <c r="K317" s="568">
        <f t="shared" si="108"/>
        <v>2</v>
      </c>
      <c r="L317" s="568">
        <f t="shared" si="108"/>
        <v>2</v>
      </c>
      <c r="M317" s="568">
        <f t="shared" si="108"/>
        <v>1</v>
      </c>
      <c r="N317" s="568">
        <f t="shared" si="108"/>
        <v>0</v>
      </c>
      <c r="O317" s="568">
        <f t="shared" si="108"/>
        <v>2</v>
      </c>
      <c r="P317" s="568">
        <f t="shared" si="108"/>
        <v>0</v>
      </c>
      <c r="Q317" s="568">
        <f t="shared" si="108"/>
        <v>2</v>
      </c>
      <c r="R317" s="568">
        <f t="shared" si="108"/>
        <v>2</v>
      </c>
      <c r="S317" s="568">
        <f t="shared" si="108"/>
        <v>2</v>
      </c>
      <c r="T317" s="568">
        <f t="shared" si="108"/>
        <v>2</v>
      </c>
      <c r="U317" s="568">
        <f t="shared" si="108"/>
        <v>0</v>
      </c>
      <c r="V317" s="568">
        <f t="shared" si="108"/>
        <v>0</v>
      </c>
      <c r="W317" s="568">
        <f t="shared" si="108"/>
        <v>0</v>
      </c>
      <c r="X317" s="568">
        <f t="shared" si="108"/>
        <v>2</v>
      </c>
      <c r="Y317" s="568">
        <f t="shared" si="108"/>
        <v>2</v>
      </c>
      <c r="Z317" s="568">
        <f t="shared" si="108"/>
        <v>1</v>
      </c>
      <c r="AA317" s="568">
        <f t="shared" si="108"/>
        <v>1</v>
      </c>
      <c r="AB317" s="568">
        <f t="shared" si="108"/>
        <v>2</v>
      </c>
      <c r="AC317" s="568">
        <f t="shared" si="108"/>
        <v>2</v>
      </c>
      <c r="AD317" s="568">
        <f t="shared" si="108"/>
        <v>2</v>
      </c>
      <c r="AE317" s="568">
        <f t="shared" si="108"/>
        <v>2</v>
      </c>
      <c r="AF317" s="568">
        <f t="shared" si="108"/>
        <v>2</v>
      </c>
      <c r="AG317" s="568">
        <f t="shared" si="108"/>
        <v>2</v>
      </c>
      <c r="AH317" s="568">
        <f t="shared" si="108"/>
        <v>2</v>
      </c>
      <c r="AI317" s="568">
        <f t="shared" si="108"/>
        <v>2</v>
      </c>
      <c r="AJ317" s="568">
        <f t="shared" ref="AJ317:BO317" si="109">AJ166</f>
        <v>2</v>
      </c>
      <c r="AK317" s="568">
        <f t="shared" si="109"/>
        <v>2</v>
      </c>
      <c r="AL317" s="568">
        <f t="shared" si="109"/>
        <v>0</v>
      </c>
      <c r="AM317" s="568">
        <f t="shared" si="109"/>
        <v>2</v>
      </c>
      <c r="AN317" s="568">
        <f t="shared" si="109"/>
        <v>2</v>
      </c>
      <c r="AO317" s="568">
        <f t="shared" si="109"/>
        <v>2</v>
      </c>
      <c r="AP317" s="568">
        <f t="shared" si="109"/>
        <v>2</v>
      </c>
      <c r="AQ317" s="568">
        <f t="shared" si="109"/>
        <v>2</v>
      </c>
      <c r="AR317" s="568">
        <f t="shared" si="109"/>
        <v>2</v>
      </c>
      <c r="AS317" s="568">
        <f t="shared" si="109"/>
        <v>1</v>
      </c>
      <c r="AT317" s="568">
        <f t="shared" si="109"/>
        <v>2</v>
      </c>
      <c r="AU317" s="568">
        <f t="shared" si="109"/>
        <v>2</v>
      </c>
      <c r="AV317" s="568">
        <f t="shared" si="109"/>
        <v>2</v>
      </c>
      <c r="AW317" s="568">
        <f t="shared" si="109"/>
        <v>2</v>
      </c>
      <c r="AX317" s="568">
        <f t="shared" si="109"/>
        <v>2</v>
      </c>
      <c r="AY317" s="568">
        <f t="shared" si="109"/>
        <v>2</v>
      </c>
      <c r="AZ317" s="568">
        <f t="shared" si="109"/>
        <v>2</v>
      </c>
      <c r="BA317" s="568">
        <f t="shared" si="109"/>
        <v>2</v>
      </c>
      <c r="BB317" s="568">
        <f t="shared" si="109"/>
        <v>2</v>
      </c>
      <c r="BC317" s="568">
        <f t="shared" si="109"/>
        <v>0</v>
      </c>
      <c r="BD317" s="568">
        <f t="shared" si="109"/>
        <v>2</v>
      </c>
      <c r="BE317" s="568">
        <f t="shared" si="109"/>
        <v>1</v>
      </c>
      <c r="BF317" s="568">
        <f t="shared" si="109"/>
        <v>2</v>
      </c>
      <c r="BG317" s="568">
        <f t="shared" si="109"/>
        <v>0</v>
      </c>
      <c r="BH317" s="568">
        <f t="shared" si="109"/>
        <v>2</v>
      </c>
      <c r="BI317" s="568">
        <f t="shared" si="109"/>
        <v>2</v>
      </c>
      <c r="BJ317" s="568">
        <f t="shared" si="109"/>
        <v>2</v>
      </c>
      <c r="BK317" s="568">
        <f t="shared" si="109"/>
        <v>2</v>
      </c>
      <c r="BL317" s="568">
        <f t="shared" si="109"/>
        <v>1</v>
      </c>
      <c r="BM317" s="568">
        <f t="shared" si="109"/>
        <v>2</v>
      </c>
      <c r="BN317" s="568">
        <f t="shared" si="109"/>
        <v>1</v>
      </c>
      <c r="BO317" s="568">
        <f t="shared" si="109"/>
        <v>2</v>
      </c>
      <c r="BP317" s="568">
        <f t="shared" ref="BP317:CZ317" si="110">BP166</f>
        <v>0</v>
      </c>
      <c r="BQ317" s="568">
        <f t="shared" si="110"/>
        <v>2</v>
      </c>
      <c r="BR317" s="568">
        <f t="shared" si="110"/>
        <v>0</v>
      </c>
      <c r="BS317" s="568">
        <f t="shared" si="110"/>
        <v>2</v>
      </c>
      <c r="BT317" s="568">
        <f t="shared" si="110"/>
        <v>2</v>
      </c>
      <c r="BU317" s="568">
        <f t="shared" si="110"/>
        <v>0</v>
      </c>
      <c r="BV317" s="568">
        <f t="shared" si="110"/>
        <v>2</v>
      </c>
      <c r="BW317" s="568">
        <f t="shared" si="110"/>
        <v>0</v>
      </c>
      <c r="BX317" s="568">
        <f t="shared" si="110"/>
        <v>0</v>
      </c>
      <c r="BY317" s="568">
        <f t="shared" si="110"/>
        <v>0</v>
      </c>
      <c r="BZ317" s="568">
        <f t="shared" si="110"/>
        <v>0</v>
      </c>
      <c r="CA317" s="568">
        <f t="shared" si="110"/>
        <v>0</v>
      </c>
      <c r="CB317" s="568">
        <f t="shared" si="110"/>
        <v>0</v>
      </c>
      <c r="CC317" s="568">
        <f t="shared" si="110"/>
        <v>0</v>
      </c>
      <c r="CD317" s="568">
        <f t="shared" si="110"/>
        <v>0</v>
      </c>
      <c r="CE317" s="568">
        <f t="shared" si="110"/>
        <v>0</v>
      </c>
      <c r="CF317" s="568">
        <f t="shared" si="110"/>
        <v>0</v>
      </c>
      <c r="CG317" s="568">
        <f t="shared" si="110"/>
        <v>0</v>
      </c>
      <c r="CH317" s="568">
        <f t="shared" si="110"/>
        <v>0</v>
      </c>
      <c r="CI317" s="568">
        <f t="shared" si="110"/>
        <v>0</v>
      </c>
      <c r="CJ317" s="568">
        <f t="shared" si="110"/>
        <v>0</v>
      </c>
      <c r="CK317" s="568">
        <f t="shared" si="110"/>
        <v>0</v>
      </c>
      <c r="CL317" s="568">
        <f t="shared" si="110"/>
        <v>0</v>
      </c>
      <c r="CM317" s="568">
        <f t="shared" si="110"/>
        <v>0</v>
      </c>
      <c r="CN317" s="568">
        <f t="shared" si="110"/>
        <v>0</v>
      </c>
      <c r="CO317" s="568">
        <f t="shared" si="110"/>
        <v>0</v>
      </c>
      <c r="CP317" s="568">
        <f t="shared" si="110"/>
        <v>0</v>
      </c>
      <c r="CQ317" s="568">
        <f t="shared" si="110"/>
        <v>0</v>
      </c>
      <c r="CR317" s="568">
        <f t="shared" si="110"/>
        <v>0</v>
      </c>
      <c r="CS317" s="568">
        <f t="shared" si="110"/>
        <v>0</v>
      </c>
      <c r="CT317" s="568">
        <f t="shared" si="110"/>
        <v>0</v>
      </c>
      <c r="CU317" s="568">
        <f t="shared" si="110"/>
        <v>0</v>
      </c>
      <c r="CV317" s="568">
        <f t="shared" si="110"/>
        <v>0</v>
      </c>
      <c r="CW317" s="568">
        <f t="shared" si="110"/>
        <v>0</v>
      </c>
      <c r="CX317" s="568">
        <f t="shared" si="110"/>
        <v>0</v>
      </c>
      <c r="CY317" s="568">
        <f t="shared" si="110"/>
        <v>0</v>
      </c>
      <c r="CZ317" s="568">
        <f t="shared" si="110"/>
        <v>0</v>
      </c>
    </row>
    <row r="318" spans="1:104" s="180" customFormat="1" x14ac:dyDescent="0.3">
      <c r="A318" s="155">
        <v>545</v>
      </c>
      <c r="C318" s="180">
        <v>142</v>
      </c>
      <c r="D318" s="568">
        <f t="shared" ref="D318:AI318" si="111">D142</f>
        <v>0</v>
      </c>
      <c r="E318" s="568">
        <f t="shared" si="111"/>
        <v>2</v>
      </c>
      <c r="F318" s="568">
        <f t="shared" si="111"/>
        <v>0</v>
      </c>
      <c r="G318" s="568">
        <f t="shared" si="111"/>
        <v>0</v>
      </c>
      <c r="H318" s="568">
        <f t="shared" si="111"/>
        <v>0</v>
      </c>
      <c r="I318" s="568">
        <f t="shared" si="111"/>
        <v>0</v>
      </c>
      <c r="J318" s="568">
        <f t="shared" si="111"/>
        <v>0</v>
      </c>
      <c r="K318" s="568">
        <f t="shared" si="111"/>
        <v>0</v>
      </c>
      <c r="L318" s="568">
        <f t="shared" si="111"/>
        <v>0</v>
      </c>
      <c r="M318" s="568">
        <f t="shared" si="111"/>
        <v>0</v>
      </c>
      <c r="N318" s="568">
        <f t="shared" si="111"/>
        <v>0</v>
      </c>
      <c r="O318" s="568">
        <f t="shared" si="111"/>
        <v>0</v>
      </c>
      <c r="P318" s="568">
        <f t="shared" si="111"/>
        <v>0</v>
      </c>
      <c r="Q318" s="568">
        <f t="shared" si="111"/>
        <v>0</v>
      </c>
      <c r="R318" s="568">
        <f t="shared" si="111"/>
        <v>0</v>
      </c>
      <c r="S318" s="568">
        <f t="shared" si="111"/>
        <v>0</v>
      </c>
      <c r="T318" s="568">
        <f t="shared" si="111"/>
        <v>0</v>
      </c>
      <c r="U318" s="568">
        <f t="shared" si="111"/>
        <v>0</v>
      </c>
      <c r="V318" s="568">
        <f t="shared" si="111"/>
        <v>0</v>
      </c>
      <c r="W318" s="568">
        <f t="shared" si="111"/>
        <v>0</v>
      </c>
      <c r="X318" s="568">
        <f t="shared" si="111"/>
        <v>0</v>
      </c>
      <c r="Y318" s="568">
        <f t="shared" si="111"/>
        <v>0</v>
      </c>
      <c r="Z318" s="568">
        <f t="shared" si="111"/>
        <v>0</v>
      </c>
      <c r="AA318" s="568">
        <f t="shared" si="111"/>
        <v>0</v>
      </c>
      <c r="AB318" s="568">
        <f t="shared" si="111"/>
        <v>0</v>
      </c>
      <c r="AC318" s="568">
        <f t="shared" si="111"/>
        <v>0</v>
      </c>
      <c r="AD318" s="568">
        <f t="shared" si="111"/>
        <v>0</v>
      </c>
      <c r="AE318" s="568">
        <f t="shared" si="111"/>
        <v>0</v>
      </c>
      <c r="AF318" s="568">
        <f t="shared" si="111"/>
        <v>0.02</v>
      </c>
      <c r="AG318" s="568">
        <f t="shared" si="111"/>
        <v>0</v>
      </c>
      <c r="AH318" s="568">
        <f t="shared" si="111"/>
        <v>0</v>
      </c>
      <c r="AI318" s="568">
        <f t="shared" si="111"/>
        <v>0</v>
      </c>
      <c r="AJ318" s="568">
        <f t="shared" ref="AJ318:BO318" si="112">AJ142</f>
        <v>0</v>
      </c>
      <c r="AK318" s="568">
        <f t="shared" si="112"/>
        <v>0</v>
      </c>
      <c r="AL318" s="568">
        <f t="shared" si="112"/>
        <v>0</v>
      </c>
      <c r="AM318" s="568">
        <f t="shared" si="112"/>
        <v>0</v>
      </c>
      <c r="AN318" s="568">
        <f t="shared" si="112"/>
        <v>0</v>
      </c>
      <c r="AO318" s="568">
        <f t="shared" si="112"/>
        <v>0</v>
      </c>
      <c r="AP318" s="568">
        <f t="shared" si="112"/>
        <v>0.5</v>
      </c>
      <c r="AQ318" s="568">
        <f t="shared" si="112"/>
        <v>0</v>
      </c>
      <c r="AR318" s="568">
        <f t="shared" si="112"/>
        <v>0</v>
      </c>
      <c r="AS318" s="568">
        <f t="shared" si="112"/>
        <v>0</v>
      </c>
      <c r="AT318" s="568">
        <f t="shared" si="112"/>
        <v>0</v>
      </c>
      <c r="AU318" s="568">
        <f t="shared" si="112"/>
        <v>0</v>
      </c>
      <c r="AV318" s="568">
        <f t="shared" si="112"/>
        <v>0</v>
      </c>
      <c r="AW318" s="568">
        <f t="shared" si="112"/>
        <v>0</v>
      </c>
      <c r="AX318" s="568">
        <f t="shared" si="112"/>
        <v>0</v>
      </c>
      <c r="AY318" s="568">
        <f t="shared" si="112"/>
        <v>0</v>
      </c>
      <c r="AZ318" s="568">
        <f t="shared" si="112"/>
        <v>0.01</v>
      </c>
      <c r="BA318" s="568">
        <f t="shared" si="112"/>
        <v>0</v>
      </c>
      <c r="BB318" s="568">
        <f t="shared" si="112"/>
        <v>0</v>
      </c>
      <c r="BC318" s="568">
        <f t="shared" si="112"/>
        <v>0</v>
      </c>
      <c r="BD318" s="568">
        <f t="shared" si="112"/>
        <v>0</v>
      </c>
      <c r="BE318" s="568">
        <f t="shared" si="112"/>
        <v>0</v>
      </c>
      <c r="BF318" s="568">
        <f t="shared" si="112"/>
        <v>0</v>
      </c>
      <c r="BG318" s="568">
        <f t="shared" si="112"/>
        <v>0</v>
      </c>
      <c r="BH318" s="568">
        <f t="shared" si="112"/>
        <v>0</v>
      </c>
      <c r="BI318" s="568">
        <f t="shared" si="112"/>
        <v>0</v>
      </c>
      <c r="BJ318" s="568">
        <f t="shared" si="112"/>
        <v>0</v>
      </c>
      <c r="BK318" s="568">
        <f t="shared" si="112"/>
        <v>0</v>
      </c>
      <c r="BL318" s="568">
        <f t="shared" si="112"/>
        <v>0</v>
      </c>
      <c r="BM318" s="568">
        <f t="shared" si="112"/>
        <v>0</v>
      </c>
      <c r="BN318" s="568">
        <f t="shared" si="112"/>
        <v>0.1</v>
      </c>
      <c r="BO318" s="568">
        <f t="shared" si="112"/>
        <v>0</v>
      </c>
      <c r="BP318" s="568">
        <f t="shared" ref="BP318:CZ318" si="113">BP142</f>
        <v>0</v>
      </c>
      <c r="BQ318" s="568">
        <f t="shared" si="113"/>
        <v>0</v>
      </c>
      <c r="BR318" s="568">
        <f t="shared" si="113"/>
        <v>0</v>
      </c>
      <c r="BS318" s="568">
        <f t="shared" si="113"/>
        <v>0</v>
      </c>
      <c r="BT318" s="568">
        <f t="shared" si="113"/>
        <v>0</v>
      </c>
      <c r="BU318" s="568">
        <f t="shared" si="113"/>
        <v>0</v>
      </c>
      <c r="BV318" s="568">
        <f t="shared" si="113"/>
        <v>-0.05</v>
      </c>
      <c r="BW318" s="568">
        <f t="shared" si="113"/>
        <v>0</v>
      </c>
      <c r="BX318" s="568">
        <f t="shared" si="113"/>
        <v>0</v>
      </c>
      <c r="BY318" s="568">
        <f t="shared" si="113"/>
        <v>0</v>
      </c>
      <c r="BZ318" s="568">
        <f t="shared" si="113"/>
        <v>0</v>
      </c>
      <c r="CA318" s="568">
        <f t="shared" si="113"/>
        <v>0</v>
      </c>
      <c r="CB318" s="568">
        <f t="shared" si="113"/>
        <v>0</v>
      </c>
      <c r="CC318" s="568">
        <f t="shared" si="113"/>
        <v>0</v>
      </c>
      <c r="CD318" s="568">
        <f t="shared" si="113"/>
        <v>0</v>
      </c>
      <c r="CE318" s="568">
        <f t="shared" si="113"/>
        <v>0</v>
      </c>
      <c r="CF318" s="568">
        <f t="shared" si="113"/>
        <v>0</v>
      </c>
      <c r="CG318" s="568">
        <f t="shared" si="113"/>
        <v>0</v>
      </c>
      <c r="CH318" s="568">
        <f t="shared" si="113"/>
        <v>0</v>
      </c>
      <c r="CI318" s="568">
        <f t="shared" si="113"/>
        <v>0</v>
      </c>
      <c r="CJ318" s="568">
        <f t="shared" si="113"/>
        <v>0</v>
      </c>
      <c r="CK318" s="568">
        <f t="shared" si="113"/>
        <v>0</v>
      </c>
      <c r="CL318" s="568">
        <f t="shared" si="113"/>
        <v>0</v>
      </c>
      <c r="CM318" s="568">
        <f t="shared" si="113"/>
        <v>0</v>
      </c>
      <c r="CN318" s="568">
        <f t="shared" si="113"/>
        <v>0</v>
      </c>
      <c r="CO318" s="568">
        <f t="shared" si="113"/>
        <v>0</v>
      </c>
      <c r="CP318" s="568">
        <f t="shared" si="113"/>
        <v>0</v>
      </c>
      <c r="CQ318" s="568">
        <f t="shared" si="113"/>
        <v>0</v>
      </c>
      <c r="CR318" s="568">
        <f t="shared" si="113"/>
        <v>0</v>
      </c>
      <c r="CS318" s="568">
        <f t="shared" si="113"/>
        <v>0</v>
      </c>
      <c r="CT318" s="568">
        <f t="shared" si="113"/>
        <v>0</v>
      </c>
      <c r="CU318" s="568">
        <f t="shared" si="113"/>
        <v>0</v>
      </c>
      <c r="CV318" s="568">
        <f t="shared" si="113"/>
        <v>0</v>
      </c>
      <c r="CW318" s="568">
        <f t="shared" si="113"/>
        <v>0</v>
      </c>
      <c r="CX318" s="568">
        <f t="shared" si="113"/>
        <v>0</v>
      </c>
      <c r="CY318" s="568">
        <f t="shared" si="113"/>
        <v>0</v>
      </c>
      <c r="CZ318" s="568">
        <f t="shared" si="113"/>
        <v>0</v>
      </c>
    </row>
    <row r="319" spans="1:104" s="180" customFormat="1" x14ac:dyDescent="0.3">
      <c r="A319" s="567">
        <v>624</v>
      </c>
      <c r="C319" s="180">
        <v>169</v>
      </c>
      <c r="D319" s="568">
        <f t="shared" ref="D319:AI319" si="114">D169</f>
        <v>2</v>
      </c>
      <c r="E319" s="568">
        <f t="shared" si="114"/>
        <v>1</v>
      </c>
      <c r="F319" s="568">
        <f t="shared" si="114"/>
        <v>0</v>
      </c>
      <c r="G319" s="568">
        <f t="shared" si="114"/>
        <v>0</v>
      </c>
      <c r="H319" s="568">
        <f t="shared" si="114"/>
        <v>1</v>
      </c>
      <c r="I319" s="568">
        <f t="shared" si="114"/>
        <v>2</v>
      </c>
      <c r="J319" s="568">
        <f t="shared" si="114"/>
        <v>0</v>
      </c>
      <c r="K319" s="568">
        <f t="shared" si="114"/>
        <v>2</v>
      </c>
      <c r="L319" s="568">
        <f t="shared" si="114"/>
        <v>1</v>
      </c>
      <c r="M319" s="568">
        <f t="shared" si="114"/>
        <v>1</v>
      </c>
      <c r="N319" s="568">
        <f t="shared" si="114"/>
        <v>0</v>
      </c>
      <c r="O319" s="568">
        <f t="shared" si="114"/>
        <v>1</v>
      </c>
      <c r="P319" s="568">
        <f t="shared" si="114"/>
        <v>0</v>
      </c>
      <c r="Q319" s="568">
        <f t="shared" si="114"/>
        <v>1</v>
      </c>
      <c r="R319" s="568">
        <f t="shared" si="114"/>
        <v>1</v>
      </c>
      <c r="S319" s="568">
        <f t="shared" si="114"/>
        <v>1</v>
      </c>
      <c r="T319" s="568">
        <f t="shared" si="114"/>
        <v>1</v>
      </c>
      <c r="U319" s="568">
        <f t="shared" si="114"/>
        <v>0</v>
      </c>
      <c r="V319" s="568">
        <f t="shared" si="114"/>
        <v>0</v>
      </c>
      <c r="W319" s="568">
        <f t="shared" si="114"/>
        <v>0</v>
      </c>
      <c r="X319" s="568">
        <f t="shared" si="114"/>
        <v>2</v>
      </c>
      <c r="Y319" s="568">
        <f t="shared" si="114"/>
        <v>1</v>
      </c>
      <c r="Z319" s="568">
        <f t="shared" si="114"/>
        <v>2</v>
      </c>
      <c r="AA319" s="568">
        <f t="shared" si="114"/>
        <v>1</v>
      </c>
      <c r="AB319" s="568">
        <f t="shared" si="114"/>
        <v>1</v>
      </c>
      <c r="AC319" s="568">
        <f t="shared" si="114"/>
        <v>1</v>
      </c>
      <c r="AD319" s="568">
        <f t="shared" si="114"/>
        <v>1</v>
      </c>
      <c r="AE319" s="568">
        <f t="shared" si="114"/>
        <v>1</v>
      </c>
      <c r="AF319" s="568">
        <f t="shared" si="114"/>
        <v>1</v>
      </c>
      <c r="AG319" s="568">
        <f t="shared" si="114"/>
        <v>1</v>
      </c>
      <c r="AH319" s="568">
        <f t="shared" si="114"/>
        <v>2</v>
      </c>
      <c r="AI319" s="568">
        <f t="shared" si="114"/>
        <v>1</v>
      </c>
      <c r="AJ319" s="568">
        <f t="shared" ref="AJ319:BO319" si="115">AJ169</f>
        <v>1</v>
      </c>
      <c r="AK319" s="568">
        <f t="shared" si="115"/>
        <v>1</v>
      </c>
      <c r="AL319" s="568">
        <f t="shared" si="115"/>
        <v>2</v>
      </c>
      <c r="AM319" s="568">
        <f t="shared" si="115"/>
        <v>1</v>
      </c>
      <c r="AN319" s="568">
        <f t="shared" si="115"/>
        <v>2</v>
      </c>
      <c r="AO319" s="568">
        <f t="shared" si="115"/>
        <v>1</v>
      </c>
      <c r="AP319" s="568">
        <f t="shared" si="115"/>
        <v>1</v>
      </c>
      <c r="AQ319" s="568">
        <f t="shared" si="115"/>
        <v>1</v>
      </c>
      <c r="AR319" s="568">
        <f t="shared" si="115"/>
        <v>1</v>
      </c>
      <c r="AS319" s="568">
        <f t="shared" si="115"/>
        <v>1</v>
      </c>
      <c r="AT319" s="568">
        <f t="shared" si="115"/>
        <v>1</v>
      </c>
      <c r="AU319" s="568">
        <f t="shared" si="115"/>
        <v>2</v>
      </c>
      <c r="AV319" s="568">
        <f t="shared" si="115"/>
        <v>1</v>
      </c>
      <c r="AW319" s="568">
        <f t="shared" si="115"/>
        <v>1</v>
      </c>
      <c r="AX319" s="568">
        <f t="shared" si="115"/>
        <v>1</v>
      </c>
      <c r="AY319" s="568">
        <f t="shared" si="115"/>
        <v>1</v>
      </c>
      <c r="AZ319" s="568">
        <f t="shared" si="115"/>
        <v>1</v>
      </c>
      <c r="BA319" s="568">
        <f t="shared" si="115"/>
        <v>1</v>
      </c>
      <c r="BB319" s="568">
        <f t="shared" si="115"/>
        <v>1</v>
      </c>
      <c r="BC319" s="568">
        <f t="shared" si="115"/>
        <v>2</v>
      </c>
      <c r="BD319" s="568">
        <f t="shared" si="115"/>
        <v>1</v>
      </c>
      <c r="BE319" s="568">
        <f t="shared" si="115"/>
        <v>1</v>
      </c>
      <c r="BF319" s="568">
        <f t="shared" si="115"/>
        <v>1</v>
      </c>
      <c r="BG319" s="568">
        <f t="shared" si="115"/>
        <v>0</v>
      </c>
      <c r="BH319" s="568">
        <f t="shared" si="115"/>
        <v>1</v>
      </c>
      <c r="BI319" s="568">
        <f t="shared" si="115"/>
        <v>1</v>
      </c>
      <c r="BJ319" s="568">
        <f t="shared" si="115"/>
        <v>1</v>
      </c>
      <c r="BK319" s="568">
        <f t="shared" si="115"/>
        <v>2</v>
      </c>
      <c r="BL319" s="568">
        <f t="shared" si="115"/>
        <v>1</v>
      </c>
      <c r="BM319" s="568">
        <f t="shared" si="115"/>
        <v>1</v>
      </c>
      <c r="BN319" s="568">
        <f t="shared" si="115"/>
        <v>1</v>
      </c>
      <c r="BO319" s="568">
        <f t="shared" si="115"/>
        <v>1</v>
      </c>
      <c r="BP319" s="568">
        <f t="shared" ref="BP319:CZ319" si="116">BP169</f>
        <v>0</v>
      </c>
      <c r="BQ319" s="568">
        <f t="shared" si="116"/>
        <v>1</v>
      </c>
      <c r="BR319" s="568">
        <f t="shared" si="116"/>
        <v>0</v>
      </c>
      <c r="BS319" s="568">
        <f t="shared" si="116"/>
        <v>1</v>
      </c>
      <c r="BT319" s="568">
        <f t="shared" si="116"/>
        <v>1</v>
      </c>
      <c r="BU319" s="568">
        <f t="shared" si="116"/>
        <v>0</v>
      </c>
      <c r="BV319" s="568">
        <f t="shared" si="116"/>
        <v>2</v>
      </c>
      <c r="BW319" s="568">
        <f t="shared" si="116"/>
        <v>0</v>
      </c>
      <c r="BX319" s="568">
        <f t="shared" si="116"/>
        <v>0</v>
      </c>
      <c r="BY319" s="568">
        <f t="shared" si="116"/>
        <v>0</v>
      </c>
      <c r="BZ319" s="568">
        <f t="shared" si="116"/>
        <v>0</v>
      </c>
      <c r="CA319" s="568">
        <f t="shared" si="116"/>
        <v>0</v>
      </c>
      <c r="CB319" s="568">
        <f t="shared" si="116"/>
        <v>0</v>
      </c>
      <c r="CC319" s="568">
        <f t="shared" si="116"/>
        <v>0</v>
      </c>
      <c r="CD319" s="568">
        <f t="shared" si="116"/>
        <v>0</v>
      </c>
      <c r="CE319" s="568">
        <f t="shared" si="116"/>
        <v>0</v>
      </c>
      <c r="CF319" s="568">
        <f t="shared" si="116"/>
        <v>0</v>
      </c>
      <c r="CG319" s="568">
        <f t="shared" si="116"/>
        <v>0</v>
      </c>
      <c r="CH319" s="568">
        <f t="shared" si="116"/>
        <v>0</v>
      </c>
      <c r="CI319" s="568">
        <f t="shared" si="116"/>
        <v>0</v>
      </c>
      <c r="CJ319" s="568">
        <f t="shared" si="116"/>
        <v>0</v>
      </c>
      <c r="CK319" s="568">
        <f t="shared" si="116"/>
        <v>0</v>
      </c>
      <c r="CL319" s="568">
        <f t="shared" si="116"/>
        <v>0</v>
      </c>
      <c r="CM319" s="568">
        <f t="shared" si="116"/>
        <v>0</v>
      </c>
      <c r="CN319" s="568">
        <f t="shared" si="116"/>
        <v>0</v>
      </c>
      <c r="CO319" s="568">
        <f t="shared" si="116"/>
        <v>0</v>
      </c>
      <c r="CP319" s="568">
        <f t="shared" si="116"/>
        <v>0</v>
      </c>
      <c r="CQ319" s="568">
        <f t="shared" si="116"/>
        <v>0</v>
      </c>
      <c r="CR319" s="568">
        <f t="shared" si="116"/>
        <v>0</v>
      </c>
      <c r="CS319" s="568">
        <f t="shared" si="116"/>
        <v>0</v>
      </c>
      <c r="CT319" s="568">
        <f t="shared" si="116"/>
        <v>0</v>
      </c>
      <c r="CU319" s="568">
        <f t="shared" si="116"/>
        <v>0</v>
      </c>
      <c r="CV319" s="568">
        <f t="shared" si="116"/>
        <v>0</v>
      </c>
      <c r="CW319" s="568">
        <f t="shared" si="116"/>
        <v>0</v>
      </c>
      <c r="CX319" s="568">
        <f t="shared" si="116"/>
        <v>0</v>
      </c>
      <c r="CY319" s="568">
        <f t="shared" si="116"/>
        <v>0</v>
      </c>
      <c r="CZ319" s="568">
        <f t="shared" si="116"/>
        <v>0</v>
      </c>
    </row>
    <row r="320" spans="1:104" s="180" customFormat="1" x14ac:dyDescent="0.3">
      <c r="A320" s="567">
        <v>577</v>
      </c>
      <c r="C320" s="180">
        <v>150</v>
      </c>
      <c r="D320" s="568">
        <f t="shared" ref="D320:AI320" si="117">D150</f>
        <v>2</v>
      </c>
      <c r="E320" s="568">
        <f t="shared" si="117"/>
        <v>1</v>
      </c>
      <c r="F320" s="568">
        <f t="shared" si="117"/>
        <v>0</v>
      </c>
      <c r="G320" s="568">
        <f t="shared" si="117"/>
        <v>0</v>
      </c>
      <c r="H320" s="568">
        <f t="shared" si="117"/>
        <v>2</v>
      </c>
      <c r="I320" s="568">
        <f t="shared" si="117"/>
        <v>2</v>
      </c>
      <c r="J320" s="568">
        <f t="shared" si="117"/>
        <v>0</v>
      </c>
      <c r="K320" s="568">
        <f t="shared" si="117"/>
        <v>0</v>
      </c>
      <c r="L320" s="568">
        <f t="shared" si="117"/>
        <v>2</v>
      </c>
      <c r="M320" s="568">
        <f t="shared" si="117"/>
        <v>0</v>
      </c>
      <c r="N320" s="568">
        <f t="shared" si="117"/>
        <v>2</v>
      </c>
      <c r="O320" s="568">
        <f t="shared" si="117"/>
        <v>1</v>
      </c>
      <c r="P320" s="568">
        <f t="shared" si="117"/>
        <v>0</v>
      </c>
      <c r="Q320" s="568">
        <f t="shared" si="117"/>
        <v>0</v>
      </c>
      <c r="R320" s="568">
        <f t="shared" si="117"/>
        <v>2</v>
      </c>
      <c r="S320" s="568">
        <f t="shared" si="117"/>
        <v>2</v>
      </c>
      <c r="T320" s="568">
        <f t="shared" si="117"/>
        <v>0</v>
      </c>
      <c r="U320" s="568">
        <f t="shared" si="117"/>
        <v>0</v>
      </c>
      <c r="V320" s="568">
        <f t="shared" si="117"/>
        <v>0</v>
      </c>
      <c r="W320" s="568">
        <f t="shared" si="117"/>
        <v>0</v>
      </c>
      <c r="X320" s="568">
        <f t="shared" si="117"/>
        <v>2</v>
      </c>
      <c r="Y320" s="568">
        <f t="shared" si="117"/>
        <v>2</v>
      </c>
      <c r="Z320" s="568">
        <f t="shared" si="117"/>
        <v>2</v>
      </c>
      <c r="AA320" s="568">
        <f t="shared" si="117"/>
        <v>2</v>
      </c>
      <c r="AB320" s="568">
        <f t="shared" si="117"/>
        <v>2</v>
      </c>
      <c r="AC320" s="568">
        <f t="shared" si="117"/>
        <v>2</v>
      </c>
      <c r="AD320" s="568">
        <f t="shared" si="117"/>
        <v>2</v>
      </c>
      <c r="AE320" s="568">
        <f t="shared" si="117"/>
        <v>2</v>
      </c>
      <c r="AF320" s="568">
        <f t="shared" si="117"/>
        <v>2</v>
      </c>
      <c r="AG320" s="568">
        <f t="shared" si="117"/>
        <v>2</v>
      </c>
      <c r="AH320" s="568">
        <f t="shared" si="117"/>
        <v>1</v>
      </c>
      <c r="AI320" s="568">
        <f t="shared" si="117"/>
        <v>0</v>
      </c>
      <c r="AJ320" s="568">
        <f t="shared" ref="AJ320:BO320" si="118">AJ150</f>
        <v>2</v>
      </c>
      <c r="AK320" s="568">
        <f t="shared" si="118"/>
        <v>0</v>
      </c>
      <c r="AL320" s="568">
        <f t="shared" si="118"/>
        <v>0</v>
      </c>
      <c r="AM320" s="568">
        <f t="shared" si="118"/>
        <v>2</v>
      </c>
      <c r="AN320" s="568">
        <f t="shared" si="118"/>
        <v>2</v>
      </c>
      <c r="AO320" s="568">
        <f t="shared" si="118"/>
        <v>2</v>
      </c>
      <c r="AP320" s="568">
        <f t="shared" si="118"/>
        <v>2</v>
      </c>
      <c r="AQ320" s="568">
        <f t="shared" si="118"/>
        <v>2</v>
      </c>
      <c r="AR320" s="568">
        <f t="shared" si="118"/>
        <v>2</v>
      </c>
      <c r="AS320" s="568">
        <f t="shared" si="118"/>
        <v>1</v>
      </c>
      <c r="AT320" s="568">
        <f t="shared" si="118"/>
        <v>2</v>
      </c>
      <c r="AU320" s="568">
        <f t="shared" si="118"/>
        <v>2</v>
      </c>
      <c r="AV320" s="568">
        <f t="shared" si="118"/>
        <v>2</v>
      </c>
      <c r="AW320" s="568">
        <f t="shared" si="118"/>
        <v>0</v>
      </c>
      <c r="AX320" s="568">
        <f t="shared" si="118"/>
        <v>2</v>
      </c>
      <c r="AY320" s="568">
        <f t="shared" si="118"/>
        <v>0</v>
      </c>
      <c r="AZ320" s="568">
        <f t="shared" si="118"/>
        <v>2</v>
      </c>
      <c r="BA320" s="568">
        <f t="shared" si="118"/>
        <v>2</v>
      </c>
      <c r="BB320" s="568">
        <f t="shared" si="118"/>
        <v>2</v>
      </c>
      <c r="BC320" s="568">
        <f t="shared" si="118"/>
        <v>2</v>
      </c>
      <c r="BD320" s="568">
        <f t="shared" si="118"/>
        <v>2</v>
      </c>
      <c r="BE320" s="568">
        <f t="shared" si="118"/>
        <v>2</v>
      </c>
      <c r="BF320" s="568">
        <f t="shared" si="118"/>
        <v>2</v>
      </c>
      <c r="BG320" s="568">
        <f t="shared" si="118"/>
        <v>0</v>
      </c>
      <c r="BH320" s="568">
        <f t="shared" si="118"/>
        <v>2</v>
      </c>
      <c r="BI320" s="568">
        <f t="shared" si="118"/>
        <v>2</v>
      </c>
      <c r="BJ320" s="568">
        <f t="shared" si="118"/>
        <v>2</v>
      </c>
      <c r="BK320" s="568">
        <f t="shared" si="118"/>
        <v>2</v>
      </c>
      <c r="BL320" s="568">
        <f t="shared" si="118"/>
        <v>1</v>
      </c>
      <c r="BM320" s="568">
        <f t="shared" si="118"/>
        <v>2</v>
      </c>
      <c r="BN320" s="568">
        <f t="shared" si="118"/>
        <v>2</v>
      </c>
      <c r="BO320" s="568">
        <f t="shared" si="118"/>
        <v>2</v>
      </c>
      <c r="BP320" s="568">
        <f t="shared" ref="BP320:CZ320" si="119">BP150</f>
        <v>0</v>
      </c>
      <c r="BQ320" s="568">
        <f t="shared" si="119"/>
        <v>2</v>
      </c>
      <c r="BR320" s="568">
        <f t="shared" si="119"/>
        <v>0</v>
      </c>
      <c r="BS320" s="568">
        <f t="shared" si="119"/>
        <v>2</v>
      </c>
      <c r="BT320" s="568">
        <f t="shared" si="119"/>
        <v>1</v>
      </c>
      <c r="BU320" s="568">
        <f t="shared" si="119"/>
        <v>0</v>
      </c>
      <c r="BV320" s="568">
        <f t="shared" si="119"/>
        <v>2</v>
      </c>
      <c r="BW320" s="568">
        <f t="shared" si="119"/>
        <v>0</v>
      </c>
      <c r="BX320" s="568">
        <f t="shared" si="119"/>
        <v>0</v>
      </c>
      <c r="BY320" s="568">
        <f t="shared" si="119"/>
        <v>0</v>
      </c>
      <c r="BZ320" s="568">
        <f t="shared" si="119"/>
        <v>0</v>
      </c>
      <c r="CA320" s="568">
        <f t="shared" si="119"/>
        <v>0</v>
      </c>
      <c r="CB320" s="568">
        <f t="shared" si="119"/>
        <v>0</v>
      </c>
      <c r="CC320" s="568">
        <f t="shared" si="119"/>
        <v>0</v>
      </c>
      <c r="CD320" s="568">
        <f t="shared" si="119"/>
        <v>0</v>
      </c>
      <c r="CE320" s="568">
        <f t="shared" si="119"/>
        <v>0</v>
      </c>
      <c r="CF320" s="568">
        <f t="shared" si="119"/>
        <v>0</v>
      </c>
      <c r="CG320" s="568">
        <f t="shared" si="119"/>
        <v>0</v>
      </c>
      <c r="CH320" s="568">
        <f t="shared" si="119"/>
        <v>0</v>
      </c>
      <c r="CI320" s="568">
        <f t="shared" si="119"/>
        <v>0</v>
      </c>
      <c r="CJ320" s="568">
        <f t="shared" si="119"/>
        <v>0</v>
      </c>
      <c r="CK320" s="568">
        <f t="shared" si="119"/>
        <v>0</v>
      </c>
      <c r="CL320" s="568">
        <f t="shared" si="119"/>
        <v>0</v>
      </c>
      <c r="CM320" s="568">
        <f t="shared" si="119"/>
        <v>0</v>
      </c>
      <c r="CN320" s="568">
        <f t="shared" si="119"/>
        <v>0</v>
      </c>
      <c r="CO320" s="568">
        <f t="shared" si="119"/>
        <v>0</v>
      </c>
      <c r="CP320" s="568">
        <f t="shared" si="119"/>
        <v>0</v>
      </c>
      <c r="CQ320" s="568">
        <f t="shared" si="119"/>
        <v>0</v>
      </c>
      <c r="CR320" s="568">
        <f t="shared" si="119"/>
        <v>0</v>
      </c>
      <c r="CS320" s="568">
        <f t="shared" si="119"/>
        <v>0</v>
      </c>
      <c r="CT320" s="568">
        <f t="shared" si="119"/>
        <v>0</v>
      </c>
      <c r="CU320" s="568">
        <f t="shared" si="119"/>
        <v>0</v>
      </c>
      <c r="CV320" s="568">
        <f t="shared" si="119"/>
        <v>0</v>
      </c>
      <c r="CW320" s="568">
        <f t="shared" si="119"/>
        <v>0</v>
      </c>
      <c r="CX320" s="568">
        <f t="shared" si="119"/>
        <v>0</v>
      </c>
      <c r="CY320" s="568">
        <f t="shared" si="119"/>
        <v>0</v>
      </c>
      <c r="CZ320" s="568">
        <f t="shared" si="119"/>
        <v>0</v>
      </c>
    </row>
    <row r="321" spans="1:104" s="180" customFormat="1" x14ac:dyDescent="0.3">
      <c r="A321" s="567">
        <v>991</v>
      </c>
      <c r="C321" s="180">
        <v>235</v>
      </c>
      <c r="D321" s="568">
        <f t="shared" ref="D321:AI321" si="120">D235</f>
        <v>23</v>
      </c>
      <c r="E321" s="568">
        <f t="shared" si="120"/>
        <v>23</v>
      </c>
      <c r="F321" s="568">
        <f t="shared" si="120"/>
        <v>0</v>
      </c>
      <c r="G321" s="568">
        <f t="shared" si="120"/>
        <v>0</v>
      </c>
      <c r="H321" s="568">
        <f t="shared" si="120"/>
        <v>23</v>
      </c>
      <c r="I321" s="568">
        <f t="shared" si="120"/>
        <v>22</v>
      </c>
      <c r="J321" s="568">
        <f t="shared" si="120"/>
        <v>0</v>
      </c>
      <c r="K321" s="568">
        <f t="shared" si="120"/>
        <v>23</v>
      </c>
      <c r="L321" s="568">
        <f t="shared" si="120"/>
        <v>23</v>
      </c>
      <c r="M321" s="568">
        <f t="shared" si="120"/>
        <v>23</v>
      </c>
      <c r="N321" s="568">
        <f t="shared" si="120"/>
        <v>22</v>
      </c>
      <c r="O321" s="568">
        <f t="shared" si="120"/>
        <v>20</v>
      </c>
      <c r="P321" s="568">
        <f t="shared" si="120"/>
        <v>0</v>
      </c>
      <c r="Q321" s="568">
        <f t="shared" si="120"/>
        <v>23</v>
      </c>
      <c r="R321" s="568">
        <f t="shared" si="120"/>
        <v>22</v>
      </c>
      <c r="S321" s="568">
        <f t="shared" si="120"/>
        <v>20</v>
      </c>
      <c r="T321" s="568">
        <f t="shared" si="120"/>
        <v>23</v>
      </c>
      <c r="U321" s="568">
        <f t="shared" si="120"/>
        <v>0</v>
      </c>
      <c r="V321" s="568">
        <f t="shared" si="120"/>
        <v>0</v>
      </c>
      <c r="W321" s="568">
        <f t="shared" si="120"/>
        <v>0</v>
      </c>
      <c r="X321" s="568">
        <f t="shared" si="120"/>
        <v>22</v>
      </c>
      <c r="Y321" s="568">
        <f t="shared" si="120"/>
        <v>20</v>
      </c>
      <c r="Z321" s="568">
        <f t="shared" si="120"/>
        <v>23</v>
      </c>
      <c r="AA321" s="568">
        <f t="shared" si="120"/>
        <v>23</v>
      </c>
      <c r="AB321" s="568">
        <f t="shared" si="120"/>
        <v>20</v>
      </c>
      <c r="AC321" s="568">
        <f t="shared" si="120"/>
        <v>23</v>
      </c>
      <c r="AD321" s="568">
        <f t="shared" si="120"/>
        <v>23</v>
      </c>
      <c r="AE321" s="568">
        <f t="shared" si="120"/>
        <v>23</v>
      </c>
      <c r="AF321" s="568">
        <f t="shared" si="120"/>
        <v>23</v>
      </c>
      <c r="AG321" s="568">
        <f t="shared" si="120"/>
        <v>22</v>
      </c>
      <c r="AH321" s="568">
        <f t="shared" si="120"/>
        <v>23</v>
      </c>
      <c r="AI321" s="568">
        <f t="shared" si="120"/>
        <v>20</v>
      </c>
      <c r="AJ321" s="568">
        <f t="shared" ref="AJ321:BO321" si="121">AJ235</f>
        <v>23</v>
      </c>
      <c r="AK321" s="568">
        <f t="shared" si="121"/>
        <v>23</v>
      </c>
      <c r="AL321" s="568">
        <f t="shared" si="121"/>
        <v>20</v>
      </c>
      <c r="AM321" s="568">
        <f t="shared" si="121"/>
        <v>23</v>
      </c>
      <c r="AN321" s="568">
        <f t="shared" si="121"/>
        <v>23</v>
      </c>
      <c r="AO321" s="568">
        <f t="shared" si="121"/>
        <v>23</v>
      </c>
      <c r="AP321" s="568">
        <f t="shared" si="121"/>
        <v>20</v>
      </c>
      <c r="AQ321" s="568">
        <f t="shared" si="121"/>
        <v>20</v>
      </c>
      <c r="AR321" s="568">
        <f t="shared" si="121"/>
        <v>23</v>
      </c>
      <c r="AS321" s="568">
        <f t="shared" si="121"/>
        <v>20</v>
      </c>
      <c r="AT321" s="568">
        <f t="shared" si="121"/>
        <v>23</v>
      </c>
      <c r="AU321" s="568">
        <f t="shared" si="121"/>
        <v>23</v>
      </c>
      <c r="AV321" s="568">
        <f t="shared" si="121"/>
        <v>22</v>
      </c>
      <c r="AW321" s="568">
        <f t="shared" si="121"/>
        <v>22</v>
      </c>
      <c r="AX321" s="568">
        <f t="shared" si="121"/>
        <v>22</v>
      </c>
      <c r="AY321" s="568">
        <f t="shared" si="121"/>
        <v>23</v>
      </c>
      <c r="AZ321" s="568">
        <f t="shared" si="121"/>
        <v>23</v>
      </c>
      <c r="BA321" s="568">
        <f t="shared" si="121"/>
        <v>22</v>
      </c>
      <c r="BB321" s="568">
        <f t="shared" si="121"/>
        <v>23</v>
      </c>
      <c r="BC321" s="568">
        <f t="shared" si="121"/>
        <v>20</v>
      </c>
      <c r="BD321" s="568">
        <f t="shared" si="121"/>
        <v>20</v>
      </c>
      <c r="BE321" s="568">
        <f t="shared" si="121"/>
        <v>22</v>
      </c>
      <c r="BF321" s="568">
        <f t="shared" si="121"/>
        <v>23</v>
      </c>
      <c r="BG321" s="568">
        <f t="shared" si="121"/>
        <v>0</v>
      </c>
      <c r="BH321" s="568">
        <f t="shared" si="121"/>
        <v>23</v>
      </c>
      <c r="BI321" s="568">
        <f t="shared" si="121"/>
        <v>23</v>
      </c>
      <c r="BJ321" s="568">
        <f t="shared" si="121"/>
        <v>23</v>
      </c>
      <c r="BK321" s="568">
        <f t="shared" si="121"/>
        <v>23</v>
      </c>
      <c r="BL321" s="568">
        <f t="shared" si="121"/>
        <v>20</v>
      </c>
      <c r="BM321" s="568">
        <f t="shared" si="121"/>
        <v>23</v>
      </c>
      <c r="BN321" s="568">
        <f t="shared" si="121"/>
        <v>20</v>
      </c>
      <c r="BO321" s="568">
        <f t="shared" si="121"/>
        <v>23</v>
      </c>
      <c r="BP321" s="568">
        <f t="shared" ref="BP321:CZ321" si="122">BP235</f>
        <v>0</v>
      </c>
      <c r="BQ321" s="568">
        <f t="shared" si="122"/>
        <v>23</v>
      </c>
      <c r="BR321" s="568">
        <f t="shared" si="122"/>
        <v>0</v>
      </c>
      <c r="BS321" s="568">
        <f t="shared" si="122"/>
        <v>23</v>
      </c>
      <c r="BT321" s="568">
        <f t="shared" si="122"/>
        <v>22</v>
      </c>
      <c r="BU321" s="568">
        <f t="shared" si="122"/>
        <v>0</v>
      </c>
      <c r="BV321" s="568">
        <f t="shared" si="122"/>
        <v>20</v>
      </c>
      <c r="BW321" s="568">
        <f t="shared" si="122"/>
        <v>0</v>
      </c>
      <c r="BX321" s="568">
        <f t="shared" si="122"/>
        <v>0</v>
      </c>
      <c r="BY321" s="568">
        <f t="shared" si="122"/>
        <v>0</v>
      </c>
      <c r="BZ321" s="568">
        <f t="shared" si="122"/>
        <v>0</v>
      </c>
      <c r="CA321" s="568">
        <f t="shared" si="122"/>
        <v>0</v>
      </c>
      <c r="CB321" s="568">
        <f t="shared" si="122"/>
        <v>0</v>
      </c>
      <c r="CC321" s="568">
        <f t="shared" si="122"/>
        <v>0</v>
      </c>
      <c r="CD321" s="568">
        <f t="shared" si="122"/>
        <v>0</v>
      </c>
      <c r="CE321" s="568">
        <f t="shared" si="122"/>
        <v>0</v>
      </c>
      <c r="CF321" s="568">
        <f t="shared" si="122"/>
        <v>0</v>
      </c>
      <c r="CG321" s="568">
        <f t="shared" si="122"/>
        <v>0</v>
      </c>
      <c r="CH321" s="568">
        <f t="shared" si="122"/>
        <v>0</v>
      </c>
      <c r="CI321" s="568">
        <f t="shared" si="122"/>
        <v>0</v>
      </c>
      <c r="CJ321" s="568">
        <f t="shared" si="122"/>
        <v>0</v>
      </c>
      <c r="CK321" s="568">
        <f t="shared" si="122"/>
        <v>0</v>
      </c>
      <c r="CL321" s="568">
        <f t="shared" si="122"/>
        <v>0</v>
      </c>
      <c r="CM321" s="568">
        <f t="shared" si="122"/>
        <v>0</v>
      </c>
      <c r="CN321" s="568">
        <f t="shared" si="122"/>
        <v>0</v>
      </c>
      <c r="CO321" s="568">
        <f t="shared" si="122"/>
        <v>0</v>
      </c>
      <c r="CP321" s="568">
        <f t="shared" si="122"/>
        <v>0</v>
      </c>
      <c r="CQ321" s="568">
        <f t="shared" si="122"/>
        <v>0</v>
      </c>
      <c r="CR321" s="568">
        <f t="shared" si="122"/>
        <v>0</v>
      </c>
      <c r="CS321" s="568">
        <f t="shared" si="122"/>
        <v>0</v>
      </c>
      <c r="CT321" s="568">
        <f t="shared" si="122"/>
        <v>0</v>
      </c>
      <c r="CU321" s="568">
        <f t="shared" si="122"/>
        <v>0</v>
      </c>
      <c r="CV321" s="568">
        <f t="shared" si="122"/>
        <v>0</v>
      </c>
      <c r="CW321" s="568">
        <f t="shared" si="122"/>
        <v>0</v>
      </c>
      <c r="CX321" s="568">
        <f t="shared" si="122"/>
        <v>0</v>
      </c>
      <c r="CY321" s="568">
        <f t="shared" si="122"/>
        <v>0</v>
      </c>
      <c r="CZ321" s="568">
        <f t="shared" si="122"/>
        <v>0</v>
      </c>
    </row>
    <row r="322" spans="1:104" s="180" customFormat="1" x14ac:dyDescent="0.3">
      <c r="A322" s="556">
        <v>1055</v>
      </c>
      <c r="B322" s="557" t="s">
        <v>1694</v>
      </c>
      <c r="C322" s="180">
        <v>245</v>
      </c>
      <c r="D322" s="568">
        <f t="shared" ref="D322:AI322" si="123">D245</f>
        <v>2</v>
      </c>
      <c r="E322" s="568">
        <f t="shared" si="123"/>
        <v>2</v>
      </c>
      <c r="F322" s="568">
        <f t="shared" si="123"/>
        <v>0</v>
      </c>
      <c r="G322" s="568">
        <f t="shared" si="123"/>
        <v>0</v>
      </c>
      <c r="H322" s="568">
        <f t="shared" si="123"/>
        <v>2</v>
      </c>
      <c r="I322" s="568">
        <f t="shared" si="123"/>
        <v>2</v>
      </c>
      <c r="J322" s="568">
        <f t="shared" si="123"/>
        <v>0</v>
      </c>
      <c r="K322" s="568">
        <f t="shared" si="123"/>
        <v>2</v>
      </c>
      <c r="L322" s="568">
        <f t="shared" si="123"/>
        <v>2</v>
      </c>
      <c r="M322" s="568">
        <f t="shared" si="123"/>
        <v>2</v>
      </c>
      <c r="N322" s="568">
        <f t="shared" si="123"/>
        <v>2</v>
      </c>
      <c r="O322" s="568">
        <f t="shared" si="123"/>
        <v>2</v>
      </c>
      <c r="P322" s="568">
        <f t="shared" si="123"/>
        <v>0</v>
      </c>
      <c r="Q322" s="568">
        <f t="shared" si="123"/>
        <v>2</v>
      </c>
      <c r="R322" s="568">
        <f t="shared" si="123"/>
        <v>2</v>
      </c>
      <c r="S322" s="568">
        <f t="shared" si="123"/>
        <v>2</v>
      </c>
      <c r="T322" s="568">
        <f t="shared" si="123"/>
        <v>2</v>
      </c>
      <c r="U322" s="568">
        <f t="shared" si="123"/>
        <v>0</v>
      </c>
      <c r="V322" s="568">
        <f t="shared" si="123"/>
        <v>0</v>
      </c>
      <c r="W322" s="568">
        <f t="shared" si="123"/>
        <v>0</v>
      </c>
      <c r="X322" s="568">
        <f t="shared" si="123"/>
        <v>2</v>
      </c>
      <c r="Y322" s="568">
        <f t="shared" si="123"/>
        <v>2</v>
      </c>
      <c r="Z322" s="568">
        <f t="shared" si="123"/>
        <v>2</v>
      </c>
      <c r="AA322" s="568">
        <f t="shared" si="123"/>
        <v>2</v>
      </c>
      <c r="AB322" s="568">
        <f t="shared" si="123"/>
        <v>2</v>
      </c>
      <c r="AC322" s="568">
        <f t="shared" si="123"/>
        <v>2</v>
      </c>
      <c r="AD322" s="568">
        <f t="shared" si="123"/>
        <v>2</v>
      </c>
      <c r="AE322" s="568">
        <f t="shared" si="123"/>
        <v>2</v>
      </c>
      <c r="AF322" s="568">
        <f t="shared" si="123"/>
        <v>2</v>
      </c>
      <c r="AG322" s="568">
        <f t="shared" si="123"/>
        <v>2</v>
      </c>
      <c r="AH322" s="568">
        <f t="shared" si="123"/>
        <v>2</v>
      </c>
      <c r="AI322" s="568">
        <f t="shared" si="123"/>
        <v>2</v>
      </c>
      <c r="AJ322" s="568">
        <f t="shared" ref="AJ322:BO322" si="124">AJ245</f>
        <v>1</v>
      </c>
      <c r="AK322" s="568">
        <f t="shared" si="124"/>
        <v>2</v>
      </c>
      <c r="AL322" s="568">
        <f t="shared" si="124"/>
        <v>2</v>
      </c>
      <c r="AM322" s="568">
        <f t="shared" si="124"/>
        <v>2</v>
      </c>
      <c r="AN322" s="568">
        <f t="shared" si="124"/>
        <v>2</v>
      </c>
      <c r="AO322" s="568">
        <f t="shared" si="124"/>
        <v>2</v>
      </c>
      <c r="AP322" s="568">
        <f t="shared" si="124"/>
        <v>2</v>
      </c>
      <c r="AQ322" s="568">
        <f t="shared" si="124"/>
        <v>2</v>
      </c>
      <c r="AR322" s="568">
        <f t="shared" si="124"/>
        <v>2</v>
      </c>
      <c r="AS322" s="568">
        <f t="shared" si="124"/>
        <v>2</v>
      </c>
      <c r="AT322" s="568">
        <f t="shared" si="124"/>
        <v>2</v>
      </c>
      <c r="AU322" s="568">
        <f t="shared" si="124"/>
        <v>2</v>
      </c>
      <c r="AV322" s="568">
        <f t="shared" si="124"/>
        <v>2</v>
      </c>
      <c r="AW322" s="568">
        <f t="shared" si="124"/>
        <v>2</v>
      </c>
      <c r="AX322" s="568">
        <f t="shared" si="124"/>
        <v>2</v>
      </c>
      <c r="AY322" s="568">
        <f t="shared" si="124"/>
        <v>2</v>
      </c>
      <c r="AZ322" s="568">
        <f t="shared" si="124"/>
        <v>2</v>
      </c>
      <c r="BA322" s="568">
        <f t="shared" si="124"/>
        <v>2</v>
      </c>
      <c r="BB322" s="568">
        <f t="shared" si="124"/>
        <v>2</v>
      </c>
      <c r="BC322" s="568">
        <f t="shared" si="124"/>
        <v>2</v>
      </c>
      <c r="BD322" s="568">
        <f t="shared" si="124"/>
        <v>2</v>
      </c>
      <c r="BE322" s="568">
        <f t="shared" si="124"/>
        <v>2</v>
      </c>
      <c r="BF322" s="568">
        <f t="shared" si="124"/>
        <v>2</v>
      </c>
      <c r="BG322" s="568">
        <f t="shared" si="124"/>
        <v>0</v>
      </c>
      <c r="BH322" s="568">
        <f t="shared" si="124"/>
        <v>2</v>
      </c>
      <c r="BI322" s="568">
        <f t="shared" si="124"/>
        <v>2</v>
      </c>
      <c r="BJ322" s="568">
        <f t="shared" si="124"/>
        <v>2</v>
      </c>
      <c r="BK322" s="568">
        <f t="shared" si="124"/>
        <v>2</v>
      </c>
      <c r="BL322" s="568">
        <f t="shared" si="124"/>
        <v>2</v>
      </c>
      <c r="BM322" s="568">
        <f t="shared" si="124"/>
        <v>2</v>
      </c>
      <c r="BN322" s="568">
        <f t="shared" si="124"/>
        <v>2</v>
      </c>
      <c r="BO322" s="568">
        <f t="shared" si="124"/>
        <v>2</v>
      </c>
      <c r="BP322" s="568">
        <f t="shared" ref="BP322:CZ322" si="125">BP245</f>
        <v>0</v>
      </c>
      <c r="BQ322" s="568">
        <f t="shared" si="125"/>
        <v>2</v>
      </c>
      <c r="BR322" s="568">
        <f t="shared" si="125"/>
        <v>0</v>
      </c>
      <c r="BS322" s="568">
        <f t="shared" si="125"/>
        <v>2</v>
      </c>
      <c r="BT322" s="568">
        <f t="shared" si="125"/>
        <v>2</v>
      </c>
      <c r="BU322" s="568">
        <f t="shared" si="125"/>
        <v>0</v>
      </c>
      <c r="BV322" s="568">
        <f t="shared" si="125"/>
        <v>2</v>
      </c>
      <c r="BW322" s="568">
        <f t="shared" si="125"/>
        <v>0</v>
      </c>
      <c r="BX322" s="568">
        <f t="shared" si="125"/>
        <v>0</v>
      </c>
      <c r="BY322" s="568">
        <f t="shared" si="125"/>
        <v>0</v>
      </c>
      <c r="BZ322" s="568">
        <f t="shared" si="125"/>
        <v>0</v>
      </c>
      <c r="CA322" s="568">
        <f t="shared" si="125"/>
        <v>0</v>
      </c>
      <c r="CB322" s="568">
        <f t="shared" si="125"/>
        <v>0</v>
      </c>
      <c r="CC322" s="568">
        <f t="shared" si="125"/>
        <v>0</v>
      </c>
      <c r="CD322" s="568">
        <f t="shared" si="125"/>
        <v>0</v>
      </c>
      <c r="CE322" s="568">
        <f t="shared" si="125"/>
        <v>0</v>
      </c>
      <c r="CF322" s="568">
        <f t="shared" si="125"/>
        <v>0</v>
      </c>
      <c r="CG322" s="568">
        <f t="shared" si="125"/>
        <v>0</v>
      </c>
      <c r="CH322" s="568">
        <f t="shared" si="125"/>
        <v>0</v>
      </c>
      <c r="CI322" s="568">
        <f t="shared" si="125"/>
        <v>0</v>
      </c>
      <c r="CJ322" s="568">
        <f t="shared" si="125"/>
        <v>0</v>
      </c>
      <c r="CK322" s="568">
        <f t="shared" si="125"/>
        <v>0</v>
      </c>
      <c r="CL322" s="568">
        <f t="shared" si="125"/>
        <v>0</v>
      </c>
      <c r="CM322" s="568">
        <f t="shared" si="125"/>
        <v>0</v>
      </c>
      <c r="CN322" s="568">
        <f t="shared" si="125"/>
        <v>0</v>
      </c>
      <c r="CO322" s="568">
        <f t="shared" si="125"/>
        <v>0</v>
      </c>
      <c r="CP322" s="568">
        <f t="shared" si="125"/>
        <v>0</v>
      </c>
      <c r="CQ322" s="568">
        <f t="shared" si="125"/>
        <v>0</v>
      </c>
      <c r="CR322" s="568">
        <f t="shared" si="125"/>
        <v>0</v>
      </c>
      <c r="CS322" s="568">
        <f t="shared" si="125"/>
        <v>0</v>
      </c>
      <c r="CT322" s="568">
        <f t="shared" si="125"/>
        <v>0</v>
      </c>
      <c r="CU322" s="568">
        <f t="shared" si="125"/>
        <v>0</v>
      </c>
      <c r="CV322" s="568">
        <f t="shared" si="125"/>
        <v>0</v>
      </c>
      <c r="CW322" s="568">
        <f t="shared" si="125"/>
        <v>0</v>
      </c>
      <c r="CX322" s="568">
        <f t="shared" si="125"/>
        <v>0</v>
      </c>
      <c r="CY322" s="568">
        <f t="shared" si="125"/>
        <v>0</v>
      </c>
      <c r="CZ322" s="568">
        <f t="shared" si="125"/>
        <v>0</v>
      </c>
    </row>
    <row r="323" spans="1:104" s="180" customFormat="1" x14ac:dyDescent="0.3">
      <c r="A323" s="556">
        <v>1056</v>
      </c>
      <c r="B323" s="557" t="s">
        <v>1695</v>
      </c>
      <c r="C323" s="180">
        <v>246</v>
      </c>
      <c r="D323" s="568">
        <f t="shared" ref="D323:AI323" si="126">D246</f>
        <v>2</v>
      </c>
      <c r="E323" s="568">
        <f t="shared" si="126"/>
        <v>2</v>
      </c>
      <c r="F323" s="568">
        <f t="shared" si="126"/>
        <v>0</v>
      </c>
      <c r="G323" s="568">
        <f t="shared" si="126"/>
        <v>0</v>
      </c>
      <c r="H323" s="568">
        <f t="shared" si="126"/>
        <v>2</v>
      </c>
      <c r="I323" s="568">
        <f t="shared" si="126"/>
        <v>2</v>
      </c>
      <c r="J323" s="568">
        <f t="shared" si="126"/>
        <v>0</v>
      </c>
      <c r="K323" s="568">
        <f t="shared" si="126"/>
        <v>2</v>
      </c>
      <c r="L323" s="568">
        <f t="shared" si="126"/>
        <v>2</v>
      </c>
      <c r="M323" s="568">
        <f t="shared" si="126"/>
        <v>2</v>
      </c>
      <c r="N323" s="568">
        <f t="shared" si="126"/>
        <v>2</v>
      </c>
      <c r="O323" s="568">
        <f t="shared" si="126"/>
        <v>2</v>
      </c>
      <c r="P323" s="568">
        <f t="shared" si="126"/>
        <v>0</v>
      </c>
      <c r="Q323" s="568">
        <f t="shared" si="126"/>
        <v>1</v>
      </c>
      <c r="R323" s="568">
        <f t="shared" si="126"/>
        <v>2</v>
      </c>
      <c r="S323" s="568">
        <f t="shared" si="126"/>
        <v>2</v>
      </c>
      <c r="T323" s="568">
        <f t="shared" si="126"/>
        <v>2</v>
      </c>
      <c r="U323" s="568">
        <f t="shared" si="126"/>
        <v>0</v>
      </c>
      <c r="V323" s="568">
        <f t="shared" si="126"/>
        <v>0</v>
      </c>
      <c r="W323" s="568">
        <f t="shared" si="126"/>
        <v>0</v>
      </c>
      <c r="X323" s="568">
        <f t="shared" si="126"/>
        <v>2</v>
      </c>
      <c r="Y323" s="568">
        <f t="shared" si="126"/>
        <v>2</v>
      </c>
      <c r="Z323" s="568">
        <f t="shared" si="126"/>
        <v>2</v>
      </c>
      <c r="AA323" s="568">
        <f t="shared" si="126"/>
        <v>2</v>
      </c>
      <c r="AB323" s="568">
        <f t="shared" si="126"/>
        <v>2</v>
      </c>
      <c r="AC323" s="568">
        <f t="shared" si="126"/>
        <v>2</v>
      </c>
      <c r="AD323" s="568">
        <f t="shared" si="126"/>
        <v>2</v>
      </c>
      <c r="AE323" s="568">
        <f t="shared" si="126"/>
        <v>2</v>
      </c>
      <c r="AF323" s="568">
        <f t="shared" si="126"/>
        <v>2</v>
      </c>
      <c r="AG323" s="568">
        <f t="shared" si="126"/>
        <v>2</v>
      </c>
      <c r="AH323" s="568">
        <f t="shared" si="126"/>
        <v>1</v>
      </c>
      <c r="AI323" s="568">
        <f t="shared" si="126"/>
        <v>2</v>
      </c>
      <c r="AJ323" s="568">
        <f t="shared" ref="AJ323:BO323" si="127">AJ246</f>
        <v>1</v>
      </c>
      <c r="AK323" s="568">
        <f t="shared" si="127"/>
        <v>2</v>
      </c>
      <c r="AL323" s="568">
        <f t="shared" si="127"/>
        <v>2</v>
      </c>
      <c r="AM323" s="568">
        <f t="shared" si="127"/>
        <v>2</v>
      </c>
      <c r="AN323" s="568">
        <f t="shared" si="127"/>
        <v>2</v>
      </c>
      <c r="AO323" s="568">
        <f t="shared" si="127"/>
        <v>2</v>
      </c>
      <c r="AP323" s="568">
        <f t="shared" si="127"/>
        <v>2</v>
      </c>
      <c r="AQ323" s="568">
        <f t="shared" si="127"/>
        <v>2</v>
      </c>
      <c r="AR323" s="568">
        <f t="shared" si="127"/>
        <v>2</v>
      </c>
      <c r="AS323" s="568">
        <f t="shared" si="127"/>
        <v>2</v>
      </c>
      <c r="AT323" s="568">
        <f t="shared" si="127"/>
        <v>2</v>
      </c>
      <c r="AU323" s="568">
        <f t="shared" si="127"/>
        <v>2</v>
      </c>
      <c r="AV323" s="568">
        <f t="shared" si="127"/>
        <v>2</v>
      </c>
      <c r="AW323" s="568">
        <f t="shared" si="127"/>
        <v>2</v>
      </c>
      <c r="AX323" s="568">
        <f t="shared" si="127"/>
        <v>2</v>
      </c>
      <c r="AY323" s="568">
        <f t="shared" si="127"/>
        <v>2</v>
      </c>
      <c r="AZ323" s="568">
        <f t="shared" si="127"/>
        <v>2</v>
      </c>
      <c r="BA323" s="568">
        <f t="shared" si="127"/>
        <v>2</v>
      </c>
      <c r="BB323" s="568">
        <f t="shared" si="127"/>
        <v>2</v>
      </c>
      <c r="BC323" s="568">
        <f t="shared" si="127"/>
        <v>2</v>
      </c>
      <c r="BD323" s="568">
        <f t="shared" si="127"/>
        <v>2</v>
      </c>
      <c r="BE323" s="568">
        <f t="shared" si="127"/>
        <v>2</v>
      </c>
      <c r="BF323" s="568">
        <f t="shared" si="127"/>
        <v>2</v>
      </c>
      <c r="BG323" s="568">
        <f t="shared" si="127"/>
        <v>0</v>
      </c>
      <c r="BH323" s="568">
        <f t="shared" si="127"/>
        <v>2</v>
      </c>
      <c r="BI323" s="568">
        <f t="shared" si="127"/>
        <v>1</v>
      </c>
      <c r="BJ323" s="568">
        <f t="shared" si="127"/>
        <v>2</v>
      </c>
      <c r="BK323" s="568">
        <f t="shared" si="127"/>
        <v>2</v>
      </c>
      <c r="BL323" s="568">
        <f t="shared" si="127"/>
        <v>2</v>
      </c>
      <c r="BM323" s="568">
        <f t="shared" si="127"/>
        <v>2</v>
      </c>
      <c r="BN323" s="568">
        <f t="shared" si="127"/>
        <v>2</v>
      </c>
      <c r="BO323" s="568">
        <f t="shared" si="127"/>
        <v>2</v>
      </c>
      <c r="BP323" s="568">
        <f t="shared" ref="BP323:CZ323" si="128">BP246</f>
        <v>0</v>
      </c>
      <c r="BQ323" s="568">
        <f t="shared" si="128"/>
        <v>2</v>
      </c>
      <c r="BR323" s="568">
        <f t="shared" si="128"/>
        <v>0</v>
      </c>
      <c r="BS323" s="568">
        <f t="shared" si="128"/>
        <v>2</v>
      </c>
      <c r="BT323" s="568">
        <f t="shared" si="128"/>
        <v>2</v>
      </c>
      <c r="BU323" s="568">
        <f t="shared" si="128"/>
        <v>0</v>
      </c>
      <c r="BV323" s="568">
        <f t="shared" si="128"/>
        <v>2</v>
      </c>
      <c r="BW323" s="568">
        <f t="shared" si="128"/>
        <v>0</v>
      </c>
      <c r="BX323" s="568">
        <f t="shared" si="128"/>
        <v>0</v>
      </c>
      <c r="BY323" s="568">
        <f t="shared" si="128"/>
        <v>0</v>
      </c>
      <c r="BZ323" s="568">
        <f t="shared" si="128"/>
        <v>0</v>
      </c>
      <c r="CA323" s="568">
        <f t="shared" si="128"/>
        <v>0</v>
      </c>
      <c r="CB323" s="568">
        <f t="shared" si="128"/>
        <v>0</v>
      </c>
      <c r="CC323" s="568">
        <f t="shared" si="128"/>
        <v>0</v>
      </c>
      <c r="CD323" s="568">
        <f t="shared" si="128"/>
        <v>0</v>
      </c>
      <c r="CE323" s="568">
        <f t="shared" si="128"/>
        <v>0</v>
      </c>
      <c r="CF323" s="568">
        <f t="shared" si="128"/>
        <v>0</v>
      </c>
      <c r="CG323" s="568">
        <f t="shared" si="128"/>
        <v>0</v>
      </c>
      <c r="CH323" s="568">
        <f t="shared" si="128"/>
        <v>0</v>
      </c>
      <c r="CI323" s="568">
        <f t="shared" si="128"/>
        <v>0</v>
      </c>
      <c r="CJ323" s="568">
        <f t="shared" si="128"/>
        <v>0</v>
      </c>
      <c r="CK323" s="568">
        <f t="shared" si="128"/>
        <v>0</v>
      </c>
      <c r="CL323" s="568">
        <f t="shared" si="128"/>
        <v>0</v>
      </c>
      <c r="CM323" s="568">
        <f t="shared" si="128"/>
        <v>0</v>
      </c>
      <c r="CN323" s="568">
        <f t="shared" si="128"/>
        <v>0</v>
      </c>
      <c r="CO323" s="568">
        <f t="shared" si="128"/>
        <v>0</v>
      </c>
      <c r="CP323" s="568">
        <f t="shared" si="128"/>
        <v>0</v>
      </c>
      <c r="CQ323" s="568">
        <f t="shared" si="128"/>
        <v>0</v>
      </c>
      <c r="CR323" s="568">
        <f t="shared" si="128"/>
        <v>0</v>
      </c>
      <c r="CS323" s="568">
        <f t="shared" si="128"/>
        <v>0</v>
      </c>
      <c r="CT323" s="568">
        <f t="shared" si="128"/>
        <v>0</v>
      </c>
      <c r="CU323" s="568">
        <f t="shared" si="128"/>
        <v>0</v>
      </c>
      <c r="CV323" s="568">
        <f t="shared" si="128"/>
        <v>0</v>
      </c>
      <c r="CW323" s="568">
        <f t="shared" si="128"/>
        <v>0</v>
      </c>
      <c r="CX323" s="568">
        <f t="shared" si="128"/>
        <v>0</v>
      </c>
      <c r="CY323" s="568">
        <f t="shared" si="128"/>
        <v>0</v>
      </c>
      <c r="CZ323" s="568">
        <f t="shared" si="128"/>
        <v>0</v>
      </c>
    </row>
    <row r="324" spans="1:104" s="180" customFormat="1" x14ac:dyDescent="0.3">
      <c r="A324" s="556">
        <v>1057</v>
      </c>
      <c r="B324" s="557" t="s">
        <v>1514</v>
      </c>
      <c r="C324" s="180">
        <v>247</v>
      </c>
      <c r="D324" s="568">
        <f t="shared" ref="D324:AI324" si="129">D247</f>
        <v>2</v>
      </c>
      <c r="E324" s="568">
        <f t="shared" si="129"/>
        <v>2</v>
      </c>
      <c r="F324" s="568">
        <f t="shared" si="129"/>
        <v>0</v>
      </c>
      <c r="G324" s="568">
        <f t="shared" si="129"/>
        <v>0</v>
      </c>
      <c r="H324" s="568">
        <f t="shared" si="129"/>
        <v>2</v>
      </c>
      <c r="I324" s="568">
        <f t="shared" si="129"/>
        <v>1</v>
      </c>
      <c r="J324" s="568">
        <f t="shared" si="129"/>
        <v>0</v>
      </c>
      <c r="K324" s="568">
        <f t="shared" si="129"/>
        <v>2</v>
      </c>
      <c r="L324" s="568">
        <f t="shared" si="129"/>
        <v>2</v>
      </c>
      <c r="M324" s="568">
        <f t="shared" si="129"/>
        <v>2</v>
      </c>
      <c r="N324" s="568">
        <f t="shared" si="129"/>
        <v>2</v>
      </c>
      <c r="O324" s="568">
        <f t="shared" si="129"/>
        <v>2</v>
      </c>
      <c r="P324" s="568">
        <f t="shared" si="129"/>
        <v>0</v>
      </c>
      <c r="Q324" s="568">
        <f t="shared" si="129"/>
        <v>1</v>
      </c>
      <c r="R324" s="568">
        <f t="shared" si="129"/>
        <v>2</v>
      </c>
      <c r="S324" s="568">
        <f t="shared" si="129"/>
        <v>2</v>
      </c>
      <c r="T324" s="568">
        <f t="shared" si="129"/>
        <v>2</v>
      </c>
      <c r="U324" s="568">
        <f t="shared" si="129"/>
        <v>0</v>
      </c>
      <c r="V324" s="568">
        <f t="shared" si="129"/>
        <v>0</v>
      </c>
      <c r="W324" s="568">
        <f t="shared" si="129"/>
        <v>0</v>
      </c>
      <c r="X324" s="568">
        <f t="shared" si="129"/>
        <v>2</v>
      </c>
      <c r="Y324" s="568">
        <f t="shared" si="129"/>
        <v>2</v>
      </c>
      <c r="Z324" s="568">
        <f t="shared" si="129"/>
        <v>2</v>
      </c>
      <c r="AA324" s="568">
        <f t="shared" si="129"/>
        <v>1</v>
      </c>
      <c r="AB324" s="568">
        <f t="shared" si="129"/>
        <v>2</v>
      </c>
      <c r="AC324" s="568">
        <f t="shared" si="129"/>
        <v>2</v>
      </c>
      <c r="AD324" s="568">
        <f t="shared" si="129"/>
        <v>2</v>
      </c>
      <c r="AE324" s="568">
        <f t="shared" si="129"/>
        <v>2</v>
      </c>
      <c r="AF324" s="568">
        <f t="shared" si="129"/>
        <v>1</v>
      </c>
      <c r="AG324" s="568">
        <f t="shared" si="129"/>
        <v>1</v>
      </c>
      <c r="AH324" s="568">
        <f t="shared" si="129"/>
        <v>2</v>
      </c>
      <c r="AI324" s="568">
        <f t="shared" si="129"/>
        <v>1</v>
      </c>
      <c r="AJ324" s="568">
        <f t="shared" ref="AJ324:BO324" si="130">AJ247</f>
        <v>1</v>
      </c>
      <c r="AK324" s="568">
        <f t="shared" si="130"/>
        <v>2</v>
      </c>
      <c r="AL324" s="568">
        <f t="shared" si="130"/>
        <v>2</v>
      </c>
      <c r="AM324" s="568">
        <f t="shared" si="130"/>
        <v>2</v>
      </c>
      <c r="AN324" s="568">
        <f t="shared" si="130"/>
        <v>2</v>
      </c>
      <c r="AO324" s="568">
        <f t="shared" si="130"/>
        <v>2</v>
      </c>
      <c r="AP324" s="568">
        <f t="shared" si="130"/>
        <v>2</v>
      </c>
      <c r="AQ324" s="568">
        <f t="shared" si="130"/>
        <v>2</v>
      </c>
      <c r="AR324" s="568">
        <f t="shared" si="130"/>
        <v>2</v>
      </c>
      <c r="AS324" s="568">
        <f t="shared" si="130"/>
        <v>2</v>
      </c>
      <c r="AT324" s="568">
        <f t="shared" si="130"/>
        <v>2</v>
      </c>
      <c r="AU324" s="568">
        <f t="shared" si="130"/>
        <v>2</v>
      </c>
      <c r="AV324" s="568">
        <f t="shared" si="130"/>
        <v>1</v>
      </c>
      <c r="AW324" s="568">
        <f t="shared" si="130"/>
        <v>2</v>
      </c>
      <c r="AX324" s="568">
        <f t="shared" si="130"/>
        <v>1</v>
      </c>
      <c r="AY324" s="568">
        <f t="shared" si="130"/>
        <v>2</v>
      </c>
      <c r="AZ324" s="568">
        <f t="shared" si="130"/>
        <v>2</v>
      </c>
      <c r="BA324" s="568">
        <f t="shared" si="130"/>
        <v>2</v>
      </c>
      <c r="BB324" s="568">
        <f t="shared" si="130"/>
        <v>2</v>
      </c>
      <c r="BC324" s="568">
        <f t="shared" si="130"/>
        <v>2</v>
      </c>
      <c r="BD324" s="568">
        <f t="shared" si="130"/>
        <v>2</v>
      </c>
      <c r="BE324" s="568">
        <f t="shared" si="130"/>
        <v>2</v>
      </c>
      <c r="BF324" s="568">
        <f t="shared" si="130"/>
        <v>2</v>
      </c>
      <c r="BG324" s="568">
        <f t="shared" si="130"/>
        <v>0</v>
      </c>
      <c r="BH324" s="568">
        <f t="shared" si="130"/>
        <v>2</v>
      </c>
      <c r="BI324" s="568">
        <f t="shared" si="130"/>
        <v>2</v>
      </c>
      <c r="BJ324" s="568">
        <f t="shared" si="130"/>
        <v>2</v>
      </c>
      <c r="BK324" s="568">
        <f t="shared" si="130"/>
        <v>2</v>
      </c>
      <c r="BL324" s="568">
        <f t="shared" si="130"/>
        <v>2</v>
      </c>
      <c r="BM324" s="568">
        <f t="shared" si="130"/>
        <v>2</v>
      </c>
      <c r="BN324" s="568">
        <f t="shared" si="130"/>
        <v>1</v>
      </c>
      <c r="BO324" s="568">
        <f t="shared" si="130"/>
        <v>2</v>
      </c>
      <c r="BP324" s="568">
        <f t="shared" ref="BP324:CZ324" si="131">BP247</f>
        <v>0</v>
      </c>
      <c r="BQ324" s="568">
        <f t="shared" si="131"/>
        <v>2</v>
      </c>
      <c r="BR324" s="568">
        <f t="shared" si="131"/>
        <v>0</v>
      </c>
      <c r="BS324" s="568">
        <f t="shared" si="131"/>
        <v>2</v>
      </c>
      <c r="BT324" s="568">
        <f t="shared" si="131"/>
        <v>1</v>
      </c>
      <c r="BU324" s="568">
        <f t="shared" si="131"/>
        <v>0</v>
      </c>
      <c r="BV324" s="568">
        <f t="shared" si="131"/>
        <v>2</v>
      </c>
      <c r="BW324" s="568">
        <f t="shared" si="131"/>
        <v>0</v>
      </c>
      <c r="BX324" s="568">
        <f t="shared" si="131"/>
        <v>0</v>
      </c>
      <c r="BY324" s="568">
        <f t="shared" si="131"/>
        <v>0</v>
      </c>
      <c r="BZ324" s="568">
        <f t="shared" si="131"/>
        <v>0</v>
      </c>
      <c r="CA324" s="568">
        <f t="shared" si="131"/>
        <v>0</v>
      </c>
      <c r="CB324" s="568">
        <f t="shared" si="131"/>
        <v>0</v>
      </c>
      <c r="CC324" s="568">
        <f t="shared" si="131"/>
        <v>0</v>
      </c>
      <c r="CD324" s="568">
        <f t="shared" si="131"/>
        <v>0</v>
      </c>
      <c r="CE324" s="568">
        <f t="shared" si="131"/>
        <v>0</v>
      </c>
      <c r="CF324" s="568">
        <f t="shared" si="131"/>
        <v>0</v>
      </c>
      <c r="CG324" s="568">
        <f t="shared" si="131"/>
        <v>0</v>
      </c>
      <c r="CH324" s="568">
        <f t="shared" si="131"/>
        <v>0</v>
      </c>
      <c r="CI324" s="568">
        <f t="shared" si="131"/>
        <v>0</v>
      </c>
      <c r="CJ324" s="568">
        <f t="shared" si="131"/>
        <v>0</v>
      </c>
      <c r="CK324" s="568">
        <f t="shared" si="131"/>
        <v>0</v>
      </c>
      <c r="CL324" s="568">
        <f t="shared" si="131"/>
        <v>0</v>
      </c>
      <c r="CM324" s="568">
        <f t="shared" si="131"/>
        <v>0</v>
      </c>
      <c r="CN324" s="568">
        <f t="shared" si="131"/>
        <v>0</v>
      </c>
      <c r="CO324" s="568">
        <f t="shared" si="131"/>
        <v>0</v>
      </c>
      <c r="CP324" s="568">
        <f t="shared" si="131"/>
        <v>0</v>
      </c>
      <c r="CQ324" s="568">
        <f t="shared" si="131"/>
        <v>0</v>
      </c>
      <c r="CR324" s="568">
        <f t="shared" si="131"/>
        <v>0</v>
      </c>
      <c r="CS324" s="568">
        <f t="shared" si="131"/>
        <v>0</v>
      </c>
      <c r="CT324" s="568">
        <f t="shared" si="131"/>
        <v>0</v>
      </c>
      <c r="CU324" s="568">
        <f t="shared" si="131"/>
        <v>0</v>
      </c>
      <c r="CV324" s="568">
        <f t="shared" si="131"/>
        <v>0</v>
      </c>
      <c r="CW324" s="568">
        <f t="shared" si="131"/>
        <v>0</v>
      </c>
      <c r="CX324" s="568">
        <f t="shared" si="131"/>
        <v>0</v>
      </c>
      <c r="CY324" s="568">
        <f t="shared" si="131"/>
        <v>0</v>
      </c>
      <c r="CZ324" s="568">
        <f t="shared" si="131"/>
        <v>0</v>
      </c>
    </row>
    <row r="325" spans="1:104" s="180" customFormat="1" x14ac:dyDescent="0.3">
      <c r="A325" s="556">
        <v>1058</v>
      </c>
      <c r="B325" s="557" t="s">
        <v>1515</v>
      </c>
      <c r="C325" s="180">
        <v>248</v>
      </c>
      <c r="D325" s="568">
        <f t="shared" ref="D325:AI325" si="132">D248</f>
        <v>2</v>
      </c>
      <c r="E325" s="568">
        <f t="shared" si="132"/>
        <v>2</v>
      </c>
      <c r="F325" s="568">
        <f t="shared" si="132"/>
        <v>0</v>
      </c>
      <c r="G325" s="568">
        <f t="shared" si="132"/>
        <v>0</v>
      </c>
      <c r="H325" s="568">
        <f t="shared" si="132"/>
        <v>2</v>
      </c>
      <c r="I325" s="568">
        <f t="shared" si="132"/>
        <v>2</v>
      </c>
      <c r="J325" s="568">
        <f t="shared" si="132"/>
        <v>0</v>
      </c>
      <c r="K325" s="568">
        <f t="shared" si="132"/>
        <v>2</v>
      </c>
      <c r="L325" s="568">
        <f t="shared" si="132"/>
        <v>2</v>
      </c>
      <c r="M325" s="568">
        <f t="shared" si="132"/>
        <v>2</v>
      </c>
      <c r="N325" s="568">
        <f t="shared" si="132"/>
        <v>2</v>
      </c>
      <c r="O325" s="568">
        <f t="shared" si="132"/>
        <v>2</v>
      </c>
      <c r="P325" s="568">
        <f t="shared" si="132"/>
        <v>0</v>
      </c>
      <c r="Q325" s="568">
        <f t="shared" si="132"/>
        <v>1</v>
      </c>
      <c r="R325" s="568">
        <f t="shared" si="132"/>
        <v>2</v>
      </c>
      <c r="S325" s="568">
        <f t="shared" si="132"/>
        <v>2</v>
      </c>
      <c r="T325" s="568">
        <f t="shared" si="132"/>
        <v>2</v>
      </c>
      <c r="U325" s="568">
        <f t="shared" si="132"/>
        <v>0</v>
      </c>
      <c r="V325" s="568">
        <f t="shared" si="132"/>
        <v>0</v>
      </c>
      <c r="W325" s="568">
        <f t="shared" si="132"/>
        <v>0</v>
      </c>
      <c r="X325" s="568">
        <f t="shared" si="132"/>
        <v>2</v>
      </c>
      <c r="Y325" s="568">
        <f t="shared" si="132"/>
        <v>2</v>
      </c>
      <c r="Z325" s="568">
        <f t="shared" si="132"/>
        <v>2</v>
      </c>
      <c r="AA325" s="568">
        <f t="shared" si="132"/>
        <v>2</v>
      </c>
      <c r="AB325" s="568">
        <f t="shared" si="132"/>
        <v>2</v>
      </c>
      <c r="AC325" s="568">
        <f t="shared" si="132"/>
        <v>2</v>
      </c>
      <c r="AD325" s="568">
        <f t="shared" si="132"/>
        <v>2</v>
      </c>
      <c r="AE325" s="568">
        <f t="shared" si="132"/>
        <v>2</v>
      </c>
      <c r="AF325" s="568">
        <f t="shared" si="132"/>
        <v>2</v>
      </c>
      <c r="AG325" s="568">
        <f t="shared" si="132"/>
        <v>2</v>
      </c>
      <c r="AH325" s="568">
        <f t="shared" si="132"/>
        <v>2</v>
      </c>
      <c r="AI325" s="568">
        <f t="shared" si="132"/>
        <v>2</v>
      </c>
      <c r="AJ325" s="568">
        <f t="shared" ref="AJ325:BO325" si="133">AJ248</f>
        <v>1</v>
      </c>
      <c r="AK325" s="568">
        <f t="shared" si="133"/>
        <v>2</v>
      </c>
      <c r="AL325" s="568">
        <f t="shared" si="133"/>
        <v>2</v>
      </c>
      <c r="AM325" s="568">
        <f t="shared" si="133"/>
        <v>1</v>
      </c>
      <c r="AN325" s="568">
        <f t="shared" si="133"/>
        <v>1</v>
      </c>
      <c r="AO325" s="568">
        <f t="shared" si="133"/>
        <v>1</v>
      </c>
      <c r="AP325" s="568">
        <f t="shared" si="133"/>
        <v>2</v>
      </c>
      <c r="AQ325" s="568">
        <f t="shared" si="133"/>
        <v>2</v>
      </c>
      <c r="AR325" s="568">
        <f t="shared" si="133"/>
        <v>2</v>
      </c>
      <c r="AS325" s="568">
        <f t="shared" si="133"/>
        <v>2</v>
      </c>
      <c r="AT325" s="568">
        <f t="shared" si="133"/>
        <v>2</v>
      </c>
      <c r="AU325" s="568">
        <f t="shared" si="133"/>
        <v>2</v>
      </c>
      <c r="AV325" s="568">
        <f t="shared" si="133"/>
        <v>2</v>
      </c>
      <c r="AW325" s="568">
        <f t="shared" si="133"/>
        <v>2</v>
      </c>
      <c r="AX325" s="568">
        <f t="shared" si="133"/>
        <v>2</v>
      </c>
      <c r="AY325" s="568">
        <f t="shared" si="133"/>
        <v>2</v>
      </c>
      <c r="AZ325" s="568">
        <f t="shared" si="133"/>
        <v>2</v>
      </c>
      <c r="BA325" s="568">
        <f t="shared" si="133"/>
        <v>2</v>
      </c>
      <c r="BB325" s="568">
        <f t="shared" si="133"/>
        <v>1</v>
      </c>
      <c r="BC325" s="568">
        <f t="shared" si="133"/>
        <v>2</v>
      </c>
      <c r="BD325" s="568">
        <f t="shared" si="133"/>
        <v>2</v>
      </c>
      <c r="BE325" s="568">
        <f t="shared" si="133"/>
        <v>2</v>
      </c>
      <c r="BF325" s="568">
        <f t="shared" si="133"/>
        <v>2</v>
      </c>
      <c r="BG325" s="568">
        <f t="shared" si="133"/>
        <v>0</v>
      </c>
      <c r="BH325" s="568">
        <f t="shared" si="133"/>
        <v>2</v>
      </c>
      <c r="BI325" s="568">
        <f t="shared" si="133"/>
        <v>1</v>
      </c>
      <c r="BJ325" s="568">
        <f t="shared" si="133"/>
        <v>2</v>
      </c>
      <c r="BK325" s="568">
        <f t="shared" si="133"/>
        <v>2</v>
      </c>
      <c r="BL325" s="568">
        <f t="shared" si="133"/>
        <v>2</v>
      </c>
      <c r="BM325" s="568">
        <f t="shared" si="133"/>
        <v>2</v>
      </c>
      <c r="BN325" s="568">
        <f t="shared" si="133"/>
        <v>1</v>
      </c>
      <c r="BO325" s="568">
        <f t="shared" si="133"/>
        <v>2</v>
      </c>
      <c r="BP325" s="568">
        <f t="shared" ref="BP325:CZ325" si="134">BP248</f>
        <v>0</v>
      </c>
      <c r="BQ325" s="568">
        <f t="shared" si="134"/>
        <v>2</v>
      </c>
      <c r="BR325" s="568">
        <f t="shared" si="134"/>
        <v>0</v>
      </c>
      <c r="BS325" s="568">
        <f t="shared" si="134"/>
        <v>2</v>
      </c>
      <c r="BT325" s="568">
        <f t="shared" si="134"/>
        <v>2</v>
      </c>
      <c r="BU325" s="568">
        <f t="shared" si="134"/>
        <v>0</v>
      </c>
      <c r="BV325" s="568">
        <f t="shared" si="134"/>
        <v>2</v>
      </c>
      <c r="BW325" s="568">
        <f t="shared" si="134"/>
        <v>0</v>
      </c>
      <c r="BX325" s="568">
        <f t="shared" si="134"/>
        <v>0</v>
      </c>
      <c r="BY325" s="568">
        <f t="shared" si="134"/>
        <v>0</v>
      </c>
      <c r="BZ325" s="568">
        <f t="shared" si="134"/>
        <v>0</v>
      </c>
      <c r="CA325" s="568">
        <f t="shared" si="134"/>
        <v>0</v>
      </c>
      <c r="CB325" s="568">
        <f t="shared" si="134"/>
        <v>0</v>
      </c>
      <c r="CC325" s="568">
        <f t="shared" si="134"/>
        <v>0</v>
      </c>
      <c r="CD325" s="568">
        <f t="shared" si="134"/>
        <v>0</v>
      </c>
      <c r="CE325" s="568">
        <f t="shared" si="134"/>
        <v>0</v>
      </c>
      <c r="CF325" s="568">
        <f t="shared" si="134"/>
        <v>0</v>
      </c>
      <c r="CG325" s="568">
        <f t="shared" si="134"/>
        <v>0</v>
      </c>
      <c r="CH325" s="568">
        <f t="shared" si="134"/>
        <v>0</v>
      </c>
      <c r="CI325" s="568">
        <f t="shared" si="134"/>
        <v>0</v>
      </c>
      <c r="CJ325" s="568">
        <f t="shared" si="134"/>
        <v>0</v>
      </c>
      <c r="CK325" s="568">
        <f t="shared" si="134"/>
        <v>0</v>
      </c>
      <c r="CL325" s="568">
        <f t="shared" si="134"/>
        <v>0</v>
      </c>
      <c r="CM325" s="568">
        <f t="shared" si="134"/>
        <v>0</v>
      </c>
      <c r="CN325" s="568">
        <f t="shared" si="134"/>
        <v>0</v>
      </c>
      <c r="CO325" s="568">
        <f t="shared" si="134"/>
        <v>0</v>
      </c>
      <c r="CP325" s="568">
        <f t="shared" si="134"/>
        <v>0</v>
      </c>
      <c r="CQ325" s="568">
        <f t="shared" si="134"/>
        <v>0</v>
      </c>
      <c r="CR325" s="568">
        <f t="shared" si="134"/>
        <v>0</v>
      </c>
      <c r="CS325" s="568">
        <f t="shared" si="134"/>
        <v>0</v>
      </c>
      <c r="CT325" s="568">
        <f t="shared" si="134"/>
        <v>0</v>
      </c>
      <c r="CU325" s="568">
        <f t="shared" si="134"/>
        <v>0</v>
      </c>
      <c r="CV325" s="568">
        <f t="shared" si="134"/>
        <v>0</v>
      </c>
      <c r="CW325" s="568">
        <f t="shared" si="134"/>
        <v>0</v>
      </c>
      <c r="CX325" s="568">
        <f t="shared" si="134"/>
        <v>0</v>
      </c>
      <c r="CY325" s="568">
        <f t="shared" si="134"/>
        <v>0</v>
      </c>
      <c r="CZ325" s="568">
        <f t="shared" si="134"/>
        <v>0</v>
      </c>
    </row>
    <row r="326" spans="1:104" s="180" customFormat="1" x14ac:dyDescent="0.3">
      <c r="A326" s="556">
        <v>1059</v>
      </c>
      <c r="B326" s="557" t="s">
        <v>1696</v>
      </c>
      <c r="C326" s="180">
        <v>249</v>
      </c>
      <c r="D326" s="568">
        <f t="shared" ref="D326:AI326" si="135">D249</f>
        <v>1</v>
      </c>
      <c r="E326" s="568">
        <f t="shared" si="135"/>
        <v>1</v>
      </c>
      <c r="F326" s="568">
        <f t="shared" si="135"/>
        <v>0</v>
      </c>
      <c r="G326" s="568">
        <f t="shared" si="135"/>
        <v>0</v>
      </c>
      <c r="H326" s="568">
        <f t="shared" si="135"/>
        <v>1</v>
      </c>
      <c r="I326" s="568">
        <f t="shared" si="135"/>
        <v>1</v>
      </c>
      <c r="J326" s="568">
        <f t="shared" si="135"/>
        <v>0</v>
      </c>
      <c r="K326" s="568">
        <f t="shared" si="135"/>
        <v>1</v>
      </c>
      <c r="L326" s="568">
        <f t="shared" si="135"/>
        <v>1</v>
      </c>
      <c r="M326" s="568">
        <f t="shared" si="135"/>
        <v>1</v>
      </c>
      <c r="N326" s="568">
        <f t="shared" si="135"/>
        <v>1</v>
      </c>
      <c r="O326" s="568">
        <f t="shared" si="135"/>
        <v>1</v>
      </c>
      <c r="P326" s="568">
        <f t="shared" si="135"/>
        <v>0</v>
      </c>
      <c r="Q326" s="568">
        <f t="shared" si="135"/>
        <v>1</v>
      </c>
      <c r="R326" s="568">
        <f t="shared" si="135"/>
        <v>1</v>
      </c>
      <c r="S326" s="568">
        <f t="shared" si="135"/>
        <v>1</v>
      </c>
      <c r="T326" s="568">
        <f t="shared" si="135"/>
        <v>1</v>
      </c>
      <c r="U326" s="568">
        <f t="shared" si="135"/>
        <v>0</v>
      </c>
      <c r="V326" s="568">
        <f t="shared" si="135"/>
        <v>0</v>
      </c>
      <c r="W326" s="568">
        <f t="shared" si="135"/>
        <v>0</v>
      </c>
      <c r="X326" s="568">
        <f t="shared" si="135"/>
        <v>1</v>
      </c>
      <c r="Y326" s="568">
        <f t="shared" si="135"/>
        <v>1</v>
      </c>
      <c r="Z326" s="568">
        <f t="shared" si="135"/>
        <v>1</v>
      </c>
      <c r="AA326" s="568">
        <f t="shared" si="135"/>
        <v>1</v>
      </c>
      <c r="AB326" s="568">
        <f t="shared" si="135"/>
        <v>1</v>
      </c>
      <c r="AC326" s="568">
        <f t="shared" si="135"/>
        <v>1</v>
      </c>
      <c r="AD326" s="568">
        <f t="shared" si="135"/>
        <v>1</v>
      </c>
      <c r="AE326" s="568">
        <f t="shared" si="135"/>
        <v>1</v>
      </c>
      <c r="AF326" s="568">
        <f t="shared" si="135"/>
        <v>2</v>
      </c>
      <c r="AG326" s="568">
        <f t="shared" si="135"/>
        <v>1</v>
      </c>
      <c r="AH326" s="568">
        <f t="shared" si="135"/>
        <v>1</v>
      </c>
      <c r="AI326" s="568">
        <f t="shared" si="135"/>
        <v>1</v>
      </c>
      <c r="AJ326" s="568">
        <f t="shared" ref="AJ326:BO326" si="136">AJ249</f>
        <v>1</v>
      </c>
      <c r="AK326" s="568">
        <f t="shared" si="136"/>
        <v>1</v>
      </c>
      <c r="AL326" s="568">
        <f t="shared" si="136"/>
        <v>1</v>
      </c>
      <c r="AM326" s="568">
        <f t="shared" si="136"/>
        <v>1</v>
      </c>
      <c r="AN326" s="568">
        <f t="shared" si="136"/>
        <v>1</v>
      </c>
      <c r="AO326" s="568">
        <f t="shared" si="136"/>
        <v>1</v>
      </c>
      <c r="AP326" s="568">
        <f t="shared" si="136"/>
        <v>1</v>
      </c>
      <c r="AQ326" s="568">
        <f t="shared" si="136"/>
        <v>1</v>
      </c>
      <c r="AR326" s="568">
        <f t="shared" si="136"/>
        <v>1</v>
      </c>
      <c r="AS326" s="568">
        <f t="shared" si="136"/>
        <v>1</v>
      </c>
      <c r="AT326" s="568">
        <f t="shared" si="136"/>
        <v>1</v>
      </c>
      <c r="AU326" s="568">
        <f t="shared" si="136"/>
        <v>1</v>
      </c>
      <c r="AV326" s="568">
        <f t="shared" si="136"/>
        <v>1</v>
      </c>
      <c r="AW326" s="568">
        <f t="shared" si="136"/>
        <v>1</v>
      </c>
      <c r="AX326" s="568">
        <f t="shared" si="136"/>
        <v>1</v>
      </c>
      <c r="AY326" s="568">
        <f t="shared" si="136"/>
        <v>1</v>
      </c>
      <c r="AZ326" s="568">
        <f t="shared" si="136"/>
        <v>1</v>
      </c>
      <c r="BA326" s="568">
        <f t="shared" si="136"/>
        <v>1</v>
      </c>
      <c r="BB326" s="568">
        <f t="shared" si="136"/>
        <v>1</v>
      </c>
      <c r="BC326" s="568">
        <f t="shared" si="136"/>
        <v>1</v>
      </c>
      <c r="BD326" s="568">
        <f t="shared" si="136"/>
        <v>1</v>
      </c>
      <c r="BE326" s="568">
        <f t="shared" si="136"/>
        <v>1</v>
      </c>
      <c r="BF326" s="568">
        <f t="shared" si="136"/>
        <v>1</v>
      </c>
      <c r="BG326" s="568">
        <f t="shared" si="136"/>
        <v>0</v>
      </c>
      <c r="BH326" s="568">
        <f t="shared" si="136"/>
        <v>1</v>
      </c>
      <c r="BI326" s="568">
        <f t="shared" si="136"/>
        <v>1</v>
      </c>
      <c r="BJ326" s="568">
        <f t="shared" si="136"/>
        <v>1</v>
      </c>
      <c r="BK326" s="568">
        <f t="shared" si="136"/>
        <v>1</v>
      </c>
      <c r="BL326" s="568">
        <f t="shared" si="136"/>
        <v>1</v>
      </c>
      <c r="BM326" s="568">
        <f t="shared" si="136"/>
        <v>1</v>
      </c>
      <c r="BN326" s="568">
        <f t="shared" si="136"/>
        <v>1</v>
      </c>
      <c r="BO326" s="568">
        <f t="shared" si="136"/>
        <v>1</v>
      </c>
      <c r="BP326" s="568">
        <f t="shared" ref="BP326:CZ326" si="137">BP249</f>
        <v>0</v>
      </c>
      <c r="BQ326" s="568">
        <f t="shared" si="137"/>
        <v>1</v>
      </c>
      <c r="BR326" s="568">
        <f t="shared" si="137"/>
        <v>0</v>
      </c>
      <c r="BS326" s="568">
        <f t="shared" si="137"/>
        <v>1</v>
      </c>
      <c r="BT326" s="568">
        <f t="shared" si="137"/>
        <v>1</v>
      </c>
      <c r="BU326" s="568">
        <f t="shared" si="137"/>
        <v>0</v>
      </c>
      <c r="BV326" s="568">
        <f t="shared" si="137"/>
        <v>1</v>
      </c>
      <c r="BW326" s="568">
        <f t="shared" si="137"/>
        <v>0</v>
      </c>
      <c r="BX326" s="568">
        <f t="shared" si="137"/>
        <v>0</v>
      </c>
      <c r="BY326" s="568">
        <f t="shared" si="137"/>
        <v>0</v>
      </c>
      <c r="BZ326" s="568">
        <f t="shared" si="137"/>
        <v>0</v>
      </c>
      <c r="CA326" s="568">
        <f t="shared" si="137"/>
        <v>0</v>
      </c>
      <c r="CB326" s="568">
        <f t="shared" si="137"/>
        <v>0</v>
      </c>
      <c r="CC326" s="568">
        <f t="shared" si="137"/>
        <v>0</v>
      </c>
      <c r="CD326" s="568">
        <f t="shared" si="137"/>
        <v>0</v>
      </c>
      <c r="CE326" s="568">
        <f t="shared" si="137"/>
        <v>0</v>
      </c>
      <c r="CF326" s="568">
        <f t="shared" si="137"/>
        <v>0</v>
      </c>
      <c r="CG326" s="568">
        <f t="shared" si="137"/>
        <v>0</v>
      </c>
      <c r="CH326" s="568">
        <f t="shared" si="137"/>
        <v>0</v>
      </c>
      <c r="CI326" s="568">
        <f t="shared" si="137"/>
        <v>0</v>
      </c>
      <c r="CJ326" s="568">
        <f t="shared" si="137"/>
        <v>0</v>
      </c>
      <c r="CK326" s="568">
        <f t="shared" si="137"/>
        <v>0</v>
      </c>
      <c r="CL326" s="568">
        <f t="shared" si="137"/>
        <v>0</v>
      </c>
      <c r="CM326" s="568">
        <f t="shared" si="137"/>
        <v>0</v>
      </c>
      <c r="CN326" s="568">
        <f t="shared" si="137"/>
        <v>0</v>
      </c>
      <c r="CO326" s="568">
        <f t="shared" si="137"/>
        <v>0</v>
      </c>
      <c r="CP326" s="568">
        <f t="shared" si="137"/>
        <v>0</v>
      </c>
      <c r="CQ326" s="568">
        <f t="shared" si="137"/>
        <v>0</v>
      </c>
      <c r="CR326" s="568">
        <f t="shared" si="137"/>
        <v>0</v>
      </c>
      <c r="CS326" s="568">
        <f t="shared" si="137"/>
        <v>0</v>
      </c>
      <c r="CT326" s="568">
        <f t="shared" si="137"/>
        <v>0</v>
      </c>
      <c r="CU326" s="568">
        <f t="shared" si="137"/>
        <v>0</v>
      </c>
      <c r="CV326" s="568">
        <f t="shared" si="137"/>
        <v>0</v>
      </c>
      <c r="CW326" s="568">
        <f t="shared" si="137"/>
        <v>0</v>
      </c>
      <c r="CX326" s="568">
        <f t="shared" si="137"/>
        <v>0</v>
      </c>
      <c r="CY326" s="568">
        <f t="shared" si="137"/>
        <v>0</v>
      </c>
      <c r="CZ326" s="568">
        <f t="shared" si="137"/>
        <v>0</v>
      </c>
    </row>
    <row r="327" spans="1:104" s="562" customFormat="1" x14ac:dyDescent="0.3">
      <c r="A327" s="561" t="s">
        <v>1054</v>
      </c>
      <c r="D327" s="562">
        <f>SUM(D285:D326)</f>
        <v>39928791.009999998</v>
      </c>
      <c r="E327" s="562">
        <f t="shared" ref="E327:BP327" si="138">SUM(E285:E326)</f>
        <v>4860726226.0100002</v>
      </c>
      <c r="F327" s="562">
        <f t="shared" si="138"/>
        <v>50364.01</v>
      </c>
      <c r="G327" s="251">
        <f>SUM(G285:G326)</f>
        <v>50365.01</v>
      </c>
      <c r="H327" s="562">
        <f t="shared" si="138"/>
        <v>15198521.01</v>
      </c>
      <c r="I327" s="562">
        <f t="shared" si="138"/>
        <v>134659</v>
      </c>
      <c r="J327" s="562">
        <f t="shared" si="138"/>
        <v>50611</v>
      </c>
      <c r="K327" s="562">
        <f t="shared" si="138"/>
        <v>13590772</v>
      </c>
      <c r="L327" s="562">
        <f t="shared" si="138"/>
        <v>31623754.09</v>
      </c>
      <c r="M327" s="562">
        <f t="shared" si="138"/>
        <v>101390943.00999999</v>
      </c>
      <c r="N327" s="562">
        <f t="shared" si="138"/>
        <v>1040336</v>
      </c>
      <c r="O327" s="562">
        <f t="shared" si="138"/>
        <v>3592337.01</v>
      </c>
      <c r="P327" s="562">
        <f t="shared" si="138"/>
        <v>50373.01</v>
      </c>
      <c r="Q327" s="562">
        <f t="shared" si="138"/>
        <v>3130782</v>
      </c>
      <c r="R327" s="562">
        <f t="shared" si="138"/>
        <v>4632884</v>
      </c>
      <c r="S327" s="562">
        <f t="shared" si="138"/>
        <v>9854543.0099999998</v>
      </c>
      <c r="T327" s="562">
        <f t="shared" si="138"/>
        <v>71559303</v>
      </c>
      <c r="U327" s="562">
        <f t="shared" si="138"/>
        <v>50375.01</v>
      </c>
      <c r="V327" s="562">
        <f t="shared" si="138"/>
        <v>50376.01</v>
      </c>
      <c r="W327" s="562">
        <f t="shared" si="138"/>
        <v>50377.09</v>
      </c>
      <c r="X327" s="562">
        <f t="shared" si="138"/>
        <v>62480785.009999998</v>
      </c>
      <c r="Y327" s="562">
        <f t="shared" si="138"/>
        <v>7338625</v>
      </c>
      <c r="Z327" s="562">
        <f t="shared" si="138"/>
        <v>541284404.09000003</v>
      </c>
      <c r="AA327" s="562">
        <f t="shared" si="138"/>
        <v>84559387</v>
      </c>
      <c r="AB327" s="562">
        <f t="shared" si="138"/>
        <v>922141.01</v>
      </c>
      <c r="AC327" s="562">
        <f t="shared" si="138"/>
        <v>2079439.01</v>
      </c>
      <c r="AD327" s="562">
        <f t="shared" si="138"/>
        <v>5583258.0099999998</v>
      </c>
      <c r="AE327" s="562">
        <f t="shared" si="138"/>
        <v>5657911.0099999998</v>
      </c>
      <c r="AF327" s="562">
        <f t="shared" si="138"/>
        <v>2199920.0299999998</v>
      </c>
      <c r="AG327" s="562">
        <f t="shared" si="138"/>
        <v>3605479.01</v>
      </c>
      <c r="AH327" s="562">
        <f t="shared" si="138"/>
        <v>50996128.009999998</v>
      </c>
      <c r="AI327" s="562">
        <f t="shared" si="138"/>
        <v>767552</v>
      </c>
      <c r="AJ327" s="562">
        <f t="shared" si="138"/>
        <v>14988154</v>
      </c>
      <c r="AK327" s="562">
        <f t="shared" si="138"/>
        <v>1014342</v>
      </c>
      <c r="AL327" s="562">
        <f t="shared" si="138"/>
        <v>5765825.0099999998</v>
      </c>
      <c r="AM327" s="562">
        <f t="shared" si="138"/>
        <v>21836695.009999998</v>
      </c>
      <c r="AN327" s="562">
        <f t="shared" si="138"/>
        <v>2075785.01</v>
      </c>
      <c r="AO327" s="562">
        <f t="shared" si="138"/>
        <v>215538509.00999999</v>
      </c>
      <c r="AP327" s="562">
        <f t="shared" si="138"/>
        <v>5154437.51</v>
      </c>
      <c r="AQ327" s="562">
        <f t="shared" si="138"/>
        <v>988796</v>
      </c>
      <c r="AR327" s="562">
        <f t="shared" si="138"/>
        <v>2201047.0099999998</v>
      </c>
      <c r="AS327" s="562">
        <f t="shared" si="138"/>
        <v>216796213.00999999</v>
      </c>
      <c r="AT327" s="562">
        <f t="shared" si="138"/>
        <v>1946807.01</v>
      </c>
      <c r="AU327" s="562">
        <f t="shared" si="138"/>
        <v>18949260.009999998</v>
      </c>
      <c r="AV327" s="562">
        <f t="shared" si="138"/>
        <v>9487638.0899999999</v>
      </c>
      <c r="AW327" s="562">
        <f t="shared" si="138"/>
        <v>2803747.01</v>
      </c>
      <c r="AX327" s="562">
        <f t="shared" si="138"/>
        <v>9097257</v>
      </c>
      <c r="AY327" s="562">
        <f t="shared" si="138"/>
        <v>1190046</v>
      </c>
      <c r="AZ327" s="562">
        <f t="shared" si="138"/>
        <v>45328547.100000001</v>
      </c>
      <c r="BA327" s="562">
        <f t="shared" si="138"/>
        <v>6825144.0099999998</v>
      </c>
      <c r="BB327" s="562">
        <f t="shared" si="138"/>
        <v>1191165.01</v>
      </c>
      <c r="BC327" s="562">
        <f t="shared" si="138"/>
        <v>2439213.0099999998</v>
      </c>
      <c r="BD327" s="562">
        <f t="shared" si="138"/>
        <v>45640538.009999998</v>
      </c>
      <c r="BE327" s="562">
        <f t="shared" si="138"/>
        <v>8288766.0999999996</v>
      </c>
      <c r="BF327" s="562">
        <f t="shared" si="138"/>
        <v>216982558.07999998</v>
      </c>
      <c r="BG327" s="562">
        <f t="shared" si="138"/>
        <v>50407.01</v>
      </c>
      <c r="BH327" s="562">
        <f t="shared" si="138"/>
        <v>1137860</v>
      </c>
      <c r="BI327" s="562">
        <f t="shared" si="138"/>
        <v>2031969.01</v>
      </c>
      <c r="BJ327" s="562">
        <f t="shared" si="138"/>
        <v>152060116.09</v>
      </c>
      <c r="BK327" s="562">
        <f t="shared" si="138"/>
        <v>6992739.0099999998</v>
      </c>
      <c r="BL327" s="562">
        <f t="shared" si="138"/>
        <v>123562518.00999999</v>
      </c>
      <c r="BM327" s="562">
        <f t="shared" si="138"/>
        <v>47868779</v>
      </c>
      <c r="BN327" s="562">
        <f t="shared" si="138"/>
        <v>57669440.190000005</v>
      </c>
      <c r="BO327" s="562">
        <f t="shared" si="138"/>
        <v>8503221.0099999998</v>
      </c>
      <c r="BP327" s="562">
        <f t="shared" si="138"/>
        <v>50415</v>
      </c>
      <c r="BQ327" s="562">
        <f t="shared" ref="BQ327:CZ327" si="139">SUM(BQ285:BQ326)</f>
        <v>17806297</v>
      </c>
      <c r="BR327" s="562">
        <f t="shared" si="139"/>
        <v>50417</v>
      </c>
      <c r="BS327" s="562">
        <f t="shared" si="139"/>
        <v>16065118.01</v>
      </c>
      <c r="BT327" s="562">
        <f t="shared" si="139"/>
        <v>6063374.0099999998</v>
      </c>
      <c r="BU327" s="562">
        <f t="shared" si="139"/>
        <v>50420.01</v>
      </c>
      <c r="BV327" s="562">
        <f t="shared" si="139"/>
        <v>13756089.959999999</v>
      </c>
      <c r="BW327" s="562">
        <f t="shared" si="139"/>
        <v>0</v>
      </c>
      <c r="BX327" s="562">
        <f t="shared" si="139"/>
        <v>0</v>
      </c>
      <c r="BY327" s="562">
        <f t="shared" si="139"/>
        <v>0</v>
      </c>
      <c r="BZ327" s="562">
        <f t="shared" si="139"/>
        <v>0</v>
      </c>
      <c r="CA327" s="562">
        <f t="shared" si="139"/>
        <v>0</v>
      </c>
      <c r="CB327" s="562">
        <f t="shared" si="139"/>
        <v>0</v>
      </c>
      <c r="CC327" s="562">
        <f t="shared" si="139"/>
        <v>0</v>
      </c>
      <c r="CD327" s="562">
        <f t="shared" si="139"/>
        <v>0</v>
      </c>
      <c r="CE327" s="562">
        <f t="shared" si="139"/>
        <v>0</v>
      </c>
      <c r="CF327" s="562">
        <f t="shared" si="139"/>
        <v>0</v>
      </c>
      <c r="CG327" s="562">
        <f t="shared" si="139"/>
        <v>0</v>
      </c>
      <c r="CH327" s="562">
        <f t="shared" si="139"/>
        <v>0</v>
      </c>
      <c r="CI327" s="562">
        <f t="shared" si="139"/>
        <v>0</v>
      </c>
      <c r="CJ327" s="562">
        <f t="shared" si="139"/>
        <v>0</v>
      </c>
      <c r="CK327" s="562">
        <f t="shared" si="139"/>
        <v>0</v>
      </c>
      <c r="CL327" s="562">
        <f t="shared" si="139"/>
        <v>0</v>
      </c>
      <c r="CM327" s="562">
        <f t="shared" si="139"/>
        <v>0</v>
      </c>
      <c r="CN327" s="562">
        <f t="shared" si="139"/>
        <v>0</v>
      </c>
      <c r="CO327" s="562">
        <f t="shared" si="139"/>
        <v>0</v>
      </c>
      <c r="CP327" s="562">
        <f t="shared" si="139"/>
        <v>0</v>
      </c>
      <c r="CQ327" s="562">
        <f t="shared" si="139"/>
        <v>0</v>
      </c>
      <c r="CR327" s="562">
        <f t="shared" si="139"/>
        <v>0</v>
      </c>
      <c r="CS327" s="562">
        <f t="shared" si="139"/>
        <v>0</v>
      </c>
      <c r="CT327" s="562">
        <f t="shared" si="139"/>
        <v>0</v>
      </c>
      <c r="CU327" s="562">
        <f t="shared" si="139"/>
        <v>0</v>
      </c>
      <c r="CV327" s="562">
        <f t="shared" si="139"/>
        <v>0</v>
      </c>
      <c r="CW327" s="562">
        <f t="shared" si="139"/>
        <v>0</v>
      </c>
      <c r="CX327" s="562">
        <f t="shared" si="139"/>
        <v>0</v>
      </c>
      <c r="CY327" s="562">
        <f t="shared" si="139"/>
        <v>0</v>
      </c>
      <c r="CZ327" s="562">
        <f t="shared" si="139"/>
        <v>0</v>
      </c>
    </row>
    <row r="328" spans="1:104" s="562" customFormat="1" x14ac:dyDescent="0.3">
      <c r="A328" s="561"/>
    </row>
    <row r="329" spans="1:104" s="562" customFormat="1" x14ac:dyDescent="0.3">
      <c r="A329" s="561" t="s">
        <v>1714</v>
      </c>
      <c r="D329" s="800">
        <f>D280-D327</f>
        <v>273913025.40000004</v>
      </c>
      <c r="E329" s="800">
        <f t="shared" ref="E329:BP329" si="140">E280-E327</f>
        <v>25167221838.102997</v>
      </c>
      <c r="F329" s="800">
        <f t="shared" si="140"/>
        <v>0</v>
      </c>
      <c r="G329" s="800">
        <f t="shared" si="140"/>
        <v>0</v>
      </c>
      <c r="H329" s="800">
        <f t="shared" si="140"/>
        <v>87239700.539999992</v>
      </c>
      <c r="I329" s="800">
        <f t="shared" si="140"/>
        <v>704845.71499999997</v>
      </c>
      <c r="J329" s="800">
        <f t="shared" si="140"/>
        <v>0</v>
      </c>
      <c r="K329" s="800">
        <f t="shared" si="140"/>
        <v>60747374</v>
      </c>
      <c r="L329" s="800">
        <f t="shared" si="140"/>
        <v>211749770.03</v>
      </c>
      <c r="M329" s="800">
        <f t="shared" si="140"/>
        <v>751420517.52740002</v>
      </c>
      <c r="N329" s="800">
        <f t="shared" si="140"/>
        <v>7107761.6310000001</v>
      </c>
      <c r="O329" s="800">
        <f t="shared" si="140"/>
        <v>39728831.030000001</v>
      </c>
      <c r="P329" s="800">
        <f t="shared" si="140"/>
        <v>0</v>
      </c>
      <c r="Q329" s="800">
        <f t="shared" si="140"/>
        <v>12597521.369999999</v>
      </c>
      <c r="R329" s="800">
        <f t="shared" si="140"/>
        <v>23016981.760000002</v>
      </c>
      <c r="S329" s="800">
        <f t="shared" si="140"/>
        <v>70831266.599999994</v>
      </c>
      <c r="T329" s="800">
        <f t="shared" si="140"/>
        <v>230874173.34100002</v>
      </c>
      <c r="U329" s="800">
        <f t="shared" si="140"/>
        <v>0</v>
      </c>
      <c r="V329" s="800">
        <f t="shared" si="140"/>
        <v>0</v>
      </c>
      <c r="W329" s="800">
        <f t="shared" si="140"/>
        <v>0</v>
      </c>
      <c r="X329" s="800">
        <f t="shared" si="140"/>
        <v>346370076.31</v>
      </c>
      <c r="Y329" s="800">
        <f t="shared" si="140"/>
        <v>35179778.719999999</v>
      </c>
      <c r="Z329" s="800">
        <f t="shared" si="140"/>
        <v>3018349497.355</v>
      </c>
      <c r="AA329" s="800">
        <f t="shared" si="140"/>
        <v>266697691.18000001</v>
      </c>
      <c r="AB329" s="800">
        <f t="shared" si="140"/>
        <v>12799168.439999999</v>
      </c>
      <c r="AC329" s="800">
        <f t="shared" si="140"/>
        <v>37100121.200000003</v>
      </c>
      <c r="AD329" s="800">
        <f t="shared" si="140"/>
        <v>65671753.280000009</v>
      </c>
      <c r="AE329" s="800">
        <f t="shared" si="140"/>
        <v>57482954.440000005</v>
      </c>
      <c r="AF329" s="800">
        <f t="shared" si="140"/>
        <v>36483984.549999997</v>
      </c>
      <c r="AG329" s="800">
        <f t="shared" si="140"/>
        <v>39044835.5</v>
      </c>
      <c r="AH329" s="800">
        <f t="shared" si="140"/>
        <v>357558744.07999998</v>
      </c>
      <c r="AI329" s="800">
        <f t="shared" si="140"/>
        <v>3597859.1624999996</v>
      </c>
      <c r="AJ329" s="800">
        <f t="shared" si="140"/>
        <v>66914282.030000001</v>
      </c>
      <c r="AK329" s="800">
        <f t="shared" si="140"/>
        <v>5688216.8600000003</v>
      </c>
      <c r="AL329" s="800">
        <f t="shared" si="140"/>
        <v>45988303.230000004</v>
      </c>
      <c r="AM329" s="800">
        <f t="shared" si="140"/>
        <v>130323196.51000002</v>
      </c>
      <c r="AN329" s="800">
        <f t="shared" si="140"/>
        <v>20791343</v>
      </c>
      <c r="AO329" s="800">
        <f t="shared" si="140"/>
        <v>1921747331.5395999</v>
      </c>
      <c r="AP329" s="800">
        <f t="shared" si="140"/>
        <v>57085965.120000005</v>
      </c>
      <c r="AQ329" s="800">
        <f t="shared" si="140"/>
        <v>6422516.9199999999</v>
      </c>
      <c r="AR329" s="800">
        <f t="shared" si="140"/>
        <v>12739872.620000001</v>
      </c>
      <c r="AS329" s="800">
        <f t="shared" si="140"/>
        <v>1690082656.8099999</v>
      </c>
      <c r="AT329" s="800">
        <f t="shared" si="140"/>
        <v>36453272.219999999</v>
      </c>
      <c r="AU329" s="800">
        <f t="shared" si="140"/>
        <v>132710564.19</v>
      </c>
      <c r="AV329" s="800">
        <f t="shared" si="140"/>
        <v>124946796.14500001</v>
      </c>
      <c r="AW329" s="800">
        <f t="shared" si="140"/>
        <v>42385875.620000005</v>
      </c>
      <c r="AX329" s="800">
        <f t="shared" si="140"/>
        <v>14032326.760000002</v>
      </c>
      <c r="AY329" s="800">
        <f t="shared" si="140"/>
        <v>7115861.1749999998</v>
      </c>
      <c r="AZ329" s="800">
        <f t="shared" si="140"/>
        <v>338330547.26999998</v>
      </c>
      <c r="BA329" s="800">
        <f t="shared" si="140"/>
        <v>42161827.700000003</v>
      </c>
      <c r="BB329" s="800">
        <f t="shared" si="140"/>
        <v>20240775.639999997</v>
      </c>
      <c r="BC329" s="800">
        <f t="shared" si="140"/>
        <v>20422169.859999999</v>
      </c>
      <c r="BD329" s="800">
        <f t="shared" si="140"/>
        <v>245975836.59250003</v>
      </c>
      <c r="BE329" s="800">
        <f t="shared" si="140"/>
        <v>106888997.96000001</v>
      </c>
      <c r="BF329" s="800">
        <f t="shared" si="140"/>
        <v>1599415006.0975001</v>
      </c>
      <c r="BG329" s="800">
        <f t="shared" si="140"/>
        <v>0</v>
      </c>
      <c r="BH329" s="800">
        <f t="shared" si="140"/>
        <v>6148705.5099999998</v>
      </c>
      <c r="BI329" s="800">
        <f t="shared" si="140"/>
        <v>19108897.789999999</v>
      </c>
      <c r="BJ329" s="800">
        <f t="shared" si="140"/>
        <v>883214645.31999993</v>
      </c>
      <c r="BK329" s="800">
        <f t="shared" si="140"/>
        <v>71904924.929999992</v>
      </c>
      <c r="BL329" s="800">
        <f t="shared" si="140"/>
        <v>752382738.66999996</v>
      </c>
      <c r="BM329" s="800">
        <f t="shared" si="140"/>
        <v>174519963.97580001</v>
      </c>
      <c r="BN329" s="800">
        <f t="shared" si="140"/>
        <v>435495574.73559999</v>
      </c>
      <c r="BO329" s="800">
        <f t="shared" si="140"/>
        <v>156393010.24000001</v>
      </c>
      <c r="BP329" s="800">
        <f t="shared" si="140"/>
        <v>0</v>
      </c>
      <c r="BQ329" s="800">
        <f t="shared" ref="BQ329:CZ329" si="141">BQ280-BQ327</f>
        <v>71715384.680000007</v>
      </c>
      <c r="BR329" s="800">
        <f t="shared" si="141"/>
        <v>0</v>
      </c>
      <c r="BS329" s="800">
        <f t="shared" si="141"/>
        <v>144008664.47300002</v>
      </c>
      <c r="BT329" s="800">
        <f t="shared" si="141"/>
        <v>44900646.200000003</v>
      </c>
      <c r="BU329" s="800">
        <f t="shared" si="141"/>
        <v>0</v>
      </c>
      <c r="BV329" s="800">
        <f t="shared" si="141"/>
        <v>145846547.88999999</v>
      </c>
      <c r="BW329" s="800">
        <f t="shared" si="141"/>
        <v>0</v>
      </c>
      <c r="BX329" s="800">
        <f t="shared" si="141"/>
        <v>0</v>
      </c>
      <c r="BY329" s="800">
        <f t="shared" si="141"/>
        <v>0</v>
      </c>
      <c r="BZ329" s="800">
        <f t="shared" si="141"/>
        <v>0</v>
      </c>
      <c r="CA329" s="800">
        <f t="shared" si="141"/>
        <v>0</v>
      </c>
      <c r="CB329" s="800">
        <f t="shared" si="141"/>
        <v>0</v>
      </c>
      <c r="CC329" s="800">
        <f t="shared" si="141"/>
        <v>0</v>
      </c>
      <c r="CD329" s="800">
        <f t="shared" si="141"/>
        <v>0</v>
      </c>
      <c r="CE329" s="800">
        <f t="shared" si="141"/>
        <v>0</v>
      </c>
      <c r="CF329" s="800">
        <f t="shared" si="141"/>
        <v>0</v>
      </c>
      <c r="CG329" s="800">
        <f t="shared" si="141"/>
        <v>0</v>
      </c>
      <c r="CH329" s="800">
        <f t="shared" si="141"/>
        <v>0</v>
      </c>
      <c r="CI329" s="800">
        <f t="shared" si="141"/>
        <v>0</v>
      </c>
      <c r="CJ329" s="800">
        <f t="shared" si="141"/>
        <v>0</v>
      </c>
      <c r="CK329" s="800">
        <f t="shared" si="141"/>
        <v>0</v>
      </c>
      <c r="CL329" s="800">
        <f t="shared" si="141"/>
        <v>0</v>
      </c>
      <c r="CM329" s="800">
        <f t="shared" si="141"/>
        <v>0</v>
      </c>
      <c r="CN329" s="800">
        <f t="shared" si="141"/>
        <v>0</v>
      </c>
      <c r="CO329" s="800">
        <f t="shared" si="141"/>
        <v>0</v>
      </c>
      <c r="CP329" s="800">
        <f t="shared" si="141"/>
        <v>0</v>
      </c>
      <c r="CQ329" s="800">
        <f t="shared" si="141"/>
        <v>0</v>
      </c>
      <c r="CR329" s="800">
        <f t="shared" si="141"/>
        <v>0</v>
      </c>
      <c r="CS329" s="800">
        <f t="shared" si="141"/>
        <v>0</v>
      </c>
      <c r="CT329" s="800">
        <f t="shared" si="141"/>
        <v>0</v>
      </c>
      <c r="CU329" s="800">
        <f t="shared" si="141"/>
        <v>0</v>
      </c>
      <c r="CV329" s="800">
        <f t="shared" si="141"/>
        <v>0</v>
      </c>
      <c r="CW329" s="800">
        <f t="shared" si="141"/>
        <v>0</v>
      </c>
      <c r="CX329" s="800">
        <f t="shared" si="141"/>
        <v>0</v>
      </c>
      <c r="CY329" s="800">
        <f t="shared" si="141"/>
        <v>0</v>
      </c>
      <c r="CZ329" s="800">
        <f t="shared" si="141"/>
        <v>0</v>
      </c>
    </row>
    <row r="330" spans="1:104" s="562" customFormat="1" x14ac:dyDescent="0.3">
      <c r="A330" s="561"/>
    </row>
    <row r="331" spans="1:104" x14ac:dyDescent="0.3">
      <c r="A331" s="563">
        <v>1</v>
      </c>
      <c r="B331" s="180"/>
      <c r="C331" s="180"/>
      <c r="D331" s="564">
        <f t="shared" ref="D331:AI331" si="142">D258</f>
        <v>17216847</v>
      </c>
      <c r="E331" s="564">
        <f t="shared" si="142"/>
        <v>2400160543</v>
      </c>
      <c r="F331" s="564">
        <f t="shared" si="142"/>
        <v>0</v>
      </c>
      <c r="G331" s="564">
        <f t="shared" si="142"/>
        <v>0</v>
      </c>
      <c r="H331" s="564">
        <f t="shared" si="142"/>
        <v>8747747</v>
      </c>
      <c r="I331" s="564">
        <f t="shared" si="142"/>
        <v>84078</v>
      </c>
      <c r="J331" s="564">
        <f t="shared" si="142"/>
        <v>0</v>
      </c>
      <c r="K331" s="564">
        <f t="shared" si="142"/>
        <v>12661286</v>
      </c>
      <c r="L331" s="564">
        <f t="shared" si="142"/>
        <v>11160862</v>
      </c>
      <c r="M331" s="564">
        <f t="shared" si="142"/>
        <v>53688654</v>
      </c>
      <c r="N331" s="564">
        <f t="shared" si="142"/>
        <v>981073</v>
      </c>
      <c r="O331" s="564">
        <f t="shared" si="142"/>
        <v>2198347</v>
      </c>
      <c r="P331" s="564">
        <f t="shared" si="142"/>
        <v>0</v>
      </c>
      <c r="Q331" s="564">
        <f t="shared" si="142"/>
        <v>2320704</v>
      </c>
      <c r="R331" s="564">
        <f t="shared" si="142"/>
        <v>3093408</v>
      </c>
      <c r="S331" s="564">
        <f t="shared" si="142"/>
        <v>6649941</v>
      </c>
      <c r="T331" s="564">
        <f t="shared" si="142"/>
        <v>33378338</v>
      </c>
      <c r="U331" s="564">
        <f t="shared" si="142"/>
        <v>0</v>
      </c>
      <c r="V331" s="564">
        <f t="shared" si="142"/>
        <v>0</v>
      </c>
      <c r="W331" s="564">
        <f t="shared" si="142"/>
        <v>0</v>
      </c>
      <c r="X331" s="564">
        <f t="shared" si="142"/>
        <v>39879777</v>
      </c>
      <c r="Y331" s="564">
        <f t="shared" si="142"/>
        <v>5387512</v>
      </c>
      <c r="Z331" s="564">
        <f t="shared" si="142"/>
        <v>255865141</v>
      </c>
      <c r="AA331" s="564">
        <f t="shared" si="142"/>
        <v>68605074</v>
      </c>
      <c r="AB331" s="564">
        <f t="shared" si="142"/>
        <v>527517</v>
      </c>
      <c r="AC331" s="564">
        <f t="shared" si="142"/>
        <v>1495507</v>
      </c>
      <c r="AD331" s="564">
        <f t="shared" si="142"/>
        <v>2798817</v>
      </c>
      <c r="AE331" s="564">
        <f t="shared" si="142"/>
        <v>4056426</v>
      </c>
      <c r="AF331" s="564">
        <f t="shared" si="142"/>
        <v>1364519</v>
      </c>
      <c r="AG331" s="564">
        <f t="shared" si="142"/>
        <v>1743475</v>
      </c>
      <c r="AH331" s="564">
        <f t="shared" si="142"/>
        <v>15683523</v>
      </c>
      <c r="AI331" s="564">
        <f t="shared" si="142"/>
        <v>706159</v>
      </c>
      <c r="AJ331" s="564">
        <f t="shared" ref="AJ331:BO331" si="143">AJ258</f>
        <v>10015118</v>
      </c>
      <c r="AK331" s="564">
        <f t="shared" si="143"/>
        <v>832280</v>
      </c>
      <c r="AL331" s="564">
        <f t="shared" si="143"/>
        <v>3172779</v>
      </c>
      <c r="AM331" s="564">
        <f t="shared" si="143"/>
        <v>10709847</v>
      </c>
      <c r="AN331" s="564">
        <f t="shared" si="143"/>
        <v>1417945</v>
      </c>
      <c r="AO331" s="564">
        <f t="shared" si="143"/>
        <v>110735006</v>
      </c>
      <c r="AP331" s="564">
        <f t="shared" si="143"/>
        <v>3551140</v>
      </c>
      <c r="AQ331" s="564">
        <f t="shared" si="143"/>
        <v>843820</v>
      </c>
      <c r="AR331" s="564">
        <f t="shared" si="143"/>
        <v>1535934</v>
      </c>
      <c r="AS331" s="564">
        <f t="shared" si="143"/>
        <v>99001289</v>
      </c>
      <c r="AT331" s="564">
        <f t="shared" si="143"/>
        <v>1058758</v>
      </c>
      <c r="AU331" s="564">
        <f t="shared" si="143"/>
        <v>11737900</v>
      </c>
      <c r="AV331" s="564">
        <f t="shared" si="143"/>
        <v>4794228</v>
      </c>
      <c r="AW331" s="564">
        <f t="shared" si="143"/>
        <v>1340290</v>
      </c>
      <c r="AX331" s="564">
        <f t="shared" si="143"/>
        <v>5000533</v>
      </c>
      <c r="AY331" s="564">
        <f t="shared" si="143"/>
        <v>990244</v>
      </c>
      <c r="AZ331" s="564">
        <f t="shared" si="143"/>
        <v>17811113</v>
      </c>
      <c r="BA331" s="564">
        <f t="shared" si="143"/>
        <v>4402663</v>
      </c>
      <c r="BB331" s="564">
        <f t="shared" si="143"/>
        <v>256532</v>
      </c>
      <c r="BC331" s="564">
        <f t="shared" si="143"/>
        <v>1658458</v>
      </c>
      <c r="BD331" s="564">
        <f t="shared" si="143"/>
        <v>28915730</v>
      </c>
      <c r="BE331" s="564">
        <f t="shared" si="143"/>
        <v>2961086</v>
      </c>
      <c r="BF331" s="564">
        <f t="shared" si="143"/>
        <v>110171760</v>
      </c>
      <c r="BG331" s="564">
        <f t="shared" si="143"/>
        <v>0</v>
      </c>
      <c r="BH331" s="564">
        <f t="shared" si="143"/>
        <v>718723</v>
      </c>
      <c r="BI331" s="564">
        <f t="shared" si="143"/>
        <v>874183</v>
      </c>
      <c r="BJ331" s="564">
        <f t="shared" si="143"/>
        <v>57857014</v>
      </c>
      <c r="BK331" s="564">
        <f t="shared" si="143"/>
        <v>3819113</v>
      </c>
      <c r="BL331" s="564">
        <f t="shared" si="143"/>
        <v>72284163</v>
      </c>
      <c r="BM331" s="564">
        <f t="shared" si="143"/>
        <v>31651930</v>
      </c>
      <c r="BN331" s="564">
        <f t="shared" si="143"/>
        <v>26204120</v>
      </c>
      <c r="BO331" s="564">
        <f t="shared" si="143"/>
        <v>5452799</v>
      </c>
      <c r="BP331" s="564">
        <f t="shared" ref="BP331:CZ331" si="144">BP258</f>
        <v>0</v>
      </c>
      <c r="BQ331" s="564">
        <f t="shared" si="144"/>
        <v>12411961</v>
      </c>
      <c r="BR331" s="564">
        <f t="shared" si="144"/>
        <v>0</v>
      </c>
      <c r="BS331" s="564">
        <f t="shared" si="144"/>
        <v>8921617</v>
      </c>
      <c r="BT331" s="564">
        <f t="shared" si="144"/>
        <v>3842494</v>
      </c>
      <c r="BU331" s="564">
        <f t="shared" si="144"/>
        <v>0</v>
      </c>
      <c r="BV331" s="564">
        <f t="shared" si="144"/>
        <v>9065190</v>
      </c>
      <c r="BW331" s="564">
        <f t="shared" si="144"/>
        <v>0</v>
      </c>
      <c r="BX331" s="564">
        <f t="shared" si="144"/>
        <v>0</v>
      </c>
      <c r="BY331" s="564">
        <f t="shared" si="144"/>
        <v>0</v>
      </c>
      <c r="BZ331" s="564">
        <f t="shared" si="144"/>
        <v>0</v>
      </c>
      <c r="CA331" s="564">
        <f t="shared" si="144"/>
        <v>0</v>
      </c>
      <c r="CB331" s="564">
        <f t="shared" si="144"/>
        <v>0</v>
      </c>
      <c r="CC331" s="564">
        <f t="shared" si="144"/>
        <v>0</v>
      </c>
      <c r="CD331" s="564">
        <f t="shared" si="144"/>
        <v>0</v>
      </c>
      <c r="CE331" s="564">
        <f t="shared" si="144"/>
        <v>0</v>
      </c>
      <c r="CF331" s="564">
        <f t="shared" si="144"/>
        <v>0</v>
      </c>
      <c r="CG331" s="564">
        <f t="shared" si="144"/>
        <v>0</v>
      </c>
      <c r="CH331" s="564">
        <f t="shared" si="144"/>
        <v>0</v>
      </c>
      <c r="CI331" s="564">
        <f t="shared" si="144"/>
        <v>0</v>
      </c>
      <c r="CJ331" s="564">
        <f t="shared" si="144"/>
        <v>0</v>
      </c>
      <c r="CK331" s="564">
        <f t="shared" si="144"/>
        <v>0</v>
      </c>
      <c r="CL331" s="564">
        <f t="shared" si="144"/>
        <v>0</v>
      </c>
      <c r="CM331" s="564">
        <f t="shared" si="144"/>
        <v>0</v>
      </c>
      <c r="CN331" s="564">
        <f t="shared" si="144"/>
        <v>0</v>
      </c>
      <c r="CO331" s="564">
        <f t="shared" si="144"/>
        <v>0</v>
      </c>
      <c r="CP331" s="564">
        <f t="shared" si="144"/>
        <v>0</v>
      </c>
      <c r="CQ331" s="564">
        <f t="shared" si="144"/>
        <v>0</v>
      </c>
      <c r="CR331" s="564">
        <f t="shared" si="144"/>
        <v>0</v>
      </c>
      <c r="CS331" s="564">
        <f t="shared" si="144"/>
        <v>0</v>
      </c>
      <c r="CT331" s="564">
        <f t="shared" si="144"/>
        <v>0</v>
      </c>
      <c r="CU331" s="564">
        <f t="shared" si="144"/>
        <v>0</v>
      </c>
      <c r="CV331" s="564">
        <f t="shared" si="144"/>
        <v>0</v>
      </c>
      <c r="CW331" s="564">
        <f t="shared" si="144"/>
        <v>0</v>
      </c>
      <c r="CX331" s="564">
        <f t="shared" si="144"/>
        <v>0</v>
      </c>
      <c r="CY331" s="564">
        <f t="shared" si="144"/>
        <v>0</v>
      </c>
      <c r="CZ331" s="564">
        <f t="shared" si="144"/>
        <v>0</v>
      </c>
    </row>
    <row r="332" spans="1:104" x14ac:dyDescent="0.3">
      <c r="A332" s="563">
        <v>2</v>
      </c>
      <c r="B332" s="180"/>
      <c r="C332" s="180"/>
      <c r="D332" s="564">
        <f t="shared" ref="D332:AI332" si="145">D259</f>
        <v>673261</v>
      </c>
      <c r="E332" s="564">
        <f t="shared" si="145"/>
        <v>295069172</v>
      </c>
      <c r="F332" s="564">
        <f t="shared" si="145"/>
        <v>0</v>
      </c>
      <c r="G332" s="564">
        <f t="shared" si="145"/>
        <v>0</v>
      </c>
      <c r="H332" s="564">
        <f t="shared" si="145"/>
        <v>74063</v>
      </c>
      <c r="I332" s="564">
        <f t="shared" si="145"/>
        <v>0</v>
      </c>
      <c r="J332" s="564">
        <f t="shared" si="145"/>
        <v>0</v>
      </c>
      <c r="K332" s="564">
        <f t="shared" si="145"/>
        <v>271523</v>
      </c>
      <c r="L332" s="564">
        <f t="shared" si="145"/>
        <v>369221</v>
      </c>
      <c r="M332" s="564">
        <f t="shared" si="145"/>
        <v>4068534</v>
      </c>
      <c r="N332" s="564">
        <f t="shared" si="145"/>
        <v>2892</v>
      </c>
      <c r="O332" s="564">
        <f t="shared" si="145"/>
        <v>204899</v>
      </c>
      <c r="P332" s="564">
        <f t="shared" si="145"/>
        <v>0</v>
      </c>
      <c r="Q332" s="564">
        <f t="shared" si="145"/>
        <v>124432</v>
      </c>
      <c r="R332" s="564">
        <f t="shared" si="145"/>
        <v>387923</v>
      </c>
      <c r="S332" s="564">
        <f t="shared" si="145"/>
        <v>65757</v>
      </c>
      <c r="T332" s="564">
        <f t="shared" si="145"/>
        <v>2746175</v>
      </c>
      <c r="U332" s="564">
        <f t="shared" si="145"/>
        <v>0</v>
      </c>
      <c r="V332" s="564">
        <f t="shared" si="145"/>
        <v>0</v>
      </c>
      <c r="W332" s="564">
        <f t="shared" si="145"/>
        <v>0</v>
      </c>
      <c r="X332" s="564">
        <f t="shared" si="145"/>
        <v>1244459</v>
      </c>
      <c r="Y332" s="564">
        <f t="shared" si="145"/>
        <v>325598</v>
      </c>
      <c r="Z332" s="564">
        <f t="shared" si="145"/>
        <v>23453601</v>
      </c>
      <c r="AA332" s="564">
        <f t="shared" si="145"/>
        <v>2718144</v>
      </c>
      <c r="AB332" s="564">
        <f t="shared" si="145"/>
        <v>69990</v>
      </c>
      <c r="AC332" s="564">
        <f t="shared" si="145"/>
        <v>17486</v>
      </c>
      <c r="AD332" s="564">
        <f t="shared" si="145"/>
        <v>254374</v>
      </c>
      <c r="AE332" s="564">
        <f t="shared" si="145"/>
        <v>56504</v>
      </c>
      <c r="AF332" s="564">
        <f t="shared" si="145"/>
        <v>30263</v>
      </c>
      <c r="AG332" s="564">
        <f t="shared" si="145"/>
        <v>35784</v>
      </c>
      <c r="AH332" s="564">
        <f t="shared" si="145"/>
        <v>8347358</v>
      </c>
      <c r="AI332" s="564">
        <f t="shared" si="145"/>
        <v>3654</v>
      </c>
      <c r="AJ332" s="564">
        <f t="shared" ref="AJ332:BO332" si="146">AJ259</f>
        <v>747091</v>
      </c>
      <c r="AK332" s="564">
        <f t="shared" si="146"/>
        <v>65811</v>
      </c>
      <c r="AL332" s="564">
        <f t="shared" si="146"/>
        <v>158936</v>
      </c>
      <c r="AM332" s="564">
        <f t="shared" si="146"/>
        <v>1462018</v>
      </c>
      <c r="AN332" s="564">
        <f t="shared" si="146"/>
        <v>38825</v>
      </c>
      <c r="AO332" s="564">
        <f t="shared" si="146"/>
        <v>6729822</v>
      </c>
      <c r="AP332" s="564">
        <f t="shared" si="146"/>
        <v>73243</v>
      </c>
      <c r="AQ332" s="564">
        <f t="shared" si="146"/>
        <v>15311</v>
      </c>
      <c r="AR332" s="564">
        <f t="shared" si="146"/>
        <v>12869</v>
      </c>
      <c r="AS332" s="564">
        <f t="shared" si="146"/>
        <v>4685069</v>
      </c>
      <c r="AT332" s="564">
        <f t="shared" si="146"/>
        <v>18722</v>
      </c>
      <c r="AU332" s="564">
        <f t="shared" si="146"/>
        <v>758567</v>
      </c>
      <c r="AV332" s="564">
        <f t="shared" si="146"/>
        <v>11382</v>
      </c>
      <c r="AW332" s="564">
        <f t="shared" si="146"/>
        <v>23261</v>
      </c>
      <c r="AX332" s="564">
        <f t="shared" si="146"/>
        <v>1276884</v>
      </c>
      <c r="AY332" s="564">
        <f t="shared" si="146"/>
        <v>18045</v>
      </c>
      <c r="AZ332" s="564">
        <f t="shared" si="146"/>
        <v>424800</v>
      </c>
      <c r="BA332" s="564">
        <f t="shared" si="146"/>
        <v>244640</v>
      </c>
      <c r="BB332" s="564">
        <f t="shared" si="146"/>
        <v>23121</v>
      </c>
      <c r="BC332" s="564">
        <f t="shared" si="146"/>
        <v>38210</v>
      </c>
      <c r="BD332" s="564">
        <f t="shared" si="146"/>
        <v>1124190</v>
      </c>
      <c r="BE332" s="564">
        <f t="shared" si="146"/>
        <v>147122</v>
      </c>
      <c r="BF332" s="564">
        <f t="shared" si="146"/>
        <v>9207161</v>
      </c>
      <c r="BG332" s="564">
        <f t="shared" si="146"/>
        <v>0</v>
      </c>
      <c r="BH332" s="564">
        <f t="shared" si="146"/>
        <v>66638</v>
      </c>
      <c r="BI332" s="564">
        <f t="shared" si="146"/>
        <v>57716</v>
      </c>
      <c r="BJ332" s="564">
        <f t="shared" si="146"/>
        <v>5459982</v>
      </c>
      <c r="BK332" s="564">
        <f t="shared" si="146"/>
        <v>423475</v>
      </c>
      <c r="BL332" s="564">
        <f t="shared" si="146"/>
        <v>5911070</v>
      </c>
      <c r="BM332" s="564">
        <f t="shared" si="146"/>
        <v>2454961</v>
      </c>
      <c r="BN332" s="564">
        <f t="shared" si="146"/>
        <v>2008152</v>
      </c>
      <c r="BO332" s="564">
        <f t="shared" si="146"/>
        <v>325034</v>
      </c>
      <c r="BP332" s="564">
        <f t="shared" ref="BP332:CZ332" si="147">BP259</f>
        <v>0</v>
      </c>
      <c r="BQ332" s="564">
        <f t="shared" si="147"/>
        <v>722480</v>
      </c>
      <c r="BR332" s="564">
        <f t="shared" si="147"/>
        <v>0</v>
      </c>
      <c r="BS332" s="564">
        <f t="shared" si="147"/>
        <v>705990</v>
      </c>
      <c r="BT332" s="564">
        <f t="shared" si="147"/>
        <v>113373</v>
      </c>
      <c r="BU332" s="564">
        <f t="shared" si="147"/>
        <v>0</v>
      </c>
      <c r="BV332" s="564">
        <f t="shared" si="147"/>
        <v>503974</v>
      </c>
      <c r="BW332" s="564">
        <f t="shared" si="147"/>
        <v>0</v>
      </c>
      <c r="BX332" s="564">
        <f t="shared" si="147"/>
        <v>0</v>
      </c>
      <c r="BY332" s="564">
        <f t="shared" si="147"/>
        <v>0</v>
      </c>
      <c r="BZ332" s="564">
        <f t="shared" si="147"/>
        <v>0</v>
      </c>
      <c r="CA332" s="564">
        <f t="shared" si="147"/>
        <v>0</v>
      </c>
      <c r="CB332" s="564">
        <f t="shared" si="147"/>
        <v>0</v>
      </c>
      <c r="CC332" s="564">
        <f t="shared" si="147"/>
        <v>0</v>
      </c>
      <c r="CD332" s="564">
        <f t="shared" si="147"/>
        <v>0</v>
      </c>
      <c r="CE332" s="564">
        <f t="shared" si="147"/>
        <v>0</v>
      </c>
      <c r="CF332" s="564">
        <f t="shared" si="147"/>
        <v>0</v>
      </c>
      <c r="CG332" s="564">
        <f t="shared" si="147"/>
        <v>0</v>
      </c>
      <c r="CH332" s="564">
        <f t="shared" si="147"/>
        <v>0</v>
      </c>
      <c r="CI332" s="564">
        <f t="shared" si="147"/>
        <v>0</v>
      </c>
      <c r="CJ332" s="564">
        <f t="shared" si="147"/>
        <v>0</v>
      </c>
      <c r="CK332" s="564">
        <f t="shared" si="147"/>
        <v>0</v>
      </c>
      <c r="CL332" s="564">
        <f t="shared" si="147"/>
        <v>0</v>
      </c>
      <c r="CM332" s="564">
        <f t="shared" si="147"/>
        <v>0</v>
      </c>
      <c r="CN332" s="564">
        <f t="shared" si="147"/>
        <v>0</v>
      </c>
      <c r="CO332" s="564">
        <f t="shared" si="147"/>
        <v>0</v>
      </c>
      <c r="CP332" s="564">
        <f t="shared" si="147"/>
        <v>0</v>
      </c>
      <c r="CQ332" s="564">
        <f t="shared" si="147"/>
        <v>0</v>
      </c>
      <c r="CR332" s="564">
        <f t="shared" si="147"/>
        <v>0</v>
      </c>
      <c r="CS332" s="564">
        <f t="shared" si="147"/>
        <v>0</v>
      </c>
      <c r="CT332" s="564">
        <f t="shared" si="147"/>
        <v>0</v>
      </c>
      <c r="CU332" s="564">
        <f t="shared" si="147"/>
        <v>0</v>
      </c>
      <c r="CV332" s="564">
        <f t="shared" si="147"/>
        <v>0</v>
      </c>
      <c r="CW332" s="564">
        <f t="shared" si="147"/>
        <v>0</v>
      </c>
      <c r="CX332" s="564">
        <f t="shared" si="147"/>
        <v>0</v>
      </c>
      <c r="CY332" s="564">
        <f t="shared" si="147"/>
        <v>0</v>
      </c>
      <c r="CZ332" s="564">
        <f t="shared" si="147"/>
        <v>0</v>
      </c>
    </row>
    <row r="333" spans="1:104" x14ac:dyDescent="0.3">
      <c r="A333" s="563">
        <v>3</v>
      </c>
      <c r="B333" s="180"/>
      <c r="C333" s="180"/>
      <c r="D333" s="564">
        <f t="shared" ref="D333:AI333" si="148">D260</f>
        <v>6151158</v>
      </c>
      <c r="E333" s="564">
        <f t="shared" si="148"/>
        <v>1132445666</v>
      </c>
      <c r="F333" s="564">
        <f t="shared" si="148"/>
        <v>0</v>
      </c>
      <c r="G333" s="564">
        <f t="shared" si="148"/>
        <v>0</v>
      </c>
      <c r="H333" s="564">
        <f t="shared" si="148"/>
        <v>4843676</v>
      </c>
      <c r="I333" s="564">
        <f t="shared" si="148"/>
        <v>0</v>
      </c>
      <c r="J333" s="564">
        <f t="shared" si="148"/>
        <v>0</v>
      </c>
      <c r="K333" s="564">
        <f t="shared" si="148"/>
        <v>336023</v>
      </c>
      <c r="L333" s="564">
        <f t="shared" si="148"/>
        <v>8681435</v>
      </c>
      <c r="M333" s="564">
        <f t="shared" si="148"/>
        <v>25601158</v>
      </c>
      <c r="N333" s="564">
        <f t="shared" si="148"/>
        <v>2892</v>
      </c>
      <c r="O333" s="564">
        <f t="shared" si="148"/>
        <v>357603</v>
      </c>
      <c r="P333" s="564">
        <f t="shared" si="148"/>
        <v>0</v>
      </c>
      <c r="Q333" s="564">
        <f t="shared" si="148"/>
        <v>611330</v>
      </c>
      <c r="R333" s="564">
        <f t="shared" si="148"/>
        <v>764489</v>
      </c>
      <c r="S333" s="564">
        <f t="shared" si="148"/>
        <v>726762</v>
      </c>
      <c r="T333" s="564">
        <f t="shared" si="148"/>
        <v>26188723</v>
      </c>
      <c r="U333" s="564">
        <f t="shared" si="148"/>
        <v>0</v>
      </c>
      <c r="V333" s="564">
        <f t="shared" si="148"/>
        <v>0</v>
      </c>
      <c r="W333" s="564">
        <f t="shared" si="148"/>
        <v>0</v>
      </c>
      <c r="X333" s="564">
        <f t="shared" si="148"/>
        <v>15932891</v>
      </c>
      <c r="Y333" s="564">
        <f t="shared" si="148"/>
        <v>1466904</v>
      </c>
      <c r="Z333" s="564">
        <f t="shared" si="148"/>
        <v>142351195</v>
      </c>
      <c r="AA333" s="564">
        <f t="shared" si="148"/>
        <v>11044740</v>
      </c>
      <c r="AB333" s="564">
        <f t="shared" si="148"/>
        <v>69990</v>
      </c>
      <c r="AC333" s="564">
        <f t="shared" si="148"/>
        <v>69274</v>
      </c>
      <c r="AD333" s="564">
        <f t="shared" si="148"/>
        <v>1166898</v>
      </c>
      <c r="AE333" s="564">
        <f t="shared" si="148"/>
        <v>401832</v>
      </c>
      <c r="AF333" s="564">
        <f t="shared" si="148"/>
        <v>209047</v>
      </c>
      <c r="AG333" s="564">
        <f t="shared" si="148"/>
        <v>1299087</v>
      </c>
      <c r="AH333" s="564">
        <f t="shared" si="148"/>
        <v>11706599</v>
      </c>
      <c r="AI333" s="564">
        <f t="shared" si="148"/>
        <v>3654</v>
      </c>
      <c r="AJ333" s="564">
        <f t="shared" ref="AJ333:BO333" si="149">AJ260</f>
        <v>3430412</v>
      </c>
      <c r="AK333" s="564">
        <f t="shared" si="149"/>
        <v>65811</v>
      </c>
      <c r="AL333" s="564">
        <f t="shared" si="149"/>
        <v>1076444</v>
      </c>
      <c r="AM333" s="564">
        <f t="shared" si="149"/>
        <v>4178794</v>
      </c>
      <c r="AN333" s="564">
        <f t="shared" si="149"/>
        <v>77700</v>
      </c>
      <c r="AO333" s="564">
        <f t="shared" si="149"/>
        <v>38777846</v>
      </c>
      <c r="AP333" s="564">
        <f t="shared" si="149"/>
        <v>610332</v>
      </c>
      <c r="AQ333" s="564">
        <f t="shared" si="149"/>
        <v>63753</v>
      </c>
      <c r="AR333" s="564">
        <f t="shared" si="149"/>
        <v>497762</v>
      </c>
      <c r="AS333" s="564">
        <f t="shared" si="149"/>
        <v>78983721</v>
      </c>
      <c r="AT333" s="564">
        <f t="shared" si="149"/>
        <v>18757</v>
      </c>
      <c r="AU333" s="564">
        <f t="shared" si="149"/>
        <v>991121</v>
      </c>
      <c r="AV333" s="564">
        <f t="shared" si="149"/>
        <v>1119824</v>
      </c>
      <c r="AW333" s="564">
        <f t="shared" si="149"/>
        <v>410281</v>
      </c>
      <c r="AX333" s="564">
        <f t="shared" si="149"/>
        <v>1495031</v>
      </c>
      <c r="AY333" s="564">
        <f t="shared" si="149"/>
        <v>97388</v>
      </c>
      <c r="AZ333" s="564">
        <f t="shared" si="149"/>
        <v>10896443</v>
      </c>
      <c r="BA333" s="564">
        <f t="shared" si="149"/>
        <v>1512411</v>
      </c>
      <c r="BB333" s="564">
        <f t="shared" si="149"/>
        <v>23121</v>
      </c>
      <c r="BC333" s="564">
        <f t="shared" si="149"/>
        <v>69323</v>
      </c>
      <c r="BD333" s="564">
        <f t="shared" si="149"/>
        <v>6548634</v>
      </c>
      <c r="BE333" s="564">
        <f t="shared" si="149"/>
        <v>1342187</v>
      </c>
      <c r="BF333" s="564">
        <f t="shared" si="149"/>
        <v>50951660</v>
      </c>
      <c r="BG333" s="564">
        <f t="shared" si="149"/>
        <v>0</v>
      </c>
      <c r="BH333" s="564">
        <f t="shared" si="149"/>
        <v>235278</v>
      </c>
      <c r="BI333" s="564">
        <f t="shared" si="149"/>
        <v>57716</v>
      </c>
      <c r="BJ333" s="564">
        <f t="shared" si="149"/>
        <v>29236583</v>
      </c>
      <c r="BK333" s="564">
        <f t="shared" si="149"/>
        <v>729388</v>
      </c>
      <c r="BL333" s="564">
        <f t="shared" si="149"/>
        <v>21177746</v>
      </c>
      <c r="BM333" s="564">
        <f t="shared" si="149"/>
        <v>12367127</v>
      </c>
      <c r="BN333" s="564">
        <f t="shared" si="149"/>
        <v>11625285</v>
      </c>
      <c r="BO333" s="564">
        <f t="shared" si="149"/>
        <v>540196</v>
      </c>
      <c r="BP333" s="564">
        <f t="shared" ref="BP333:CZ333" si="150">BP260</f>
        <v>0</v>
      </c>
      <c r="BQ333" s="564">
        <f t="shared" si="150"/>
        <v>4417908</v>
      </c>
      <c r="BR333" s="564">
        <f t="shared" si="150"/>
        <v>0</v>
      </c>
      <c r="BS333" s="564">
        <f t="shared" si="150"/>
        <v>4348572</v>
      </c>
      <c r="BT333" s="564">
        <f t="shared" si="150"/>
        <v>1209038</v>
      </c>
      <c r="BU333" s="564">
        <f t="shared" si="150"/>
        <v>0</v>
      </c>
      <c r="BV333" s="564">
        <f t="shared" si="150"/>
        <v>1716762</v>
      </c>
      <c r="BW333" s="564">
        <f t="shared" si="150"/>
        <v>0</v>
      </c>
      <c r="BX333" s="564">
        <f t="shared" si="150"/>
        <v>0</v>
      </c>
      <c r="BY333" s="564">
        <f t="shared" si="150"/>
        <v>0</v>
      </c>
      <c r="BZ333" s="564">
        <f t="shared" si="150"/>
        <v>0</v>
      </c>
      <c r="CA333" s="564">
        <f t="shared" si="150"/>
        <v>0</v>
      </c>
      <c r="CB333" s="564">
        <f t="shared" si="150"/>
        <v>0</v>
      </c>
      <c r="CC333" s="564">
        <f t="shared" si="150"/>
        <v>0</v>
      </c>
      <c r="CD333" s="564">
        <f t="shared" si="150"/>
        <v>0</v>
      </c>
      <c r="CE333" s="564">
        <f t="shared" si="150"/>
        <v>0</v>
      </c>
      <c r="CF333" s="564">
        <f t="shared" si="150"/>
        <v>0</v>
      </c>
      <c r="CG333" s="564">
        <f t="shared" si="150"/>
        <v>0</v>
      </c>
      <c r="CH333" s="564">
        <f t="shared" si="150"/>
        <v>0</v>
      </c>
      <c r="CI333" s="564">
        <f t="shared" si="150"/>
        <v>0</v>
      </c>
      <c r="CJ333" s="564">
        <f t="shared" si="150"/>
        <v>0</v>
      </c>
      <c r="CK333" s="564">
        <f t="shared" si="150"/>
        <v>0</v>
      </c>
      <c r="CL333" s="564">
        <f t="shared" si="150"/>
        <v>0</v>
      </c>
      <c r="CM333" s="564">
        <f t="shared" si="150"/>
        <v>0</v>
      </c>
      <c r="CN333" s="564">
        <f t="shared" si="150"/>
        <v>0</v>
      </c>
      <c r="CO333" s="564">
        <f t="shared" si="150"/>
        <v>0</v>
      </c>
      <c r="CP333" s="564">
        <f t="shared" si="150"/>
        <v>0</v>
      </c>
      <c r="CQ333" s="564">
        <f t="shared" si="150"/>
        <v>0</v>
      </c>
      <c r="CR333" s="564">
        <f t="shared" si="150"/>
        <v>0</v>
      </c>
      <c r="CS333" s="564">
        <f t="shared" si="150"/>
        <v>0</v>
      </c>
      <c r="CT333" s="564">
        <f t="shared" si="150"/>
        <v>0</v>
      </c>
      <c r="CU333" s="564">
        <f t="shared" si="150"/>
        <v>0</v>
      </c>
      <c r="CV333" s="564">
        <f t="shared" si="150"/>
        <v>0</v>
      </c>
      <c r="CW333" s="564">
        <f t="shared" si="150"/>
        <v>0</v>
      </c>
      <c r="CX333" s="564">
        <f t="shared" si="150"/>
        <v>0</v>
      </c>
      <c r="CY333" s="564">
        <f t="shared" si="150"/>
        <v>0</v>
      </c>
      <c r="CZ333" s="564">
        <f t="shared" si="150"/>
        <v>0</v>
      </c>
    </row>
    <row r="334" spans="1:104" x14ac:dyDescent="0.3">
      <c r="B334" s="180"/>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T334" s="180"/>
      <c r="BU334" s="180"/>
      <c r="BV334" s="180"/>
      <c r="BW334" s="180"/>
      <c r="BX334" s="180"/>
      <c r="BY334" s="180"/>
      <c r="BZ334" s="180"/>
      <c r="CA334" s="180"/>
      <c r="CB334" s="180"/>
      <c r="CC334" s="180"/>
      <c r="CD334" s="180"/>
      <c r="CE334" s="180"/>
      <c r="CF334" s="180"/>
      <c r="CG334" s="180"/>
      <c r="CH334" s="180"/>
      <c r="CI334" s="180"/>
      <c r="CJ334" s="180"/>
      <c r="CK334" s="180"/>
      <c r="CL334" s="180"/>
      <c r="CM334" s="180"/>
      <c r="CN334" s="180"/>
      <c r="CO334" s="180"/>
      <c r="CP334" s="180"/>
      <c r="CQ334" s="180"/>
      <c r="CR334" s="180"/>
      <c r="CS334" s="180"/>
      <c r="CT334" s="180"/>
      <c r="CU334" s="180"/>
      <c r="CV334" s="180"/>
      <c r="CW334" s="180"/>
      <c r="CX334" s="180"/>
      <c r="CY334" s="180"/>
      <c r="CZ334" s="180"/>
    </row>
    <row r="335" spans="1:104" x14ac:dyDescent="0.3">
      <c r="B335" s="180"/>
      <c r="C335" s="180"/>
      <c r="D335" s="574">
        <f>D329+D331+D332+D333</f>
        <v>297954291.40000004</v>
      </c>
      <c r="E335" s="574">
        <f t="shared" ref="E335:BP335" si="151">E329+E331+E332+E333</f>
        <v>28994897219.102997</v>
      </c>
      <c r="F335" s="574">
        <f t="shared" si="151"/>
        <v>0</v>
      </c>
      <c r="G335" s="574">
        <f t="shared" si="151"/>
        <v>0</v>
      </c>
      <c r="H335" s="574">
        <f t="shared" si="151"/>
        <v>100905186.53999999</v>
      </c>
      <c r="I335" s="574">
        <f t="shared" si="151"/>
        <v>788923.71499999997</v>
      </c>
      <c r="J335" s="574">
        <f t="shared" si="151"/>
        <v>0</v>
      </c>
      <c r="K335" s="574">
        <f t="shared" si="151"/>
        <v>74016206</v>
      </c>
      <c r="L335" s="574">
        <f t="shared" si="151"/>
        <v>231961288.03</v>
      </c>
      <c r="M335" s="574">
        <f t="shared" si="151"/>
        <v>834778863.52740002</v>
      </c>
      <c r="N335" s="574">
        <f t="shared" si="151"/>
        <v>8094618.6310000001</v>
      </c>
      <c r="O335" s="574">
        <f t="shared" si="151"/>
        <v>42489680.030000001</v>
      </c>
      <c r="P335" s="574">
        <f t="shared" si="151"/>
        <v>0</v>
      </c>
      <c r="Q335" s="574">
        <f t="shared" si="151"/>
        <v>15653987.369999999</v>
      </c>
      <c r="R335" s="574">
        <f t="shared" si="151"/>
        <v>27262801.760000002</v>
      </c>
      <c r="S335" s="574">
        <f t="shared" si="151"/>
        <v>78273726.599999994</v>
      </c>
      <c r="T335" s="574">
        <f t="shared" si="151"/>
        <v>293187409.34100002</v>
      </c>
      <c r="U335" s="574">
        <f t="shared" si="151"/>
        <v>0</v>
      </c>
      <c r="V335" s="574">
        <f t="shared" si="151"/>
        <v>0</v>
      </c>
      <c r="W335" s="574">
        <f t="shared" si="151"/>
        <v>0</v>
      </c>
      <c r="X335" s="574">
        <f t="shared" si="151"/>
        <v>403427203.31</v>
      </c>
      <c r="Y335" s="574">
        <f t="shared" si="151"/>
        <v>42359792.719999999</v>
      </c>
      <c r="Z335" s="574">
        <f t="shared" si="151"/>
        <v>3440019434.355</v>
      </c>
      <c r="AA335" s="574">
        <f t="shared" si="151"/>
        <v>349065649.18000001</v>
      </c>
      <c r="AB335" s="574">
        <f t="shared" si="151"/>
        <v>13466665.439999999</v>
      </c>
      <c r="AC335" s="574">
        <f t="shared" si="151"/>
        <v>38682388.200000003</v>
      </c>
      <c r="AD335" s="574">
        <f t="shared" si="151"/>
        <v>69891842.280000001</v>
      </c>
      <c r="AE335" s="574">
        <f t="shared" si="151"/>
        <v>61997716.440000005</v>
      </c>
      <c r="AF335" s="574">
        <f t="shared" si="151"/>
        <v>38087813.549999997</v>
      </c>
      <c r="AG335" s="574">
        <f t="shared" si="151"/>
        <v>42123181.5</v>
      </c>
      <c r="AH335" s="574">
        <f t="shared" si="151"/>
        <v>393296224.07999998</v>
      </c>
      <c r="AI335" s="574">
        <f t="shared" si="151"/>
        <v>4311326.1624999996</v>
      </c>
      <c r="AJ335" s="574">
        <f t="shared" si="151"/>
        <v>81106903.030000001</v>
      </c>
      <c r="AK335" s="574">
        <f t="shared" si="151"/>
        <v>6652118.8600000003</v>
      </c>
      <c r="AL335" s="574">
        <f t="shared" si="151"/>
        <v>50396462.230000004</v>
      </c>
      <c r="AM335" s="574">
        <f t="shared" si="151"/>
        <v>146673855.51000002</v>
      </c>
      <c r="AN335" s="574">
        <f t="shared" si="151"/>
        <v>22325813</v>
      </c>
      <c r="AO335" s="574">
        <f t="shared" si="151"/>
        <v>2077990005.5395999</v>
      </c>
      <c r="AP335" s="574">
        <f t="shared" si="151"/>
        <v>61320680.120000005</v>
      </c>
      <c r="AQ335" s="574">
        <f t="shared" si="151"/>
        <v>7345400.9199999999</v>
      </c>
      <c r="AR335" s="574">
        <f t="shared" si="151"/>
        <v>14786437.620000001</v>
      </c>
      <c r="AS335" s="574">
        <f t="shared" si="151"/>
        <v>1872752735.8099999</v>
      </c>
      <c r="AT335" s="574">
        <f t="shared" si="151"/>
        <v>37549509.219999999</v>
      </c>
      <c r="AU335" s="574">
        <f t="shared" si="151"/>
        <v>146198152.19</v>
      </c>
      <c r="AV335" s="574">
        <f t="shared" si="151"/>
        <v>130872230.14500001</v>
      </c>
      <c r="AW335" s="574">
        <f t="shared" si="151"/>
        <v>44159707.620000005</v>
      </c>
      <c r="AX335" s="574">
        <f t="shared" si="151"/>
        <v>21804774.760000002</v>
      </c>
      <c r="AY335" s="574">
        <f t="shared" si="151"/>
        <v>8221538.1749999998</v>
      </c>
      <c r="AZ335" s="574">
        <f t="shared" si="151"/>
        <v>367462903.26999998</v>
      </c>
      <c r="BA335" s="574">
        <f t="shared" si="151"/>
        <v>48321541.700000003</v>
      </c>
      <c r="BB335" s="574">
        <f t="shared" si="151"/>
        <v>20543549.639999997</v>
      </c>
      <c r="BC335" s="574">
        <f t="shared" si="151"/>
        <v>22188160.859999999</v>
      </c>
      <c r="BD335" s="574">
        <f t="shared" si="151"/>
        <v>282564390.59250003</v>
      </c>
      <c r="BE335" s="574">
        <f t="shared" si="151"/>
        <v>111339392.96000001</v>
      </c>
      <c r="BF335" s="574">
        <f t="shared" si="151"/>
        <v>1769745587.0975001</v>
      </c>
      <c r="BG335" s="574">
        <f t="shared" si="151"/>
        <v>0</v>
      </c>
      <c r="BH335" s="574">
        <f t="shared" si="151"/>
        <v>7169344.5099999998</v>
      </c>
      <c r="BI335" s="574">
        <f t="shared" si="151"/>
        <v>20098512.789999999</v>
      </c>
      <c r="BJ335" s="574">
        <f t="shared" si="151"/>
        <v>975768224.31999993</v>
      </c>
      <c r="BK335" s="574">
        <f t="shared" si="151"/>
        <v>76876900.929999992</v>
      </c>
      <c r="BL335" s="574">
        <f t="shared" si="151"/>
        <v>851755717.66999996</v>
      </c>
      <c r="BM335" s="574">
        <f t="shared" si="151"/>
        <v>220993981.97580001</v>
      </c>
      <c r="BN335" s="574">
        <f t="shared" si="151"/>
        <v>475333131.73559999</v>
      </c>
      <c r="BO335" s="574">
        <f t="shared" si="151"/>
        <v>162711039.24000001</v>
      </c>
      <c r="BP335" s="574">
        <f t="shared" si="151"/>
        <v>0</v>
      </c>
      <c r="BQ335" s="574">
        <f t="shared" ref="BQ335:CZ335" si="152">BQ329+BQ331+BQ332+BQ333</f>
        <v>89267733.680000007</v>
      </c>
      <c r="BR335" s="574">
        <f t="shared" si="152"/>
        <v>0</v>
      </c>
      <c r="BS335" s="574">
        <f t="shared" si="152"/>
        <v>157984843.47300002</v>
      </c>
      <c r="BT335" s="574">
        <f t="shared" si="152"/>
        <v>50065551.200000003</v>
      </c>
      <c r="BU335" s="574">
        <f t="shared" si="152"/>
        <v>0</v>
      </c>
      <c r="BV335" s="574">
        <f t="shared" si="152"/>
        <v>157132473.88999999</v>
      </c>
      <c r="BW335" s="574">
        <f t="shared" si="152"/>
        <v>0</v>
      </c>
      <c r="BX335" s="574">
        <f t="shared" si="152"/>
        <v>0</v>
      </c>
      <c r="BY335" s="574">
        <f t="shared" si="152"/>
        <v>0</v>
      </c>
      <c r="BZ335" s="574">
        <f t="shared" si="152"/>
        <v>0</v>
      </c>
      <c r="CA335" s="574">
        <f t="shared" si="152"/>
        <v>0</v>
      </c>
      <c r="CB335" s="574">
        <f t="shared" si="152"/>
        <v>0</v>
      </c>
      <c r="CC335" s="574">
        <f t="shared" si="152"/>
        <v>0</v>
      </c>
      <c r="CD335" s="574">
        <f t="shared" si="152"/>
        <v>0</v>
      </c>
      <c r="CE335" s="574">
        <f t="shared" si="152"/>
        <v>0</v>
      </c>
      <c r="CF335" s="574">
        <f t="shared" si="152"/>
        <v>0</v>
      </c>
      <c r="CG335" s="574">
        <f t="shared" si="152"/>
        <v>0</v>
      </c>
      <c r="CH335" s="574">
        <f t="shared" si="152"/>
        <v>0</v>
      </c>
      <c r="CI335" s="574">
        <f t="shared" si="152"/>
        <v>0</v>
      </c>
      <c r="CJ335" s="574">
        <f t="shared" si="152"/>
        <v>0</v>
      </c>
      <c r="CK335" s="574">
        <f t="shared" si="152"/>
        <v>0</v>
      </c>
      <c r="CL335" s="574">
        <f t="shared" si="152"/>
        <v>0</v>
      </c>
      <c r="CM335" s="574">
        <f t="shared" si="152"/>
        <v>0</v>
      </c>
      <c r="CN335" s="574">
        <f t="shared" si="152"/>
        <v>0</v>
      </c>
      <c r="CO335" s="574">
        <f t="shared" si="152"/>
        <v>0</v>
      </c>
      <c r="CP335" s="574">
        <f t="shared" si="152"/>
        <v>0</v>
      </c>
      <c r="CQ335" s="574">
        <f t="shared" si="152"/>
        <v>0</v>
      </c>
      <c r="CR335" s="574">
        <f t="shared" si="152"/>
        <v>0</v>
      </c>
      <c r="CS335" s="574">
        <f t="shared" si="152"/>
        <v>0</v>
      </c>
      <c r="CT335" s="574">
        <f t="shared" si="152"/>
        <v>0</v>
      </c>
      <c r="CU335" s="574">
        <f t="shared" si="152"/>
        <v>0</v>
      </c>
      <c r="CV335" s="574">
        <f t="shared" si="152"/>
        <v>0</v>
      </c>
      <c r="CW335" s="574">
        <f t="shared" si="152"/>
        <v>0</v>
      </c>
      <c r="CX335" s="574">
        <f t="shared" si="152"/>
        <v>0</v>
      </c>
      <c r="CY335" s="574">
        <f t="shared" si="152"/>
        <v>0</v>
      </c>
      <c r="CZ335" s="574">
        <f t="shared" si="152"/>
        <v>0</v>
      </c>
    </row>
    <row r="336" spans="1:104" x14ac:dyDescent="0.3">
      <c r="B336" s="180"/>
      <c r="C336" s="180"/>
      <c r="D336" s="574"/>
      <c r="E336" s="574"/>
      <c r="F336" s="574"/>
      <c r="G336" s="574"/>
      <c r="H336" s="574"/>
      <c r="I336" s="574"/>
      <c r="J336" s="574"/>
      <c r="K336" s="574"/>
      <c r="L336" s="574"/>
      <c r="M336" s="574"/>
      <c r="N336" s="574"/>
      <c r="O336" s="574"/>
      <c r="P336" s="574"/>
      <c r="Q336" s="574"/>
      <c r="R336" s="574"/>
      <c r="S336" s="574"/>
      <c r="T336" s="574"/>
      <c r="U336" s="574"/>
      <c r="V336" s="574"/>
      <c r="W336" s="574"/>
      <c r="X336" s="574"/>
      <c r="Y336" s="574"/>
      <c r="Z336" s="574"/>
      <c r="AA336" s="574"/>
      <c r="AB336" s="574"/>
      <c r="AC336" s="574"/>
      <c r="AD336" s="574"/>
      <c r="AE336" s="574"/>
      <c r="AF336" s="574"/>
      <c r="AG336" s="574"/>
      <c r="AH336" s="574"/>
      <c r="AI336" s="574"/>
      <c r="AJ336" s="574"/>
      <c r="AK336" s="574"/>
      <c r="AL336" s="574"/>
      <c r="AM336" s="574"/>
      <c r="AN336" s="574"/>
      <c r="AO336" s="574"/>
      <c r="AP336" s="574"/>
      <c r="AQ336" s="574"/>
      <c r="AR336" s="574"/>
      <c r="AS336" s="574"/>
      <c r="AT336" s="574"/>
      <c r="AU336" s="574"/>
      <c r="AV336" s="574"/>
      <c r="AW336" s="574"/>
      <c r="AX336" s="574"/>
      <c r="AY336" s="574"/>
      <c r="AZ336" s="574"/>
      <c r="BA336" s="574"/>
      <c r="BB336" s="574"/>
      <c r="BC336" s="574"/>
      <c r="BD336" s="574"/>
      <c r="BE336" s="574"/>
      <c r="BF336" s="574"/>
      <c r="BG336" s="574"/>
      <c r="BH336" s="574"/>
      <c r="BI336" s="574"/>
      <c r="BJ336" s="574"/>
      <c r="BK336" s="574"/>
      <c r="BL336" s="574"/>
      <c r="BM336" s="574"/>
      <c r="BN336" s="574"/>
      <c r="BO336" s="574"/>
      <c r="BP336" s="574"/>
      <c r="BQ336" s="574"/>
      <c r="BR336" s="574"/>
      <c r="BS336" s="574"/>
      <c r="BT336" s="574"/>
      <c r="BU336" s="574"/>
      <c r="BV336" s="574"/>
      <c r="BW336" s="574"/>
      <c r="BX336" s="574"/>
      <c r="BY336" s="574"/>
      <c r="BZ336" s="574"/>
      <c r="CA336" s="574"/>
      <c r="CB336" s="574"/>
      <c r="CC336" s="574"/>
      <c r="CD336" s="574"/>
      <c r="CE336" s="574"/>
      <c r="CF336" s="574"/>
      <c r="CG336" s="574"/>
      <c r="CH336" s="574"/>
      <c r="CI336" s="574"/>
      <c r="CJ336" s="574"/>
      <c r="CK336" s="574"/>
      <c r="CL336" s="574"/>
      <c r="CM336" s="574"/>
      <c r="CN336" s="574"/>
      <c r="CO336" s="574"/>
      <c r="CP336" s="574"/>
      <c r="CQ336" s="574"/>
      <c r="CR336" s="574"/>
      <c r="CS336" s="574"/>
      <c r="CT336" s="574"/>
      <c r="CU336" s="574"/>
      <c r="CV336" s="574"/>
      <c r="CW336" s="574"/>
      <c r="CX336" s="574"/>
      <c r="CY336" s="574"/>
      <c r="CZ336" s="574"/>
    </row>
    <row r="337" spans="2:104" x14ac:dyDescent="0.3">
      <c r="B337" s="180"/>
      <c r="C337" s="180"/>
      <c r="D337" s="574" t="e">
        <f>'Unit Data from Audit Worksheet'!$E$299</f>
        <v>#N/A</v>
      </c>
      <c r="E337" s="574" t="e">
        <f>'Unit Data from Audit Worksheet'!$E$299</f>
        <v>#N/A</v>
      </c>
      <c r="F337" s="574" t="e">
        <f>'Unit Data from Audit Worksheet'!$E$299</f>
        <v>#N/A</v>
      </c>
      <c r="G337" s="574" t="e">
        <f>'Unit Data from Audit Worksheet'!$E$299</f>
        <v>#N/A</v>
      </c>
      <c r="H337" s="574" t="e">
        <f>'Unit Data from Audit Worksheet'!$E$299</f>
        <v>#N/A</v>
      </c>
      <c r="I337" s="574" t="e">
        <f>'Unit Data from Audit Worksheet'!$E$299</f>
        <v>#N/A</v>
      </c>
      <c r="J337" s="574" t="e">
        <f>'Unit Data from Audit Worksheet'!$E$299</f>
        <v>#N/A</v>
      </c>
      <c r="K337" s="574" t="e">
        <f>'Unit Data from Audit Worksheet'!$E$299</f>
        <v>#N/A</v>
      </c>
      <c r="L337" s="574" t="e">
        <f>'Unit Data from Audit Worksheet'!$E$299</f>
        <v>#N/A</v>
      </c>
      <c r="M337" s="574" t="e">
        <f>'Unit Data from Audit Worksheet'!$E$299</f>
        <v>#N/A</v>
      </c>
      <c r="N337" s="574" t="e">
        <f>'Unit Data from Audit Worksheet'!$E$299</f>
        <v>#N/A</v>
      </c>
      <c r="O337" s="574" t="e">
        <f>'Unit Data from Audit Worksheet'!$E$299</f>
        <v>#N/A</v>
      </c>
      <c r="P337" s="574" t="e">
        <f>'Unit Data from Audit Worksheet'!$E$299</f>
        <v>#N/A</v>
      </c>
      <c r="Q337" s="574" t="e">
        <f>'Unit Data from Audit Worksheet'!$E$299</f>
        <v>#N/A</v>
      </c>
      <c r="R337" s="574" t="e">
        <f>'Unit Data from Audit Worksheet'!$E$299</f>
        <v>#N/A</v>
      </c>
      <c r="S337" s="574" t="e">
        <f>'Unit Data from Audit Worksheet'!$E$299</f>
        <v>#N/A</v>
      </c>
      <c r="T337" s="574" t="e">
        <f>'Unit Data from Audit Worksheet'!$E$299</f>
        <v>#N/A</v>
      </c>
      <c r="U337" s="574" t="e">
        <f>'Unit Data from Audit Worksheet'!$E$299</f>
        <v>#N/A</v>
      </c>
      <c r="V337" s="574" t="e">
        <f>'Unit Data from Audit Worksheet'!$E$299</f>
        <v>#N/A</v>
      </c>
      <c r="W337" s="574" t="e">
        <f>'Unit Data from Audit Worksheet'!$E$299</f>
        <v>#N/A</v>
      </c>
      <c r="X337" s="574" t="e">
        <f>'Unit Data from Audit Worksheet'!$E$299</f>
        <v>#N/A</v>
      </c>
      <c r="Y337" s="574" t="e">
        <f>'Unit Data from Audit Worksheet'!$E$299</f>
        <v>#N/A</v>
      </c>
      <c r="Z337" s="574" t="e">
        <f>'Unit Data from Audit Worksheet'!$E$299</f>
        <v>#N/A</v>
      </c>
      <c r="AA337" s="574" t="e">
        <f>'Unit Data from Audit Worksheet'!$E$299</f>
        <v>#N/A</v>
      </c>
      <c r="AB337" s="574" t="e">
        <f>'Unit Data from Audit Worksheet'!$E$299</f>
        <v>#N/A</v>
      </c>
      <c r="AC337" s="574" t="e">
        <f>'Unit Data from Audit Worksheet'!$E$299</f>
        <v>#N/A</v>
      </c>
      <c r="AD337" s="574" t="e">
        <f>'Unit Data from Audit Worksheet'!$E$299</f>
        <v>#N/A</v>
      </c>
      <c r="AE337" s="574" t="e">
        <f>'Unit Data from Audit Worksheet'!$E$299</f>
        <v>#N/A</v>
      </c>
      <c r="AF337" s="574" t="e">
        <f>'Unit Data from Audit Worksheet'!$E$299</f>
        <v>#N/A</v>
      </c>
      <c r="AG337" s="574" t="e">
        <f>'Unit Data from Audit Worksheet'!$E$299</f>
        <v>#N/A</v>
      </c>
      <c r="AH337" s="574" t="e">
        <f>'Unit Data from Audit Worksheet'!$E$299</f>
        <v>#N/A</v>
      </c>
      <c r="AI337" s="574" t="e">
        <f>'Unit Data from Audit Worksheet'!$E$299</f>
        <v>#N/A</v>
      </c>
      <c r="AJ337" s="574" t="e">
        <f>'Unit Data from Audit Worksheet'!$E$299</f>
        <v>#N/A</v>
      </c>
      <c r="AK337" s="574" t="e">
        <f>'Unit Data from Audit Worksheet'!$E$299</f>
        <v>#N/A</v>
      </c>
      <c r="AL337" s="574" t="e">
        <f>'Unit Data from Audit Worksheet'!$E$299</f>
        <v>#N/A</v>
      </c>
      <c r="AM337" s="574" t="e">
        <f>'Unit Data from Audit Worksheet'!$E$299</f>
        <v>#N/A</v>
      </c>
      <c r="AN337" s="574" t="e">
        <f>'Unit Data from Audit Worksheet'!$E$299</f>
        <v>#N/A</v>
      </c>
      <c r="AO337" s="574" t="e">
        <f>'Unit Data from Audit Worksheet'!$E$299</f>
        <v>#N/A</v>
      </c>
      <c r="AP337" s="574" t="e">
        <f>'Unit Data from Audit Worksheet'!$E$299</f>
        <v>#N/A</v>
      </c>
      <c r="AQ337" s="574" t="e">
        <f>'Unit Data from Audit Worksheet'!$E$299</f>
        <v>#N/A</v>
      </c>
      <c r="AR337" s="574" t="e">
        <f>'Unit Data from Audit Worksheet'!$E$299</f>
        <v>#N/A</v>
      </c>
      <c r="AS337" s="574" t="e">
        <f>'Unit Data from Audit Worksheet'!$E$299</f>
        <v>#N/A</v>
      </c>
      <c r="AT337" s="574" t="e">
        <f>'Unit Data from Audit Worksheet'!$E$299</f>
        <v>#N/A</v>
      </c>
      <c r="AU337" s="574" t="e">
        <f>'Unit Data from Audit Worksheet'!$E$299</f>
        <v>#N/A</v>
      </c>
      <c r="AV337" s="574" t="e">
        <f>'Unit Data from Audit Worksheet'!$E$299</f>
        <v>#N/A</v>
      </c>
      <c r="AW337" s="574" t="e">
        <f>'Unit Data from Audit Worksheet'!$E$299</f>
        <v>#N/A</v>
      </c>
      <c r="AX337" s="574" t="e">
        <f>'Unit Data from Audit Worksheet'!$E$299</f>
        <v>#N/A</v>
      </c>
      <c r="AY337" s="574" t="e">
        <f>'Unit Data from Audit Worksheet'!$E$299</f>
        <v>#N/A</v>
      </c>
      <c r="AZ337" s="574" t="e">
        <f>'Unit Data from Audit Worksheet'!$E$299</f>
        <v>#N/A</v>
      </c>
      <c r="BA337" s="574" t="e">
        <f>'Unit Data from Audit Worksheet'!$E$299</f>
        <v>#N/A</v>
      </c>
      <c r="BB337" s="574" t="e">
        <f>'Unit Data from Audit Worksheet'!$E$299</f>
        <v>#N/A</v>
      </c>
      <c r="BC337" s="574" t="e">
        <f>'Unit Data from Audit Worksheet'!$E$299</f>
        <v>#N/A</v>
      </c>
      <c r="BD337" s="574" t="e">
        <f>'Unit Data from Audit Worksheet'!$E$299</f>
        <v>#N/A</v>
      </c>
      <c r="BE337" s="574" t="e">
        <f>'Unit Data from Audit Worksheet'!$E$299</f>
        <v>#N/A</v>
      </c>
      <c r="BF337" s="574" t="e">
        <f>'Unit Data from Audit Worksheet'!$E$299</f>
        <v>#N/A</v>
      </c>
      <c r="BG337" s="574" t="e">
        <f>'Unit Data from Audit Worksheet'!$E$299</f>
        <v>#N/A</v>
      </c>
      <c r="BH337" s="574" t="e">
        <f>'Unit Data from Audit Worksheet'!$E$299</f>
        <v>#N/A</v>
      </c>
      <c r="BI337" s="574" t="e">
        <f>'Unit Data from Audit Worksheet'!$E$299</f>
        <v>#N/A</v>
      </c>
      <c r="BJ337" s="574" t="e">
        <f>'Unit Data from Audit Worksheet'!$E$299</f>
        <v>#N/A</v>
      </c>
      <c r="BK337" s="574" t="e">
        <f>'Unit Data from Audit Worksheet'!$E$299</f>
        <v>#N/A</v>
      </c>
      <c r="BL337" s="574" t="e">
        <f>'Unit Data from Audit Worksheet'!$E$299</f>
        <v>#N/A</v>
      </c>
      <c r="BM337" s="574" t="e">
        <f>'Unit Data from Audit Worksheet'!$E$299</f>
        <v>#N/A</v>
      </c>
      <c r="BN337" s="574" t="e">
        <f>'Unit Data from Audit Worksheet'!$E$299</f>
        <v>#N/A</v>
      </c>
      <c r="BO337" s="574" t="e">
        <f>'Unit Data from Audit Worksheet'!$E$299</f>
        <v>#N/A</v>
      </c>
      <c r="BP337" s="574" t="e">
        <f>'Unit Data from Audit Worksheet'!$E$299</f>
        <v>#N/A</v>
      </c>
      <c r="BQ337" s="574" t="e">
        <f>'Unit Data from Audit Worksheet'!$E$299</f>
        <v>#N/A</v>
      </c>
      <c r="BR337" s="574" t="e">
        <f>'Unit Data from Audit Worksheet'!$E$299</f>
        <v>#N/A</v>
      </c>
      <c r="BS337" s="574" t="e">
        <f>'Unit Data from Audit Worksheet'!$E$299</f>
        <v>#N/A</v>
      </c>
      <c r="BT337" s="574" t="e">
        <f>'Unit Data from Audit Worksheet'!$E$299</f>
        <v>#N/A</v>
      </c>
      <c r="BU337" s="574" t="e">
        <f>'Unit Data from Audit Worksheet'!$E$299</f>
        <v>#N/A</v>
      </c>
      <c r="BV337" s="574" t="e">
        <f>'Unit Data from Audit Worksheet'!$E$299</f>
        <v>#N/A</v>
      </c>
      <c r="BW337" s="574" t="e">
        <f>'Unit Data from Audit Worksheet'!$E$299</f>
        <v>#N/A</v>
      </c>
      <c r="BX337" s="574" t="e">
        <f>'Unit Data from Audit Worksheet'!$E$299</f>
        <v>#N/A</v>
      </c>
      <c r="BY337" s="574" t="e">
        <f>'Unit Data from Audit Worksheet'!$E$299</f>
        <v>#N/A</v>
      </c>
      <c r="BZ337" s="574" t="e">
        <f>'Unit Data from Audit Worksheet'!$E$299</f>
        <v>#N/A</v>
      </c>
      <c r="CA337" s="574" t="e">
        <f>'Unit Data from Audit Worksheet'!$E$299</f>
        <v>#N/A</v>
      </c>
      <c r="CB337" s="574" t="e">
        <f>'Unit Data from Audit Worksheet'!$E$299</f>
        <v>#N/A</v>
      </c>
      <c r="CC337" s="574" t="e">
        <f>'Unit Data from Audit Worksheet'!$E$299</f>
        <v>#N/A</v>
      </c>
      <c r="CD337" s="574" t="e">
        <f>'Unit Data from Audit Worksheet'!$E$299</f>
        <v>#N/A</v>
      </c>
      <c r="CE337" s="574" t="e">
        <f>'Unit Data from Audit Worksheet'!$E$299</f>
        <v>#N/A</v>
      </c>
      <c r="CF337" s="574" t="e">
        <f>'Unit Data from Audit Worksheet'!$E$299</f>
        <v>#N/A</v>
      </c>
      <c r="CG337" s="574" t="e">
        <f>'Unit Data from Audit Worksheet'!$E$299</f>
        <v>#N/A</v>
      </c>
      <c r="CH337" s="574" t="e">
        <f>'Unit Data from Audit Worksheet'!$E$299</f>
        <v>#N/A</v>
      </c>
      <c r="CI337" s="574" t="e">
        <f>'Unit Data from Audit Worksheet'!$E$299</f>
        <v>#N/A</v>
      </c>
      <c r="CJ337" s="574" t="e">
        <f>'Unit Data from Audit Worksheet'!$E$299</f>
        <v>#N/A</v>
      </c>
      <c r="CK337" s="574" t="e">
        <f>'Unit Data from Audit Worksheet'!$E$299</f>
        <v>#N/A</v>
      </c>
      <c r="CL337" s="574" t="e">
        <f>'Unit Data from Audit Worksheet'!$E$299</f>
        <v>#N/A</v>
      </c>
      <c r="CM337" s="574" t="e">
        <f>'Unit Data from Audit Worksheet'!$E$299</f>
        <v>#N/A</v>
      </c>
      <c r="CN337" s="574" t="e">
        <f>'Unit Data from Audit Worksheet'!$E$299</f>
        <v>#N/A</v>
      </c>
      <c r="CO337" s="574" t="e">
        <f>'Unit Data from Audit Worksheet'!$E$299</f>
        <v>#N/A</v>
      </c>
      <c r="CP337" s="574" t="e">
        <f>'Unit Data from Audit Worksheet'!$E$299</f>
        <v>#N/A</v>
      </c>
      <c r="CQ337" s="574" t="e">
        <f>'Unit Data from Audit Worksheet'!$E$299</f>
        <v>#N/A</v>
      </c>
      <c r="CR337" s="574" t="e">
        <f>'Unit Data from Audit Worksheet'!$E$299</f>
        <v>#N/A</v>
      </c>
      <c r="CS337" s="574" t="e">
        <f>'Unit Data from Audit Worksheet'!$E$299</f>
        <v>#N/A</v>
      </c>
      <c r="CT337" s="574" t="e">
        <f>'Unit Data from Audit Worksheet'!$E$299</f>
        <v>#N/A</v>
      </c>
      <c r="CU337" s="574" t="e">
        <f>'Unit Data from Audit Worksheet'!$E$299</f>
        <v>#N/A</v>
      </c>
      <c r="CV337" s="574" t="e">
        <f>'Unit Data from Audit Worksheet'!$E$299</f>
        <v>#N/A</v>
      </c>
      <c r="CW337" s="574" t="e">
        <f>'Unit Data from Audit Worksheet'!$E$299</f>
        <v>#N/A</v>
      </c>
      <c r="CX337" s="574" t="e">
        <f>'Unit Data from Audit Worksheet'!$E$299</f>
        <v>#N/A</v>
      </c>
      <c r="CY337" s="574" t="e">
        <f>'Unit Data from Audit Worksheet'!$E$299</f>
        <v>#N/A</v>
      </c>
      <c r="CZ337" s="574" t="e">
        <f>'Unit Data from Audit Worksheet'!$E$299</f>
        <v>#N/A</v>
      </c>
    </row>
    <row r="338" spans="2:104" x14ac:dyDescent="0.3">
      <c r="B338" s="180"/>
      <c r="C338" s="180"/>
      <c r="D338" s="574"/>
      <c r="E338" s="574"/>
      <c r="F338" s="574"/>
      <c r="G338" s="574"/>
      <c r="H338" s="574"/>
      <c r="I338" s="574"/>
      <c r="J338" s="574"/>
      <c r="K338" s="574"/>
      <c r="L338" s="574"/>
      <c r="M338" s="574"/>
      <c r="N338" s="574"/>
      <c r="O338" s="574"/>
      <c r="P338" s="574"/>
      <c r="Q338" s="574"/>
      <c r="R338" s="574"/>
      <c r="S338" s="574"/>
      <c r="T338" s="574"/>
      <c r="U338" s="574"/>
      <c r="V338" s="574"/>
      <c r="W338" s="574"/>
      <c r="X338" s="574"/>
      <c r="Y338" s="574"/>
      <c r="Z338" s="574"/>
      <c r="AA338" s="574"/>
      <c r="AB338" s="574"/>
      <c r="AC338" s="574"/>
      <c r="AD338" s="574"/>
      <c r="AE338" s="574"/>
      <c r="AF338" s="574"/>
      <c r="AG338" s="574"/>
      <c r="AH338" s="574"/>
      <c r="AI338" s="574"/>
      <c r="AJ338" s="574"/>
      <c r="AK338" s="574"/>
      <c r="AL338" s="574"/>
      <c r="AM338" s="574"/>
      <c r="AN338" s="574"/>
      <c r="AO338" s="574"/>
      <c r="AP338" s="574"/>
      <c r="AQ338" s="574"/>
      <c r="AR338" s="574"/>
      <c r="AS338" s="574"/>
      <c r="AT338" s="574"/>
      <c r="AU338" s="574"/>
      <c r="AV338" s="574"/>
      <c r="AW338" s="574"/>
      <c r="AX338" s="574"/>
      <c r="AY338" s="574"/>
      <c r="AZ338" s="574"/>
      <c r="BA338" s="574"/>
      <c r="BB338" s="574"/>
      <c r="BC338" s="574"/>
      <c r="BD338" s="574"/>
      <c r="BE338" s="574"/>
      <c r="BF338" s="574"/>
      <c r="BG338" s="574"/>
      <c r="BH338" s="574"/>
      <c r="BI338" s="574"/>
      <c r="BJ338" s="574"/>
      <c r="BK338" s="574"/>
      <c r="BL338" s="574"/>
      <c r="BM338" s="574"/>
      <c r="BN338" s="574"/>
      <c r="BO338" s="574"/>
      <c r="BP338" s="574"/>
      <c r="BQ338" s="574"/>
      <c r="BR338" s="574"/>
      <c r="BS338" s="574"/>
      <c r="BT338" s="574"/>
      <c r="BU338" s="574"/>
      <c r="BV338" s="574"/>
      <c r="BW338" s="574"/>
      <c r="BX338" s="574"/>
      <c r="BY338" s="574"/>
      <c r="BZ338" s="574"/>
      <c r="CA338" s="574"/>
      <c r="CB338" s="574"/>
      <c r="CC338" s="574"/>
      <c r="CD338" s="574"/>
      <c r="CE338" s="574"/>
      <c r="CF338" s="574"/>
      <c r="CG338" s="574"/>
      <c r="CH338" s="574"/>
      <c r="CI338" s="574"/>
      <c r="CJ338" s="574"/>
      <c r="CK338" s="574"/>
      <c r="CL338" s="574"/>
      <c r="CM338" s="574"/>
      <c r="CN338" s="574"/>
      <c r="CO338" s="574"/>
      <c r="CP338" s="574"/>
      <c r="CQ338" s="574"/>
      <c r="CR338" s="574"/>
      <c r="CS338" s="574"/>
      <c r="CT338" s="574"/>
      <c r="CU338" s="574"/>
      <c r="CV338" s="574"/>
      <c r="CW338" s="574"/>
      <c r="CX338" s="574"/>
      <c r="CY338" s="574"/>
      <c r="CZ338" s="574"/>
    </row>
    <row r="339" spans="2:104" x14ac:dyDescent="0.3">
      <c r="B339" s="180"/>
      <c r="C339" s="180"/>
      <c r="D339" s="574" t="e">
        <f>D335-D337</f>
        <v>#N/A</v>
      </c>
      <c r="E339" s="574" t="e">
        <f t="shared" ref="E339:BP339" si="153">E335-E337</f>
        <v>#N/A</v>
      </c>
      <c r="F339" s="574" t="e">
        <f t="shared" si="153"/>
        <v>#N/A</v>
      </c>
      <c r="G339" s="574" t="e">
        <f t="shared" si="153"/>
        <v>#N/A</v>
      </c>
      <c r="H339" s="574" t="e">
        <f t="shared" si="153"/>
        <v>#N/A</v>
      </c>
      <c r="I339" s="574" t="e">
        <f t="shared" si="153"/>
        <v>#N/A</v>
      </c>
      <c r="J339" s="574" t="e">
        <f t="shared" si="153"/>
        <v>#N/A</v>
      </c>
      <c r="K339" s="574" t="e">
        <f t="shared" si="153"/>
        <v>#N/A</v>
      </c>
      <c r="L339" s="574" t="e">
        <f t="shared" si="153"/>
        <v>#N/A</v>
      </c>
      <c r="M339" s="574" t="e">
        <f t="shared" si="153"/>
        <v>#N/A</v>
      </c>
      <c r="N339" s="574" t="e">
        <f t="shared" si="153"/>
        <v>#N/A</v>
      </c>
      <c r="O339" s="574" t="e">
        <f t="shared" si="153"/>
        <v>#N/A</v>
      </c>
      <c r="P339" s="574" t="e">
        <f t="shared" si="153"/>
        <v>#N/A</v>
      </c>
      <c r="Q339" s="574" t="e">
        <f t="shared" si="153"/>
        <v>#N/A</v>
      </c>
      <c r="R339" s="574" t="e">
        <f t="shared" si="153"/>
        <v>#N/A</v>
      </c>
      <c r="S339" s="574" t="e">
        <f t="shared" si="153"/>
        <v>#N/A</v>
      </c>
      <c r="T339" s="574" t="e">
        <f t="shared" si="153"/>
        <v>#N/A</v>
      </c>
      <c r="U339" s="574" t="e">
        <f t="shared" si="153"/>
        <v>#N/A</v>
      </c>
      <c r="V339" s="574" t="e">
        <f t="shared" si="153"/>
        <v>#N/A</v>
      </c>
      <c r="W339" s="574" t="e">
        <f t="shared" si="153"/>
        <v>#N/A</v>
      </c>
      <c r="X339" s="574" t="e">
        <f t="shared" si="153"/>
        <v>#N/A</v>
      </c>
      <c r="Y339" s="574" t="e">
        <f t="shared" si="153"/>
        <v>#N/A</v>
      </c>
      <c r="Z339" s="574" t="e">
        <f t="shared" si="153"/>
        <v>#N/A</v>
      </c>
      <c r="AA339" s="574" t="e">
        <f t="shared" si="153"/>
        <v>#N/A</v>
      </c>
      <c r="AB339" s="574" t="e">
        <f t="shared" si="153"/>
        <v>#N/A</v>
      </c>
      <c r="AC339" s="574" t="e">
        <f t="shared" si="153"/>
        <v>#N/A</v>
      </c>
      <c r="AD339" s="574" t="e">
        <f t="shared" si="153"/>
        <v>#N/A</v>
      </c>
      <c r="AE339" s="574" t="e">
        <f t="shared" si="153"/>
        <v>#N/A</v>
      </c>
      <c r="AF339" s="574" t="e">
        <f t="shared" si="153"/>
        <v>#N/A</v>
      </c>
      <c r="AG339" s="574" t="e">
        <f t="shared" si="153"/>
        <v>#N/A</v>
      </c>
      <c r="AH339" s="574" t="e">
        <f t="shared" si="153"/>
        <v>#N/A</v>
      </c>
      <c r="AI339" s="574" t="e">
        <f t="shared" si="153"/>
        <v>#N/A</v>
      </c>
      <c r="AJ339" s="574" t="e">
        <f t="shared" si="153"/>
        <v>#N/A</v>
      </c>
      <c r="AK339" s="574" t="e">
        <f t="shared" si="153"/>
        <v>#N/A</v>
      </c>
      <c r="AL339" s="574" t="e">
        <f t="shared" si="153"/>
        <v>#N/A</v>
      </c>
      <c r="AM339" s="574" t="e">
        <f t="shared" si="153"/>
        <v>#N/A</v>
      </c>
      <c r="AN339" s="574" t="e">
        <f t="shared" si="153"/>
        <v>#N/A</v>
      </c>
      <c r="AO339" s="574" t="e">
        <f t="shared" si="153"/>
        <v>#N/A</v>
      </c>
      <c r="AP339" s="574" t="e">
        <f t="shared" si="153"/>
        <v>#N/A</v>
      </c>
      <c r="AQ339" s="574" t="e">
        <f t="shared" si="153"/>
        <v>#N/A</v>
      </c>
      <c r="AR339" s="574" t="e">
        <f t="shared" si="153"/>
        <v>#N/A</v>
      </c>
      <c r="AS339" s="574" t="e">
        <f t="shared" si="153"/>
        <v>#N/A</v>
      </c>
      <c r="AT339" s="574" t="e">
        <f t="shared" si="153"/>
        <v>#N/A</v>
      </c>
      <c r="AU339" s="574" t="e">
        <f t="shared" si="153"/>
        <v>#N/A</v>
      </c>
      <c r="AV339" s="574" t="e">
        <f t="shared" si="153"/>
        <v>#N/A</v>
      </c>
      <c r="AW339" s="574" t="e">
        <f t="shared" si="153"/>
        <v>#N/A</v>
      </c>
      <c r="AX339" s="574" t="e">
        <f t="shared" si="153"/>
        <v>#N/A</v>
      </c>
      <c r="AY339" s="574" t="e">
        <f t="shared" si="153"/>
        <v>#N/A</v>
      </c>
      <c r="AZ339" s="574" t="e">
        <f t="shared" si="153"/>
        <v>#N/A</v>
      </c>
      <c r="BA339" s="574" t="e">
        <f t="shared" si="153"/>
        <v>#N/A</v>
      </c>
      <c r="BB339" s="574" t="e">
        <f t="shared" si="153"/>
        <v>#N/A</v>
      </c>
      <c r="BC339" s="574" t="e">
        <f t="shared" si="153"/>
        <v>#N/A</v>
      </c>
      <c r="BD339" s="574" t="e">
        <f t="shared" si="153"/>
        <v>#N/A</v>
      </c>
      <c r="BE339" s="574" t="e">
        <f t="shared" si="153"/>
        <v>#N/A</v>
      </c>
      <c r="BF339" s="574" t="e">
        <f t="shared" si="153"/>
        <v>#N/A</v>
      </c>
      <c r="BG339" s="574" t="e">
        <f t="shared" si="153"/>
        <v>#N/A</v>
      </c>
      <c r="BH339" s="574" t="e">
        <f t="shared" si="153"/>
        <v>#N/A</v>
      </c>
      <c r="BI339" s="574" t="e">
        <f t="shared" si="153"/>
        <v>#N/A</v>
      </c>
      <c r="BJ339" s="574" t="e">
        <f t="shared" si="153"/>
        <v>#N/A</v>
      </c>
      <c r="BK339" s="574" t="e">
        <f t="shared" si="153"/>
        <v>#N/A</v>
      </c>
      <c r="BL339" s="574" t="e">
        <f t="shared" si="153"/>
        <v>#N/A</v>
      </c>
      <c r="BM339" s="574" t="e">
        <f t="shared" si="153"/>
        <v>#N/A</v>
      </c>
      <c r="BN339" s="574" t="e">
        <f t="shared" si="153"/>
        <v>#N/A</v>
      </c>
      <c r="BO339" s="574" t="e">
        <f t="shared" si="153"/>
        <v>#N/A</v>
      </c>
      <c r="BP339" s="574" t="e">
        <f t="shared" si="153"/>
        <v>#N/A</v>
      </c>
      <c r="BQ339" s="574" t="e">
        <f t="shared" ref="BQ339:CZ339" si="154">BQ335-BQ337</f>
        <v>#N/A</v>
      </c>
      <c r="BR339" s="574" t="e">
        <f t="shared" si="154"/>
        <v>#N/A</v>
      </c>
      <c r="BS339" s="574" t="e">
        <f t="shared" si="154"/>
        <v>#N/A</v>
      </c>
      <c r="BT339" s="574" t="e">
        <f t="shared" si="154"/>
        <v>#N/A</v>
      </c>
      <c r="BU339" s="574" t="e">
        <f t="shared" si="154"/>
        <v>#N/A</v>
      </c>
      <c r="BV339" s="574" t="e">
        <f t="shared" si="154"/>
        <v>#N/A</v>
      </c>
      <c r="BW339" s="574" t="e">
        <f t="shared" si="154"/>
        <v>#N/A</v>
      </c>
      <c r="BX339" s="574" t="e">
        <f t="shared" si="154"/>
        <v>#N/A</v>
      </c>
      <c r="BY339" s="574" t="e">
        <f t="shared" si="154"/>
        <v>#N/A</v>
      </c>
      <c r="BZ339" s="574" t="e">
        <f t="shared" si="154"/>
        <v>#N/A</v>
      </c>
      <c r="CA339" s="574" t="e">
        <f t="shared" si="154"/>
        <v>#N/A</v>
      </c>
      <c r="CB339" s="574" t="e">
        <f t="shared" si="154"/>
        <v>#N/A</v>
      </c>
      <c r="CC339" s="574" t="e">
        <f t="shared" si="154"/>
        <v>#N/A</v>
      </c>
      <c r="CD339" s="574" t="e">
        <f t="shared" si="154"/>
        <v>#N/A</v>
      </c>
      <c r="CE339" s="574" t="e">
        <f t="shared" si="154"/>
        <v>#N/A</v>
      </c>
      <c r="CF339" s="574" t="e">
        <f t="shared" si="154"/>
        <v>#N/A</v>
      </c>
      <c r="CG339" s="574" t="e">
        <f t="shared" si="154"/>
        <v>#N/A</v>
      </c>
      <c r="CH339" s="574" t="e">
        <f t="shared" si="154"/>
        <v>#N/A</v>
      </c>
      <c r="CI339" s="574" t="e">
        <f t="shared" si="154"/>
        <v>#N/A</v>
      </c>
      <c r="CJ339" s="574" t="e">
        <f t="shared" si="154"/>
        <v>#N/A</v>
      </c>
      <c r="CK339" s="574" t="e">
        <f t="shared" si="154"/>
        <v>#N/A</v>
      </c>
      <c r="CL339" s="574" t="e">
        <f t="shared" si="154"/>
        <v>#N/A</v>
      </c>
      <c r="CM339" s="574" t="e">
        <f t="shared" si="154"/>
        <v>#N/A</v>
      </c>
      <c r="CN339" s="574" t="e">
        <f t="shared" si="154"/>
        <v>#N/A</v>
      </c>
      <c r="CO339" s="574" t="e">
        <f t="shared" si="154"/>
        <v>#N/A</v>
      </c>
      <c r="CP339" s="574" t="e">
        <f t="shared" si="154"/>
        <v>#N/A</v>
      </c>
      <c r="CQ339" s="574" t="e">
        <f t="shared" si="154"/>
        <v>#N/A</v>
      </c>
      <c r="CR339" s="574" t="e">
        <f t="shared" si="154"/>
        <v>#N/A</v>
      </c>
      <c r="CS339" s="574" t="e">
        <f t="shared" si="154"/>
        <v>#N/A</v>
      </c>
      <c r="CT339" s="574" t="e">
        <f t="shared" si="154"/>
        <v>#N/A</v>
      </c>
      <c r="CU339" s="574" t="e">
        <f t="shared" si="154"/>
        <v>#N/A</v>
      </c>
      <c r="CV339" s="574" t="e">
        <f t="shared" si="154"/>
        <v>#N/A</v>
      </c>
      <c r="CW339" s="574" t="e">
        <f t="shared" si="154"/>
        <v>#N/A</v>
      </c>
      <c r="CX339" s="574" t="e">
        <f t="shared" si="154"/>
        <v>#N/A</v>
      </c>
      <c r="CY339" s="574" t="e">
        <f t="shared" si="154"/>
        <v>#N/A</v>
      </c>
      <c r="CZ339" s="574" t="e">
        <f t="shared" si="154"/>
        <v>#N/A</v>
      </c>
    </row>
    <row r="341" spans="2:104" x14ac:dyDescent="0.3">
      <c r="D341" t="str">
        <f>D1</f>
        <v>Raeford</v>
      </c>
      <c r="E341" s="180" t="str">
        <f t="shared" ref="E341:BP341" si="155">E1</f>
        <v>Raleigh</v>
      </c>
      <c r="F341" s="180" t="str">
        <f t="shared" si="155"/>
        <v>Ramseur</v>
      </c>
      <c r="G341" s="180" t="str">
        <f t="shared" si="155"/>
        <v>Randleman</v>
      </c>
      <c r="H341" s="180" t="str">
        <f t="shared" si="155"/>
        <v>Ranlo</v>
      </c>
      <c r="I341" s="180" t="str">
        <f t="shared" si="155"/>
        <v>Raynham</v>
      </c>
      <c r="J341" s="180" t="str">
        <f t="shared" si="155"/>
        <v>Red Cross</v>
      </c>
      <c r="K341" s="180" t="str">
        <f t="shared" si="155"/>
        <v>Red Oak</v>
      </c>
      <c r="L341" s="180" t="str">
        <f t="shared" si="155"/>
        <v>Red Springs</v>
      </c>
      <c r="M341" s="180" t="str">
        <f t="shared" si="155"/>
        <v>Reidsville</v>
      </c>
      <c r="N341" s="180" t="str">
        <f t="shared" si="155"/>
        <v>Rennert</v>
      </c>
      <c r="O341" s="180" t="str">
        <f t="shared" si="155"/>
        <v>Rhodhiss</v>
      </c>
      <c r="P341" s="180" t="str">
        <f t="shared" si="155"/>
        <v>Rich Square</v>
      </c>
      <c r="Q341" s="180" t="str">
        <f t="shared" si="155"/>
        <v>Richfield</v>
      </c>
      <c r="R341" s="180" t="str">
        <f t="shared" si="155"/>
        <v>Richlands</v>
      </c>
      <c r="S341" s="180" t="str">
        <f t="shared" si="155"/>
        <v>River Bend</v>
      </c>
      <c r="T341" s="180" t="str">
        <f t="shared" si="155"/>
        <v>Roanoke Rapids</v>
      </c>
      <c r="U341" s="180" t="str">
        <f t="shared" si="155"/>
        <v>Robbins</v>
      </c>
      <c r="V341" s="180" t="str">
        <f t="shared" si="155"/>
        <v>Robbinsville</v>
      </c>
      <c r="W341" s="180" t="str">
        <f t="shared" si="155"/>
        <v>Robersonville</v>
      </c>
      <c r="X341" s="180" t="str">
        <f t="shared" si="155"/>
        <v>Rockingham</v>
      </c>
      <c r="Y341" s="180" t="str">
        <f t="shared" si="155"/>
        <v>Rockwell</v>
      </c>
      <c r="Z341" s="180" t="str">
        <f t="shared" si="155"/>
        <v>Rocky Mount</v>
      </c>
      <c r="AA341" s="180" t="str">
        <f t="shared" si="155"/>
        <v>Rolesville</v>
      </c>
      <c r="AB341" s="180" t="str">
        <f t="shared" si="155"/>
        <v>Ronda</v>
      </c>
      <c r="AC341" s="180" t="str">
        <f t="shared" si="155"/>
        <v>Roper</v>
      </c>
      <c r="AD341" s="180" t="str">
        <f t="shared" si="155"/>
        <v>Rose Hill</v>
      </c>
      <c r="AE341" s="180" t="str">
        <f t="shared" si="155"/>
        <v>Roseboro</v>
      </c>
      <c r="AF341" s="180" t="str">
        <f t="shared" si="155"/>
        <v>Rosman</v>
      </c>
      <c r="AG341" s="180" t="str">
        <f t="shared" si="155"/>
        <v>Rowland</v>
      </c>
      <c r="AH341" s="180" t="str">
        <f t="shared" si="155"/>
        <v>Roxboro</v>
      </c>
      <c r="AI341" s="180" t="str">
        <f t="shared" si="155"/>
        <v>Roxobel</v>
      </c>
      <c r="AJ341" s="180" t="str">
        <f t="shared" si="155"/>
        <v>Rural Hall</v>
      </c>
      <c r="AK341" s="180" t="str">
        <f t="shared" si="155"/>
        <v>Ruth</v>
      </c>
      <c r="AL341" s="180" t="str">
        <f t="shared" si="155"/>
        <v>Rutherford College</v>
      </c>
      <c r="AM341" s="180" t="str">
        <f t="shared" si="155"/>
        <v>Rutherfordton</v>
      </c>
      <c r="AN341" s="180" t="str">
        <f t="shared" si="155"/>
        <v>Salemburg</v>
      </c>
      <c r="AO341" s="180" t="str">
        <f t="shared" si="155"/>
        <v>Salisbury</v>
      </c>
      <c r="AP341" s="180" t="str">
        <f t="shared" si="155"/>
        <v>Saluda</v>
      </c>
      <c r="AQ341" s="180" t="str">
        <f t="shared" si="155"/>
        <v>Sandy Creek</v>
      </c>
      <c r="AR341" s="180" t="str">
        <f t="shared" si="155"/>
        <v>Sandyfield</v>
      </c>
      <c r="AS341" s="180" t="str">
        <f t="shared" si="155"/>
        <v>Sanford</v>
      </c>
      <c r="AT341" s="180" t="str">
        <f t="shared" si="155"/>
        <v>Saratoga</v>
      </c>
      <c r="AU341" s="180" t="str">
        <f t="shared" si="155"/>
        <v>Sawmills</v>
      </c>
      <c r="AV341" s="180" t="str">
        <f t="shared" si="155"/>
        <v>Scotland Neck</v>
      </c>
      <c r="AW341" s="180" t="str">
        <f t="shared" si="155"/>
        <v>Seaboard</v>
      </c>
      <c r="AX341" s="180" t="str">
        <f t="shared" si="155"/>
        <v>Seagrove</v>
      </c>
      <c r="AY341" s="180" t="str">
        <f t="shared" si="155"/>
        <v>Sedalia</v>
      </c>
      <c r="AZ341" s="180" t="str">
        <f t="shared" si="155"/>
        <v>Selma</v>
      </c>
      <c r="BA341" s="180" t="str">
        <f t="shared" si="155"/>
        <v>Seven Devils</v>
      </c>
      <c r="BB341" s="180" t="str">
        <f t="shared" si="155"/>
        <v>Seven Springs</v>
      </c>
      <c r="BC341" s="180" t="str">
        <f t="shared" si="155"/>
        <v>Severn</v>
      </c>
      <c r="BD341" s="180" t="str">
        <f t="shared" si="155"/>
        <v>Shallotte</v>
      </c>
      <c r="BE341" s="180" t="str">
        <f t="shared" si="155"/>
        <v>Sharpsburg</v>
      </c>
      <c r="BF341" s="180" t="str">
        <f t="shared" si="155"/>
        <v>Shelby</v>
      </c>
      <c r="BG341" s="180" t="str">
        <f t="shared" si="155"/>
        <v>Siler City</v>
      </c>
      <c r="BH341" s="180" t="str">
        <f t="shared" si="155"/>
        <v>Simpson</v>
      </c>
      <c r="BI341" s="180" t="str">
        <f t="shared" si="155"/>
        <v>Sims</v>
      </c>
      <c r="BJ341" s="180" t="str">
        <f t="shared" si="155"/>
        <v>Smithfield</v>
      </c>
      <c r="BK341" s="180" t="str">
        <f t="shared" si="155"/>
        <v>Snow Hill</v>
      </c>
      <c r="BL341" s="180" t="str">
        <f t="shared" si="155"/>
        <v>Southern Pines</v>
      </c>
      <c r="BM341" s="180" t="str">
        <f t="shared" si="155"/>
        <v>Southern Shores</v>
      </c>
      <c r="BN341" s="180" t="str">
        <f t="shared" si="155"/>
        <v>Southport</v>
      </c>
      <c r="BO341" s="180" t="str">
        <f t="shared" si="155"/>
        <v>Sparta</v>
      </c>
      <c r="BP341" s="180" t="str">
        <f t="shared" si="155"/>
        <v>Speed</v>
      </c>
      <c r="BQ341" s="180" t="str">
        <f t="shared" ref="BQ341:CZ341" si="156">BQ1</f>
        <v>Spencer</v>
      </c>
      <c r="BR341" s="180" t="str">
        <f t="shared" si="156"/>
        <v>Spencer Mountain</v>
      </c>
      <c r="BS341" s="180" t="str">
        <f t="shared" si="156"/>
        <v>Spindale</v>
      </c>
      <c r="BT341" s="180" t="str">
        <f t="shared" si="156"/>
        <v>Spring Hope</v>
      </c>
      <c r="BU341" s="180" t="str">
        <f t="shared" si="156"/>
        <v>Spring Lake</v>
      </c>
      <c r="BV341" s="180" t="str">
        <f t="shared" si="156"/>
        <v>Spruce Pine</v>
      </c>
      <c r="BW341" s="180">
        <f t="shared" si="156"/>
        <v>0</v>
      </c>
      <c r="BX341" s="180">
        <f t="shared" si="156"/>
        <v>0</v>
      </c>
      <c r="BY341" s="180">
        <f t="shared" si="156"/>
        <v>0</v>
      </c>
      <c r="BZ341" s="180">
        <f t="shared" si="156"/>
        <v>0</v>
      </c>
      <c r="CA341" s="180">
        <f t="shared" si="156"/>
        <v>0</v>
      </c>
      <c r="CB341" s="180">
        <f t="shared" si="156"/>
        <v>0</v>
      </c>
      <c r="CC341" s="180">
        <f t="shared" si="156"/>
        <v>0</v>
      </c>
      <c r="CD341" s="180">
        <f t="shared" si="156"/>
        <v>0</v>
      </c>
      <c r="CE341" s="180">
        <f t="shared" si="156"/>
        <v>0</v>
      </c>
      <c r="CF341" s="180">
        <f t="shared" si="156"/>
        <v>0</v>
      </c>
      <c r="CG341" s="180">
        <f t="shared" si="156"/>
        <v>0</v>
      </c>
      <c r="CH341" s="180">
        <f t="shared" si="156"/>
        <v>0</v>
      </c>
      <c r="CI341" s="180">
        <f t="shared" si="156"/>
        <v>0</v>
      </c>
      <c r="CJ341" s="180">
        <f t="shared" si="156"/>
        <v>0</v>
      </c>
      <c r="CK341" s="180">
        <f t="shared" si="156"/>
        <v>0</v>
      </c>
      <c r="CL341" s="180">
        <f t="shared" si="156"/>
        <v>0</v>
      </c>
      <c r="CM341" s="180">
        <f t="shared" si="156"/>
        <v>0</v>
      </c>
      <c r="CN341" s="180">
        <f t="shared" si="156"/>
        <v>0</v>
      </c>
      <c r="CO341" s="180">
        <f t="shared" si="156"/>
        <v>0</v>
      </c>
      <c r="CP341" s="180">
        <f t="shared" si="156"/>
        <v>0</v>
      </c>
      <c r="CQ341" s="180">
        <f t="shared" si="156"/>
        <v>0</v>
      </c>
      <c r="CR341" s="180">
        <f t="shared" si="156"/>
        <v>0</v>
      </c>
      <c r="CS341" s="180">
        <f t="shared" si="156"/>
        <v>0</v>
      </c>
      <c r="CT341" s="180">
        <f t="shared" si="156"/>
        <v>0</v>
      </c>
      <c r="CU341" s="180">
        <f t="shared" si="156"/>
        <v>0</v>
      </c>
      <c r="CV341" s="180">
        <f t="shared" si="156"/>
        <v>0</v>
      </c>
      <c r="CW341" s="180">
        <f t="shared" si="156"/>
        <v>0</v>
      </c>
      <c r="CX341" s="180">
        <f t="shared" si="156"/>
        <v>0</v>
      </c>
      <c r="CY341" s="180">
        <f t="shared" si="156"/>
        <v>0</v>
      </c>
      <c r="CZ341" s="180">
        <f t="shared" si="156"/>
        <v>0</v>
      </c>
    </row>
  </sheetData>
  <sheetProtection algorithmName="SHA-512" hashValue="Q/JL01FGQg9eSLy7MzxyvRWmlopy+fPmpIh34Ta+OhyH/l4qvLvHU+//pnIPU1a5I5u7w35iqMntxXJkEJt81w==" saltValue="HJvu4m+5tLQzhH3hGEsK6w=="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CK314"/>
  <sheetViews>
    <sheetView workbookViewId="0">
      <pane xSplit="3" ySplit="2" topLeftCell="D273" activePane="bottomRight" state="frozen"/>
      <selection pane="topRight" activeCell="D1" sqref="D1"/>
      <selection pane="bottomLeft" activeCell="A3" sqref="A3"/>
      <selection pane="bottomRight" activeCell="Z286" sqref="Z286"/>
    </sheetView>
  </sheetViews>
  <sheetFormatPr defaultRowHeight="14.4" x14ac:dyDescent="0.3"/>
  <cols>
    <col min="1" max="1" width="12.5546875" style="155" customWidth="1"/>
    <col min="2" max="2" width="66.5546875" customWidth="1"/>
    <col min="3" max="3" width="37.6640625" customWidth="1"/>
    <col min="4" max="97" width="20.6640625" customWidth="1"/>
  </cols>
  <sheetData>
    <row r="1" spans="1:74" x14ac:dyDescent="0.3">
      <c r="A1" s="183" t="s">
        <v>1720</v>
      </c>
      <c r="B1" t="s">
        <v>1717</v>
      </c>
      <c r="C1" t="s">
        <v>351</v>
      </c>
      <c r="D1" t="s">
        <v>1440</v>
      </c>
      <c r="E1" t="s">
        <v>1441</v>
      </c>
      <c r="F1" t="s">
        <v>542</v>
      </c>
      <c r="G1" t="s">
        <v>1442</v>
      </c>
      <c r="H1" t="s">
        <v>543</v>
      </c>
      <c r="I1" t="s">
        <v>1443</v>
      </c>
      <c r="J1" t="s">
        <v>1444</v>
      </c>
      <c r="K1" t="s">
        <v>1445</v>
      </c>
      <c r="L1" t="s">
        <v>544</v>
      </c>
      <c r="M1" t="s">
        <v>1446</v>
      </c>
      <c r="N1" t="s">
        <v>1447</v>
      </c>
      <c r="O1" t="s">
        <v>1448</v>
      </c>
      <c r="P1" t="s">
        <v>545</v>
      </c>
      <c r="Q1" t="s">
        <v>841</v>
      </c>
      <c r="R1" t="s">
        <v>1449</v>
      </c>
      <c r="S1" t="s">
        <v>1450</v>
      </c>
      <c r="T1" t="s">
        <v>1451</v>
      </c>
      <c r="U1" t="s">
        <v>546</v>
      </c>
      <c r="V1" t="s">
        <v>1452</v>
      </c>
      <c r="W1" t="s">
        <v>547</v>
      </c>
      <c r="X1" t="s">
        <v>393</v>
      </c>
      <c r="Y1" t="s">
        <v>1453</v>
      </c>
      <c r="Z1" t="s">
        <v>1454</v>
      </c>
      <c r="AA1" t="s">
        <v>1455</v>
      </c>
      <c r="AB1" t="s">
        <v>548</v>
      </c>
      <c r="AC1" t="s">
        <v>1456</v>
      </c>
      <c r="AD1" t="s">
        <v>1457</v>
      </c>
      <c r="AE1" t="s">
        <v>842</v>
      </c>
      <c r="AF1" t="s">
        <v>843</v>
      </c>
      <c r="AG1" t="s">
        <v>844</v>
      </c>
      <c r="AH1" t="s">
        <v>845</v>
      </c>
      <c r="AI1" t="s">
        <v>1458</v>
      </c>
      <c r="AJ1" t="s">
        <v>1459</v>
      </c>
      <c r="AK1" t="s">
        <v>846</v>
      </c>
      <c r="AL1" t="s">
        <v>1460</v>
      </c>
      <c r="AM1" t="s">
        <v>1461</v>
      </c>
      <c r="AN1" t="s">
        <v>1462</v>
      </c>
      <c r="AO1" t="s">
        <v>1463</v>
      </c>
      <c r="AP1" t="s">
        <v>1464</v>
      </c>
      <c r="AQ1" t="s">
        <v>1465</v>
      </c>
      <c r="AR1" t="s">
        <v>1466</v>
      </c>
      <c r="AS1" t="s">
        <v>1467</v>
      </c>
      <c r="AT1" t="s">
        <v>1468</v>
      </c>
      <c r="AU1" t="s">
        <v>1469</v>
      </c>
      <c r="AV1" t="s">
        <v>550</v>
      </c>
      <c r="AW1" t="s">
        <v>1470</v>
      </c>
      <c r="AX1" t="s">
        <v>1471</v>
      </c>
      <c r="AY1" t="s">
        <v>551</v>
      </c>
      <c r="AZ1" t="s">
        <v>1472</v>
      </c>
      <c r="BA1" t="s">
        <v>1473</v>
      </c>
      <c r="BB1" t="s">
        <v>1474</v>
      </c>
      <c r="BC1" t="s">
        <v>1475</v>
      </c>
      <c r="BD1" t="s">
        <v>1476</v>
      </c>
      <c r="BE1" t="s">
        <v>552</v>
      </c>
      <c r="BF1" t="s">
        <v>1477</v>
      </c>
      <c r="BG1" t="s">
        <v>847</v>
      </c>
      <c r="BH1" t="s">
        <v>1478</v>
      </c>
      <c r="BI1" t="s">
        <v>1479</v>
      </c>
      <c r="BJ1" t="s">
        <v>1480</v>
      </c>
      <c r="BK1" t="s">
        <v>553</v>
      </c>
      <c r="BL1" t="s">
        <v>1481</v>
      </c>
      <c r="BM1" t="s">
        <v>1482</v>
      </c>
      <c r="BN1" t="s">
        <v>1483</v>
      </c>
      <c r="BO1" t="s">
        <v>1484</v>
      </c>
      <c r="BP1" t="s">
        <v>1485</v>
      </c>
      <c r="BQ1" t="s">
        <v>1486</v>
      </c>
      <c r="BR1" t="s">
        <v>1497</v>
      </c>
      <c r="BS1" t="s">
        <v>1487</v>
      </c>
      <c r="BT1" t="s">
        <v>1488</v>
      </c>
      <c r="BU1" t="s">
        <v>554</v>
      </c>
      <c r="BV1" t="s">
        <v>1489</v>
      </c>
    </row>
    <row r="2" spans="1:74" x14ac:dyDescent="0.3">
      <c r="A2" s="155" t="s">
        <v>895</v>
      </c>
      <c r="B2" t="s">
        <v>41</v>
      </c>
      <c r="C2" t="s">
        <v>13</v>
      </c>
      <c r="D2" s="803">
        <v>50312</v>
      </c>
      <c r="E2" s="803">
        <v>50313</v>
      </c>
      <c r="F2" s="803">
        <v>50314</v>
      </c>
      <c r="G2" s="803">
        <v>50315</v>
      </c>
      <c r="H2" s="803">
        <v>50316</v>
      </c>
      <c r="I2" s="803">
        <v>50481</v>
      </c>
      <c r="J2" s="803">
        <v>50561</v>
      </c>
      <c r="K2" s="803">
        <v>50317</v>
      </c>
      <c r="L2" s="803">
        <v>50318</v>
      </c>
      <c r="M2" s="803">
        <v>50319</v>
      </c>
      <c r="N2" s="803">
        <v>50489</v>
      </c>
      <c r="O2" s="803">
        <v>50320</v>
      </c>
      <c r="P2" s="803">
        <v>50323</v>
      </c>
      <c r="Q2" s="803">
        <v>50321</v>
      </c>
      <c r="R2" s="803">
        <v>50322</v>
      </c>
      <c r="S2" s="803">
        <v>50490</v>
      </c>
      <c r="T2" s="803">
        <v>50324</v>
      </c>
      <c r="U2" s="803">
        <v>50325</v>
      </c>
      <c r="V2" s="803">
        <v>50326</v>
      </c>
      <c r="W2" s="803">
        <v>50327</v>
      </c>
      <c r="X2" s="803">
        <v>50328</v>
      </c>
      <c r="Y2" s="803">
        <v>50329</v>
      </c>
      <c r="Z2" s="803">
        <v>50330</v>
      </c>
      <c r="AA2" s="803">
        <v>50331</v>
      </c>
      <c r="AB2" s="803">
        <v>50332</v>
      </c>
      <c r="AC2" s="803">
        <v>50333</v>
      </c>
      <c r="AD2" s="803">
        <v>50335</v>
      </c>
      <c r="AE2" s="803">
        <v>50334</v>
      </c>
      <c r="AF2" s="803">
        <v>50336</v>
      </c>
      <c r="AG2" s="803">
        <v>50337</v>
      </c>
      <c r="AH2" s="803">
        <v>50338</v>
      </c>
      <c r="AI2" s="803">
        <v>50339</v>
      </c>
      <c r="AJ2" s="803">
        <v>50443</v>
      </c>
      <c r="AK2" s="803">
        <v>50340</v>
      </c>
      <c r="AL2" s="803">
        <v>50456</v>
      </c>
      <c r="AM2" s="803">
        <v>50341</v>
      </c>
      <c r="AN2" s="803">
        <v>50342</v>
      </c>
      <c r="AO2" s="803">
        <v>50344</v>
      </c>
      <c r="AP2" s="803">
        <v>50345</v>
      </c>
      <c r="AQ2" s="803">
        <v>50503</v>
      </c>
      <c r="AR2" s="803">
        <v>50527</v>
      </c>
      <c r="AS2" s="803">
        <v>50346</v>
      </c>
      <c r="AT2" s="803">
        <v>50347</v>
      </c>
      <c r="AU2" s="803">
        <v>50529</v>
      </c>
      <c r="AV2" s="803">
        <v>50348</v>
      </c>
      <c r="AW2" s="803">
        <v>50349</v>
      </c>
      <c r="AX2" s="803">
        <v>50350</v>
      </c>
      <c r="AY2" s="803">
        <v>50541</v>
      </c>
      <c r="AZ2" s="803">
        <v>50351</v>
      </c>
      <c r="BA2" s="803">
        <v>50484</v>
      </c>
      <c r="BB2" s="803">
        <v>50352</v>
      </c>
      <c r="BC2" s="803">
        <v>50353</v>
      </c>
      <c r="BD2" s="803">
        <v>50354</v>
      </c>
      <c r="BE2" s="803">
        <v>50355</v>
      </c>
      <c r="BF2" s="803">
        <v>50356</v>
      </c>
      <c r="BG2" s="803">
        <v>50357</v>
      </c>
      <c r="BH2" s="803">
        <v>50482</v>
      </c>
      <c r="BI2" s="803">
        <v>50358</v>
      </c>
      <c r="BJ2" s="803">
        <v>50359</v>
      </c>
      <c r="BK2" s="803">
        <v>50360</v>
      </c>
      <c r="BL2" s="803">
        <v>50361</v>
      </c>
      <c r="BM2" s="803">
        <v>50362</v>
      </c>
      <c r="BN2" s="803">
        <v>50363</v>
      </c>
      <c r="BO2" s="803">
        <v>50364</v>
      </c>
      <c r="BP2" s="803">
        <v>50365</v>
      </c>
      <c r="BQ2" s="803">
        <v>50366</v>
      </c>
      <c r="BR2" s="803">
        <v>50367</v>
      </c>
      <c r="BS2">
        <v>50368</v>
      </c>
      <c r="BT2">
        <v>50369</v>
      </c>
      <c r="BU2">
        <v>50370</v>
      </c>
      <c r="BV2">
        <v>50371</v>
      </c>
    </row>
    <row r="3" spans="1:74" x14ac:dyDescent="0.3">
      <c r="A3" s="155">
        <v>4</v>
      </c>
      <c r="B3" t="s">
        <v>111</v>
      </c>
      <c r="D3">
        <v>148353</v>
      </c>
      <c r="E3">
        <v>19972653</v>
      </c>
      <c r="G3">
        <v>71422</v>
      </c>
      <c r="H3">
        <v>25645</v>
      </c>
      <c r="I3">
        <v>0</v>
      </c>
      <c r="J3">
        <v>509</v>
      </c>
      <c r="K3">
        <v>14627</v>
      </c>
      <c r="L3">
        <v>322798</v>
      </c>
      <c r="M3">
        <v>1058558</v>
      </c>
      <c r="N3">
        <v>5950</v>
      </c>
      <c r="O3">
        <v>11333</v>
      </c>
      <c r="Q3">
        <v>5890</v>
      </c>
      <c r="R3">
        <v>26220</v>
      </c>
      <c r="S3">
        <v>37462</v>
      </c>
      <c r="T3">
        <v>341464</v>
      </c>
      <c r="U3">
        <v>64672</v>
      </c>
      <c r="V3">
        <v>1592</v>
      </c>
      <c r="X3">
        <v>256041</v>
      </c>
      <c r="Y3">
        <v>13103</v>
      </c>
      <c r="Z3">
        <v>4741782</v>
      </c>
      <c r="AA3">
        <v>219433</v>
      </c>
      <c r="AB3">
        <v>16593</v>
      </c>
      <c r="AC3">
        <v>15168</v>
      </c>
      <c r="AD3">
        <v>34949</v>
      </c>
      <c r="AE3">
        <v>82060</v>
      </c>
      <c r="AF3">
        <v>20335</v>
      </c>
      <c r="AG3">
        <v>74800</v>
      </c>
      <c r="AH3">
        <v>270921</v>
      </c>
      <c r="AI3">
        <v>4759</v>
      </c>
      <c r="AJ3">
        <v>249793</v>
      </c>
      <c r="AK3">
        <v>5902</v>
      </c>
      <c r="AL3">
        <v>105431</v>
      </c>
      <c r="AM3">
        <v>291440</v>
      </c>
      <c r="AN3">
        <v>19335</v>
      </c>
      <c r="AO3">
        <v>3678653</v>
      </c>
      <c r="AP3">
        <v>39429</v>
      </c>
      <c r="AQ3">
        <v>340</v>
      </c>
      <c r="AR3">
        <v>2198</v>
      </c>
      <c r="AS3">
        <v>1480620</v>
      </c>
      <c r="AT3">
        <v>2693</v>
      </c>
      <c r="AU3">
        <v>51455</v>
      </c>
      <c r="AV3">
        <v>18833</v>
      </c>
      <c r="AW3">
        <v>39723</v>
      </c>
      <c r="AX3">
        <v>37268</v>
      </c>
      <c r="AY3">
        <v>12795</v>
      </c>
      <c r="AZ3">
        <v>324010</v>
      </c>
      <c r="BA3">
        <v>67178</v>
      </c>
      <c r="BB3">
        <v>4007</v>
      </c>
      <c r="BC3">
        <v>19162</v>
      </c>
      <c r="BD3">
        <v>436648</v>
      </c>
      <c r="BE3">
        <v>95845</v>
      </c>
      <c r="BF3">
        <v>913252</v>
      </c>
      <c r="BH3">
        <v>9814</v>
      </c>
      <c r="BI3">
        <v>6131</v>
      </c>
      <c r="BJ3">
        <v>473213</v>
      </c>
      <c r="BK3">
        <v>87763</v>
      </c>
      <c r="BL3">
        <v>1032755</v>
      </c>
      <c r="BM3">
        <v>523386</v>
      </c>
      <c r="BN3">
        <v>357521</v>
      </c>
      <c r="BO3">
        <v>52314</v>
      </c>
      <c r="BP3">
        <v>3235</v>
      </c>
      <c r="BQ3">
        <v>153208</v>
      </c>
      <c r="BS3">
        <v>222816</v>
      </c>
      <c r="BT3">
        <v>34277</v>
      </c>
      <c r="BV3">
        <v>130213</v>
      </c>
    </row>
    <row r="4" spans="1:74" x14ac:dyDescent="0.3">
      <c r="A4" s="155">
        <v>5</v>
      </c>
      <c r="B4" t="s">
        <v>112</v>
      </c>
      <c r="D4">
        <v>7162</v>
      </c>
      <c r="E4">
        <v>492652</v>
      </c>
      <c r="G4">
        <v>13</v>
      </c>
      <c r="H4">
        <v>558</v>
      </c>
      <c r="I4">
        <v>0</v>
      </c>
      <c r="J4">
        <v>0</v>
      </c>
      <c r="K4">
        <v>0</v>
      </c>
      <c r="L4">
        <v>0</v>
      </c>
      <c r="M4">
        <v>9487</v>
      </c>
      <c r="N4">
        <v>0</v>
      </c>
      <c r="O4">
        <v>0</v>
      </c>
      <c r="Q4">
        <v>0</v>
      </c>
      <c r="R4">
        <v>0</v>
      </c>
      <c r="S4">
        <v>0</v>
      </c>
      <c r="T4">
        <v>35871</v>
      </c>
      <c r="U4">
        <v>0</v>
      </c>
      <c r="V4">
        <v>0</v>
      </c>
      <c r="X4">
        <v>23690</v>
      </c>
      <c r="Y4">
        <v>0</v>
      </c>
      <c r="Z4">
        <v>92411</v>
      </c>
      <c r="AA4">
        <v>0</v>
      </c>
      <c r="AB4">
        <v>0</v>
      </c>
      <c r="AC4">
        <v>0</v>
      </c>
      <c r="AD4">
        <v>33426</v>
      </c>
      <c r="AE4">
        <v>8940</v>
      </c>
      <c r="AF4">
        <v>0</v>
      </c>
      <c r="AG4">
        <v>0</v>
      </c>
      <c r="AH4">
        <v>0</v>
      </c>
      <c r="AI4">
        <v>0</v>
      </c>
      <c r="AJ4">
        <v>0</v>
      </c>
      <c r="AK4">
        <v>0</v>
      </c>
      <c r="AL4">
        <v>0</v>
      </c>
      <c r="AM4">
        <v>176</v>
      </c>
      <c r="AN4">
        <v>0</v>
      </c>
      <c r="AO4">
        <v>445299</v>
      </c>
      <c r="AP4">
        <v>500</v>
      </c>
      <c r="AQ4">
        <v>0</v>
      </c>
      <c r="AR4">
        <v>0</v>
      </c>
      <c r="AS4">
        <v>25505</v>
      </c>
      <c r="AT4">
        <v>0</v>
      </c>
      <c r="AU4">
        <v>0</v>
      </c>
      <c r="AV4">
        <v>0</v>
      </c>
      <c r="AW4">
        <v>0</v>
      </c>
      <c r="AX4">
        <v>0</v>
      </c>
      <c r="AY4">
        <v>0</v>
      </c>
      <c r="AZ4">
        <v>0</v>
      </c>
      <c r="BA4">
        <v>3624</v>
      </c>
      <c r="BB4">
        <v>0</v>
      </c>
      <c r="BC4">
        <v>0</v>
      </c>
      <c r="BD4">
        <v>0</v>
      </c>
      <c r="BE4">
        <v>0</v>
      </c>
      <c r="BF4">
        <v>0</v>
      </c>
      <c r="BH4">
        <v>0</v>
      </c>
      <c r="BI4">
        <v>0</v>
      </c>
      <c r="BJ4">
        <v>0</v>
      </c>
      <c r="BK4">
        <v>0</v>
      </c>
      <c r="BL4">
        <v>0</v>
      </c>
      <c r="BM4">
        <v>352062</v>
      </c>
      <c r="BN4">
        <v>12745</v>
      </c>
      <c r="BO4">
        <v>0</v>
      </c>
      <c r="BP4">
        <v>0</v>
      </c>
      <c r="BQ4">
        <v>0</v>
      </c>
      <c r="BS4">
        <v>0</v>
      </c>
      <c r="BT4">
        <v>0</v>
      </c>
      <c r="BV4">
        <v>2609</v>
      </c>
    </row>
    <row r="5" spans="1:74" x14ac:dyDescent="0.3">
      <c r="A5" s="155">
        <v>6</v>
      </c>
      <c r="B5" t="s">
        <v>251</v>
      </c>
      <c r="D5">
        <v>0</v>
      </c>
      <c r="E5">
        <v>9095877</v>
      </c>
      <c r="G5">
        <v>0</v>
      </c>
      <c r="H5">
        <v>0</v>
      </c>
      <c r="I5">
        <v>0</v>
      </c>
      <c r="J5">
        <v>0</v>
      </c>
      <c r="K5">
        <v>0</v>
      </c>
      <c r="L5">
        <v>0</v>
      </c>
      <c r="M5">
        <v>2461965</v>
      </c>
      <c r="N5">
        <v>0</v>
      </c>
      <c r="O5">
        <v>0</v>
      </c>
      <c r="Q5">
        <v>0</v>
      </c>
      <c r="R5">
        <v>0</v>
      </c>
      <c r="S5">
        <v>0</v>
      </c>
      <c r="T5">
        <v>0</v>
      </c>
      <c r="U5">
        <v>0</v>
      </c>
      <c r="V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1224040</v>
      </c>
      <c r="AT5">
        <v>0</v>
      </c>
      <c r="AU5">
        <v>0</v>
      </c>
      <c r="AV5">
        <v>0</v>
      </c>
      <c r="AW5">
        <v>0</v>
      </c>
      <c r="AX5">
        <v>0</v>
      </c>
      <c r="AY5">
        <v>0</v>
      </c>
      <c r="AZ5">
        <v>0</v>
      </c>
      <c r="BA5">
        <v>0</v>
      </c>
      <c r="BB5">
        <v>0</v>
      </c>
      <c r="BC5">
        <v>0</v>
      </c>
      <c r="BD5">
        <v>0</v>
      </c>
      <c r="BE5">
        <v>0</v>
      </c>
      <c r="BF5">
        <v>0</v>
      </c>
      <c r="BH5">
        <v>0</v>
      </c>
      <c r="BI5">
        <v>0</v>
      </c>
      <c r="BJ5">
        <v>750467</v>
      </c>
      <c r="BK5">
        <v>0</v>
      </c>
      <c r="BL5">
        <v>0</v>
      </c>
      <c r="BM5">
        <v>247520</v>
      </c>
      <c r="BN5">
        <v>123121</v>
      </c>
      <c r="BO5">
        <v>0</v>
      </c>
      <c r="BP5">
        <v>0</v>
      </c>
      <c r="BQ5">
        <v>0</v>
      </c>
      <c r="BS5">
        <v>0</v>
      </c>
      <c r="BT5">
        <v>0</v>
      </c>
      <c r="BV5">
        <v>0</v>
      </c>
    </row>
    <row r="6" spans="1:74" x14ac:dyDescent="0.3">
      <c r="A6" s="155">
        <v>7</v>
      </c>
      <c r="B6" t="s">
        <v>193</v>
      </c>
      <c r="D6">
        <v>0</v>
      </c>
      <c r="E6">
        <v>13703879</v>
      </c>
      <c r="G6">
        <v>0</v>
      </c>
      <c r="H6">
        <v>0</v>
      </c>
      <c r="I6">
        <v>0</v>
      </c>
      <c r="J6">
        <v>0</v>
      </c>
      <c r="K6">
        <v>9898</v>
      </c>
      <c r="L6">
        <v>0</v>
      </c>
      <c r="M6">
        <v>154099</v>
      </c>
      <c r="N6">
        <v>0</v>
      </c>
      <c r="O6">
        <v>0</v>
      </c>
      <c r="Q6">
        <v>0</v>
      </c>
      <c r="R6">
        <v>0</v>
      </c>
      <c r="S6">
        <v>0</v>
      </c>
      <c r="T6">
        <v>87800</v>
      </c>
      <c r="U6">
        <v>0</v>
      </c>
      <c r="V6">
        <v>0</v>
      </c>
      <c r="X6">
        <v>15119</v>
      </c>
      <c r="Y6">
        <v>0</v>
      </c>
      <c r="Z6">
        <v>17071142</v>
      </c>
      <c r="AA6">
        <v>0</v>
      </c>
      <c r="AB6">
        <v>0</v>
      </c>
      <c r="AC6">
        <v>0</v>
      </c>
      <c r="AD6">
        <v>0</v>
      </c>
      <c r="AE6">
        <v>0</v>
      </c>
      <c r="AF6">
        <v>3000</v>
      </c>
      <c r="AG6">
        <v>0</v>
      </c>
      <c r="AH6">
        <v>68696</v>
      </c>
      <c r="AI6">
        <v>0</v>
      </c>
      <c r="AJ6">
        <v>0</v>
      </c>
      <c r="AK6">
        <v>0</v>
      </c>
      <c r="AL6">
        <v>0</v>
      </c>
      <c r="AM6">
        <v>0</v>
      </c>
      <c r="AN6">
        <v>0</v>
      </c>
      <c r="AO6">
        <v>688148</v>
      </c>
      <c r="AP6">
        <v>0</v>
      </c>
      <c r="AQ6">
        <v>0</v>
      </c>
      <c r="AR6">
        <v>0</v>
      </c>
      <c r="AS6">
        <v>264979</v>
      </c>
      <c r="AT6">
        <v>0</v>
      </c>
      <c r="AU6">
        <v>0</v>
      </c>
      <c r="AV6">
        <v>0</v>
      </c>
      <c r="AW6">
        <v>0</v>
      </c>
      <c r="AX6">
        <v>0</v>
      </c>
      <c r="AY6">
        <v>2432</v>
      </c>
      <c r="AZ6">
        <v>97902</v>
      </c>
      <c r="BA6">
        <v>0</v>
      </c>
      <c r="BB6">
        <v>0</v>
      </c>
      <c r="BC6">
        <v>0</v>
      </c>
      <c r="BD6">
        <v>12465</v>
      </c>
      <c r="BE6">
        <v>0</v>
      </c>
      <c r="BF6">
        <v>574074</v>
      </c>
      <c r="BH6">
        <v>0</v>
      </c>
      <c r="BI6">
        <v>0</v>
      </c>
      <c r="BJ6">
        <v>21043</v>
      </c>
      <c r="BK6">
        <v>0</v>
      </c>
      <c r="BL6">
        <v>159750</v>
      </c>
      <c r="BM6">
        <v>6115</v>
      </c>
      <c r="BN6">
        <v>0</v>
      </c>
      <c r="BO6">
        <v>0</v>
      </c>
      <c r="BP6">
        <v>0</v>
      </c>
      <c r="BQ6">
        <v>0</v>
      </c>
      <c r="BS6">
        <v>87491</v>
      </c>
      <c r="BT6">
        <v>0</v>
      </c>
      <c r="BV6">
        <v>40418</v>
      </c>
    </row>
    <row r="7" spans="1:74" x14ac:dyDescent="0.3">
      <c r="A7" s="155">
        <v>9</v>
      </c>
      <c r="B7" t="s">
        <v>195</v>
      </c>
      <c r="D7">
        <v>9348820</v>
      </c>
      <c r="E7">
        <v>405156657</v>
      </c>
      <c r="G7">
        <v>6425437</v>
      </c>
      <c r="H7">
        <v>1328843</v>
      </c>
      <c r="I7">
        <v>72898</v>
      </c>
      <c r="J7">
        <v>1499077</v>
      </c>
      <c r="K7">
        <v>7806683</v>
      </c>
      <c r="L7">
        <v>2162053</v>
      </c>
      <c r="M7">
        <v>13331338</v>
      </c>
      <c r="N7">
        <v>823264</v>
      </c>
      <c r="O7">
        <v>1056829</v>
      </c>
      <c r="Q7">
        <v>736646</v>
      </c>
      <c r="R7">
        <v>1146152</v>
      </c>
      <c r="S7">
        <v>1306128</v>
      </c>
      <c r="T7">
        <v>5535399</v>
      </c>
      <c r="U7">
        <v>1131206</v>
      </c>
      <c r="V7">
        <v>1164363</v>
      </c>
      <c r="X7">
        <v>5766237</v>
      </c>
      <c r="Y7">
        <v>1890357</v>
      </c>
      <c r="Z7">
        <v>53330851</v>
      </c>
      <c r="AA7">
        <v>10188368</v>
      </c>
      <c r="AB7">
        <v>339366</v>
      </c>
      <c r="AC7">
        <v>454823</v>
      </c>
      <c r="AD7">
        <v>1083320</v>
      </c>
      <c r="AE7">
        <v>2335837</v>
      </c>
      <c r="AF7">
        <v>470177</v>
      </c>
      <c r="AG7">
        <v>481587</v>
      </c>
      <c r="AH7">
        <v>3482599</v>
      </c>
      <c r="AI7">
        <v>295973</v>
      </c>
      <c r="AJ7">
        <v>3595610</v>
      </c>
      <c r="AK7">
        <v>645013</v>
      </c>
      <c r="AL7">
        <v>991239</v>
      </c>
      <c r="AM7">
        <v>2461800</v>
      </c>
      <c r="AN7">
        <v>686333</v>
      </c>
      <c r="AO7">
        <v>22085740</v>
      </c>
      <c r="AP7">
        <v>1329418</v>
      </c>
      <c r="AQ7">
        <v>665264</v>
      </c>
      <c r="AR7">
        <v>711010</v>
      </c>
      <c r="AS7">
        <v>24179172</v>
      </c>
      <c r="AT7">
        <v>482502</v>
      </c>
      <c r="AU7">
        <v>6927778</v>
      </c>
      <c r="AV7">
        <v>720705</v>
      </c>
      <c r="AW7">
        <v>454801</v>
      </c>
      <c r="AX7">
        <v>254602</v>
      </c>
      <c r="AY7">
        <v>562909</v>
      </c>
      <c r="AZ7">
        <v>4852077</v>
      </c>
      <c r="BA7">
        <v>1286661</v>
      </c>
      <c r="BB7">
        <v>236387</v>
      </c>
      <c r="BC7">
        <v>1397464</v>
      </c>
      <c r="BD7">
        <v>7759951</v>
      </c>
      <c r="BE7">
        <v>1457261</v>
      </c>
      <c r="BF7">
        <v>12202765</v>
      </c>
      <c r="BH7">
        <v>286415</v>
      </c>
      <c r="BI7">
        <v>533525</v>
      </c>
      <c r="BJ7">
        <v>15814504</v>
      </c>
      <c r="BK7">
        <v>1517141</v>
      </c>
      <c r="BL7">
        <v>13460136</v>
      </c>
      <c r="BM7">
        <v>8265413</v>
      </c>
      <c r="BN7">
        <v>4955965</v>
      </c>
      <c r="BO7">
        <v>2677594</v>
      </c>
      <c r="BP7">
        <v>46726</v>
      </c>
      <c r="BQ7">
        <v>2578945</v>
      </c>
      <c r="BS7">
        <v>3002036</v>
      </c>
      <c r="BT7">
        <v>1608327</v>
      </c>
      <c r="BV7">
        <v>3502713</v>
      </c>
    </row>
    <row r="8" spans="1:74" x14ac:dyDescent="0.3">
      <c r="A8" s="155">
        <v>11</v>
      </c>
      <c r="B8" t="s">
        <v>194</v>
      </c>
      <c r="D8">
        <v>670823</v>
      </c>
      <c r="E8">
        <v>0</v>
      </c>
      <c r="G8">
        <v>774552</v>
      </c>
      <c r="H8">
        <v>409114</v>
      </c>
      <c r="I8">
        <v>1040</v>
      </c>
      <c r="J8">
        <v>33009</v>
      </c>
      <c r="K8">
        <v>0</v>
      </c>
      <c r="L8">
        <v>12755</v>
      </c>
      <c r="M8">
        <v>0</v>
      </c>
      <c r="N8">
        <v>64781</v>
      </c>
      <c r="O8">
        <v>32647</v>
      </c>
      <c r="Q8">
        <v>116463</v>
      </c>
      <c r="R8">
        <v>24197</v>
      </c>
      <c r="S8">
        <v>0</v>
      </c>
      <c r="T8">
        <v>0</v>
      </c>
      <c r="U8">
        <v>110975</v>
      </c>
      <c r="V8">
        <v>579</v>
      </c>
      <c r="X8">
        <v>303294</v>
      </c>
      <c r="Y8">
        <v>129952</v>
      </c>
      <c r="Z8">
        <v>1404487</v>
      </c>
      <c r="AA8">
        <v>712122</v>
      </c>
      <c r="AB8">
        <v>36283</v>
      </c>
      <c r="AC8">
        <v>38861</v>
      </c>
      <c r="AD8">
        <v>0</v>
      </c>
      <c r="AE8">
        <v>0</v>
      </c>
      <c r="AF8">
        <v>47048</v>
      </c>
      <c r="AG8">
        <v>0</v>
      </c>
      <c r="AH8">
        <v>113054</v>
      </c>
      <c r="AI8">
        <v>0</v>
      </c>
      <c r="AJ8">
        <v>181726</v>
      </c>
      <c r="AK8">
        <v>17290</v>
      </c>
      <c r="AL8">
        <v>0</v>
      </c>
      <c r="AM8">
        <v>195791</v>
      </c>
      <c r="AN8">
        <v>73179</v>
      </c>
      <c r="AO8">
        <v>0</v>
      </c>
      <c r="AP8">
        <v>0</v>
      </c>
      <c r="AQ8">
        <v>19075</v>
      </c>
      <c r="AR8">
        <v>68598</v>
      </c>
      <c r="AS8">
        <v>193574</v>
      </c>
      <c r="AT8">
        <v>61966</v>
      </c>
      <c r="AU8">
        <v>462265</v>
      </c>
      <c r="AV8">
        <v>181120</v>
      </c>
      <c r="AW8">
        <v>56242</v>
      </c>
      <c r="AX8">
        <v>19119</v>
      </c>
      <c r="AY8">
        <v>109700</v>
      </c>
      <c r="AZ8">
        <v>253559</v>
      </c>
      <c r="BA8">
        <v>0</v>
      </c>
      <c r="BB8">
        <v>37554</v>
      </c>
      <c r="BC8">
        <v>40286</v>
      </c>
      <c r="BD8">
        <v>0</v>
      </c>
      <c r="BE8">
        <v>46013</v>
      </c>
      <c r="BF8">
        <v>321226</v>
      </c>
      <c r="BH8">
        <v>177</v>
      </c>
      <c r="BI8">
        <v>43953</v>
      </c>
      <c r="BJ8">
        <v>493273</v>
      </c>
      <c r="BK8">
        <v>86774</v>
      </c>
      <c r="BL8">
        <v>0</v>
      </c>
      <c r="BM8">
        <v>0</v>
      </c>
      <c r="BN8">
        <v>77419</v>
      </c>
      <c r="BO8">
        <v>112497</v>
      </c>
      <c r="BP8">
        <v>2605</v>
      </c>
      <c r="BQ8">
        <v>295916</v>
      </c>
      <c r="BS8">
        <v>0</v>
      </c>
      <c r="BT8">
        <v>131659</v>
      </c>
      <c r="BV8">
        <v>0</v>
      </c>
    </row>
    <row r="9" spans="1:74" x14ac:dyDescent="0.3">
      <c r="A9" s="155">
        <v>13</v>
      </c>
      <c r="B9" t="s">
        <v>896</v>
      </c>
      <c r="D9">
        <v>0</v>
      </c>
      <c r="E9">
        <v>0</v>
      </c>
      <c r="G9">
        <v>0</v>
      </c>
      <c r="H9">
        <v>0</v>
      </c>
      <c r="I9">
        <v>0</v>
      </c>
      <c r="J9">
        <v>0</v>
      </c>
      <c r="K9">
        <v>0</v>
      </c>
      <c r="L9">
        <v>0</v>
      </c>
      <c r="M9">
        <v>0</v>
      </c>
      <c r="N9">
        <v>0</v>
      </c>
      <c r="O9">
        <v>0</v>
      </c>
      <c r="Q9">
        <v>0</v>
      </c>
      <c r="R9">
        <v>0</v>
      </c>
      <c r="S9">
        <v>0</v>
      </c>
      <c r="T9">
        <v>0</v>
      </c>
      <c r="U9">
        <v>0</v>
      </c>
      <c r="V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H9">
        <v>0</v>
      </c>
      <c r="BI9">
        <v>0</v>
      </c>
      <c r="BJ9">
        <v>0</v>
      </c>
      <c r="BK9">
        <v>0</v>
      </c>
      <c r="BL9">
        <v>0</v>
      </c>
      <c r="BM9">
        <v>0</v>
      </c>
      <c r="BN9">
        <v>0</v>
      </c>
      <c r="BO9">
        <v>0</v>
      </c>
      <c r="BP9">
        <v>0</v>
      </c>
      <c r="BQ9">
        <v>0</v>
      </c>
      <c r="BS9">
        <v>0</v>
      </c>
      <c r="BT9">
        <v>0</v>
      </c>
      <c r="BV9">
        <v>0</v>
      </c>
    </row>
    <row r="10" spans="1:74" x14ac:dyDescent="0.3">
      <c r="A10" s="155">
        <v>14</v>
      </c>
      <c r="B10" t="s">
        <v>897</v>
      </c>
      <c r="D10">
        <v>0</v>
      </c>
      <c r="E10">
        <v>0</v>
      </c>
      <c r="G10">
        <v>0</v>
      </c>
      <c r="H10">
        <v>0</v>
      </c>
      <c r="I10">
        <v>0</v>
      </c>
      <c r="J10">
        <v>0</v>
      </c>
      <c r="K10">
        <v>0</v>
      </c>
      <c r="L10">
        <v>0</v>
      </c>
      <c r="M10">
        <v>0</v>
      </c>
      <c r="N10">
        <v>0</v>
      </c>
      <c r="O10">
        <v>0</v>
      </c>
      <c r="Q10">
        <v>0</v>
      </c>
      <c r="R10">
        <v>0</v>
      </c>
      <c r="S10">
        <v>0</v>
      </c>
      <c r="T10">
        <v>0</v>
      </c>
      <c r="U10">
        <v>0</v>
      </c>
      <c r="V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H10">
        <v>0</v>
      </c>
      <c r="BI10">
        <v>0</v>
      </c>
      <c r="BJ10">
        <v>0</v>
      </c>
      <c r="BK10">
        <v>0</v>
      </c>
      <c r="BL10">
        <v>0</v>
      </c>
      <c r="BM10">
        <v>0</v>
      </c>
      <c r="BN10">
        <v>0</v>
      </c>
      <c r="BO10">
        <v>0</v>
      </c>
      <c r="BP10">
        <v>0</v>
      </c>
      <c r="BQ10">
        <v>0</v>
      </c>
      <c r="BS10">
        <v>0</v>
      </c>
      <c r="BT10">
        <v>0</v>
      </c>
      <c r="BV10">
        <v>0</v>
      </c>
    </row>
    <row r="11" spans="1:74" x14ac:dyDescent="0.3">
      <c r="A11" s="155">
        <v>16</v>
      </c>
      <c r="B11" t="s">
        <v>197</v>
      </c>
      <c r="D11">
        <v>5563102</v>
      </c>
      <c r="E11">
        <v>512037674</v>
      </c>
      <c r="G11">
        <v>6399177</v>
      </c>
      <c r="H11">
        <v>2297162</v>
      </c>
      <c r="I11">
        <v>38177</v>
      </c>
      <c r="J11">
        <v>397716</v>
      </c>
      <c r="K11">
        <v>1263723</v>
      </c>
      <c r="L11">
        <v>3617791</v>
      </c>
      <c r="M11">
        <v>17592945</v>
      </c>
      <c r="N11">
        <v>160438</v>
      </c>
      <c r="O11">
        <v>744002</v>
      </c>
      <c r="Q11">
        <v>487045</v>
      </c>
      <c r="R11">
        <v>1644913</v>
      </c>
      <c r="S11">
        <v>1664304</v>
      </c>
      <c r="T11">
        <v>16077947</v>
      </c>
      <c r="U11">
        <v>1616404</v>
      </c>
      <c r="V11">
        <v>600356</v>
      </c>
      <c r="X11">
        <v>9158250</v>
      </c>
      <c r="Y11">
        <v>1874613</v>
      </c>
      <c r="Z11">
        <v>65863127</v>
      </c>
      <c r="AA11">
        <v>10120442</v>
      </c>
      <c r="AB11">
        <v>280481</v>
      </c>
      <c r="AC11">
        <v>430396</v>
      </c>
      <c r="AD11">
        <v>1318283</v>
      </c>
      <c r="AE11">
        <v>1583659</v>
      </c>
      <c r="AF11">
        <v>395925</v>
      </c>
      <c r="AG11">
        <v>1140352</v>
      </c>
      <c r="AH11">
        <v>9736453</v>
      </c>
      <c r="AI11">
        <v>128838</v>
      </c>
      <c r="AJ11">
        <v>3075900</v>
      </c>
      <c r="AK11">
        <v>212374</v>
      </c>
      <c r="AL11">
        <v>863861</v>
      </c>
      <c r="AM11">
        <v>5021750</v>
      </c>
      <c r="AN11">
        <v>371543</v>
      </c>
      <c r="AO11">
        <v>44798648</v>
      </c>
      <c r="AP11">
        <v>1416818</v>
      </c>
      <c r="AQ11">
        <v>187346</v>
      </c>
      <c r="AR11">
        <v>277826</v>
      </c>
      <c r="AS11">
        <v>35374768</v>
      </c>
      <c r="AT11">
        <v>311755</v>
      </c>
      <c r="AU11">
        <v>2587322</v>
      </c>
      <c r="AV11">
        <v>1897353</v>
      </c>
      <c r="AW11">
        <v>392443</v>
      </c>
      <c r="AX11">
        <v>331526</v>
      </c>
      <c r="AY11">
        <v>263377</v>
      </c>
      <c r="AZ11">
        <v>7037066</v>
      </c>
      <c r="BA11">
        <v>2282617</v>
      </c>
      <c r="BB11">
        <v>52127</v>
      </c>
      <c r="BC11">
        <v>415611</v>
      </c>
      <c r="BD11">
        <v>6170402</v>
      </c>
      <c r="BE11">
        <v>1367079</v>
      </c>
      <c r="BF11">
        <v>25366228</v>
      </c>
      <c r="BH11">
        <v>321125</v>
      </c>
      <c r="BI11">
        <v>238172</v>
      </c>
      <c r="BJ11">
        <v>14912836</v>
      </c>
      <c r="BK11">
        <v>1541259</v>
      </c>
      <c r="BL11">
        <v>21437489</v>
      </c>
      <c r="BM11">
        <v>7478661</v>
      </c>
      <c r="BN11">
        <v>9445325</v>
      </c>
      <c r="BO11">
        <v>1999871</v>
      </c>
      <c r="BP11">
        <v>43658</v>
      </c>
      <c r="BQ11">
        <v>3474634</v>
      </c>
      <c r="BS11">
        <v>3273127</v>
      </c>
      <c r="BT11">
        <v>1349262</v>
      </c>
      <c r="BV11">
        <v>2839096</v>
      </c>
    </row>
    <row r="12" spans="1:74" x14ac:dyDescent="0.3">
      <c r="A12" s="155">
        <v>17</v>
      </c>
      <c r="B12" t="s">
        <v>200</v>
      </c>
      <c r="D12">
        <v>63904</v>
      </c>
      <c r="E12">
        <v>8862789</v>
      </c>
      <c r="G12">
        <v>0</v>
      </c>
      <c r="H12">
        <v>0</v>
      </c>
      <c r="I12">
        <v>0</v>
      </c>
      <c r="J12">
        <v>0</v>
      </c>
      <c r="K12">
        <v>0</v>
      </c>
      <c r="L12">
        <v>1064628</v>
      </c>
      <c r="M12">
        <v>0</v>
      </c>
      <c r="N12">
        <v>0</v>
      </c>
      <c r="O12">
        <v>0</v>
      </c>
      <c r="Q12">
        <v>0</v>
      </c>
      <c r="R12">
        <v>0</v>
      </c>
      <c r="S12">
        <v>167895</v>
      </c>
      <c r="T12">
        <v>0</v>
      </c>
      <c r="U12">
        <v>0</v>
      </c>
      <c r="V12">
        <v>0</v>
      </c>
      <c r="X12">
        <v>0</v>
      </c>
      <c r="Y12">
        <v>0</v>
      </c>
      <c r="Z12">
        <v>6359586</v>
      </c>
      <c r="AA12">
        <v>0</v>
      </c>
      <c r="AB12">
        <v>0</v>
      </c>
      <c r="AC12">
        <v>0</v>
      </c>
      <c r="AD12">
        <v>0</v>
      </c>
      <c r="AE12">
        <v>0</v>
      </c>
      <c r="AF12">
        <v>0</v>
      </c>
      <c r="AG12">
        <v>0</v>
      </c>
      <c r="AH12">
        <v>270580</v>
      </c>
      <c r="AI12">
        <v>0</v>
      </c>
      <c r="AJ12">
        <v>0</v>
      </c>
      <c r="AK12">
        <v>0</v>
      </c>
      <c r="AL12">
        <v>0</v>
      </c>
      <c r="AM12">
        <v>40000</v>
      </c>
      <c r="AN12">
        <v>0</v>
      </c>
      <c r="AO12">
        <v>0</v>
      </c>
      <c r="AP12">
        <v>0</v>
      </c>
      <c r="AQ12">
        <v>0</v>
      </c>
      <c r="AR12">
        <v>0</v>
      </c>
      <c r="AS12">
        <v>171821</v>
      </c>
      <c r="AT12">
        <v>0</v>
      </c>
      <c r="AU12">
        <v>0</v>
      </c>
      <c r="AV12">
        <v>19357</v>
      </c>
      <c r="AW12">
        <v>20000</v>
      </c>
      <c r="AX12">
        <v>0</v>
      </c>
      <c r="AY12">
        <v>0</v>
      </c>
      <c r="AZ12">
        <v>175000</v>
      </c>
      <c r="BA12">
        <v>0</v>
      </c>
      <c r="BB12">
        <v>0</v>
      </c>
      <c r="BC12">
        <v>0</v>
      </c>
      <c r="BD12">
        <v>65506</v>
      </c>
      <c r="BE12">
        <v>348222</v>
      </c>
      <c r="BF12">
        <v>3300000</v>
      </c>
      <c r="BH12">
        <v>0</v>
      </c>
      <c r="BI12">
        <v>0</v>
      </c>
      <c r="BJ12">
        <v>175400</v>
      </c>
      <c r="BK12">
        <v>0</v>
      </c>
      <c r="BL12">
        <v>0</v>
      </c>
      <c r="BM12">
        <v>0</v>
      </c>
      <c r="BN12">
        <v>0</v>
      </c>
      <c r="BO12">
        <v>27334</v>
      </c>
      <c r="BP12">
        <v>0</v>
      </c>
      <c r="BQ12">
        <v>0</v>
      </c>
      <c r="BS12">
        <v>0</v>
      </c>
      <c r="BT12">
        <v>0</v>
      </c>
      <c r="BV12">
        <v>0</v>
      </c>
    </row>
    <row r="13" spans="1:74" x14ac:dyDescent="0.3">
      <c r="A13" s="155">
        <v>20</v>
      </c>
      <c r="B13" t="s">
        <v>201</v>
      </c>
      <c r="D13">
        <v>65995</v>
      </c>
      <c r="E13">
        <v>47477284</v>
      </c>
      <c r="G13">
        <v>0</v>
      </c>
      <c r="H13">
        <v>0</v>
      </c>
      <c r="I13">
        <v>0</v>
      </c>
      <c r="J13">
        <v>0</v>
      </c>
      <c r="K13">
        <v>0</v>
      </c>
      <c r="L13">
        <v>0</v>
      </c>
      <c r="M13">
        <v>3000</v>
      </c>
      <c r="N13">
        <v>0</v>
      </c>
      <c r="O13">
        <v>100</v>
      </c>
      <c r="Q13">
        <v>0</v>
      </c>
      <c r="R13">
        <v>0</v>
      </c>
      <c r="S13">
        <v>133500</v>
      </c>
      <c r="T13">
        <v>0</v>
      </c>
      <c r="U13">
        <v>0</v>
      </c>
      <c r="V13">
        <v>0</v>
      </c>
      <c r="X13">
        <v>0</v>
      </c>
      <c r="Y13">
        <v>562000</v>
      </c>
      <c r="Z13">
        <v>3799755</v>
      </c>
      <c r="AA13">
        <v>795000</v>
      </c>
      <c r="AB13">
        <v>0</v>
      </c>
      <c r="AC13">
        <v>0</v>
      </c>
      <c r="AD13">
        <v>0</v>
      </c>
      <c r="AE13">
        <v>0</v>
      </c>
      <c r="AF13">
        <v>0</v>
      </c>
      <c r="AG13">
        <v>0</v>
      </c>
      <c r="AH13">
        <v>0</v>
      </c>
      <c r="AI13">
        <v>0</v>
      </c>
      <c r="AJ13">
        <v>0</v>
      </c>
      <c r="AK13">
        <v>0</v>
      </c>
      <c r="AL13">
        <v>0</v>
      </c>
      <c r="AM13">
        <v>0</v>
      </c>
      <c r="AN13">
        <v>0</v>
      </c>
      <c r="AO13">
        <v>3211611</v>
      </c>
      <c r="AP13">
        <v>13000</v>
      </c>
      <c r="AQ13">
        <v>0</v>
      </c>
      <c r="AR13">
        <v>0</v>
      </c>
      <c r="AS13">
        <v>264190</v>
      </c>
      <c r="AT13">
        <v>0</v>
      </c>
      <c r="AU13">
        <v>0</v>
      </c>
      <c r="AV13">
        <v>0</v>
      </c>
      <c r="AW13">
        <v>5000</v>
      </c>
      <c r="AX13">
        <v>0</v>
      </c>
      <c r="AY13">
        <v>0</v>
      </c>
      <c r="AZ13">
        <v>0</v>
      </c>
      <c r="BA13">
        <v>0</v>
      </c>
      <c r="BB13">
        <v>0</v>
      </c>
      <c r="BC13">
        <v>0</v>
      </c>
      <c r="BD13">
        <v>1175000</v>
      </c>
      <c r="BE13">
        <v>0</v>
      </c>
      <c r="BF13">
        <v>1090573</v>
      </c>
      <c r="BH13">
        <v>0</v>
      </c>
      <c r="BI13">
        <v>0</v>
      </c>
      <c r="BJ13">
        <v>834000</v>
      </c>
      <c r="BK13">
        <v>0</v>
      </c>
      <c r="BL13">
        <v>885136</v>
      </c>
      <c r="BM13">
        <v>270000</v>
      </c>
      <c r="BN13">
        <v>1200000</v>
      </c>
      <c r="BO13">
        <v>0</v>
      </c>
      <c r="BP13">
        <v>0</v>
      </c>
      <c r="BQ13">
        <v>214258</v>
      </c>
      <c r="BS13">
        <v>0</v>
      </c>
      <c r="BT13">
        <v>0</v>
      </c>
      <c r="BV13">
        <v>0</v>
      </c>
    </row>
    <row r="14" spans="1:74" x14ac:dyDescent="0.3">
      <c r="A14" s="155">
        <v>22</v>
      </c>
      <c r="B14" t="s">
        <v>203</v>
      </c>
      <c r="D14">
        <v>0</v>
      </c>
      <c r="E14">
        <v>339548</v>
      </c>
      <c r="G14">
        <v>0</v>
      </c>
      <c r="H14">
        <v>0</v>
      </c>
      <c r="I14">
        <v>0</v>
      </c>
      <c r="J14">
        <v>0</v>
      </c>
      <c r="K14">
        <v>0</v>
      </c>
      <c r="L14">
        <v>0</v>
      </c>
      <c r="M14">
        <v>0</v>
      </c>
      <c r="N14">
        <v>0</v>
      </c>
      <c r="O14">
        <v>0</v>
      </c>
      <c r="Q14">
        <v>0</v>
      </c>
      <c r="R14">
        <v>2656</v>
      </c>
      <c r="S14">
        <v>0</v>
      </c>
      <c r="T14">
        <v>0</v>
      </c>
      <c r="U14">
        <v>0</v>
      </c>
      <c r="V14">
        <v>0</v>
      </c>
      <c r="X14">
        <v>0</v>
      </c>
      <c r="Y14">
        <v>13620</v>
      </c>
      <c r="Z14">
        <v>0</v>
      </c>
      <c r="AA14">
        <v>2080000</v>
      </c>
      <c r="AB14">
        <v>0</v>
      </c>
      <c r="AC14">
        <v>0</v>
      </c>
      <c r="AD14">
        <v>0</v>
      </c>
      <c r="AE14">
        <v>1875</v>
      </c>
      <c r="AF14">
        <v>5116</v>
      </c>
      <c r="AG14">
        <v>0</v>
      </c>
      <c r="AH14">
        <v>0</v>
      </c>
      <c r="AI14">
        <v>31100</v>
      </c>
      <c r="AJ14">
        <v>5509</v>
      </c>
      <c r="AK14">
        <v>0</v>
      </c>
      <c r="AL14">
        <v>0</v>
      </c>
      <c r="AM14">
        <v>47589</v>
      </c>
      <c r="AN14">
        <v>0</v>
      </c>
      <c r="AO14">
        <v>0</v>
      </c>
      <c r="AP14">
        <v>0</v>
      </c>
      <c r="AQ14">
        <v>0</v>
      </c>
      <c r="AR14">
        <v>0</v>
      </c>
      <c r="AS14">
        <v>266008</v>
      </c>
      <c r="AT14">
        <v>0</v>
      </c>
      <c r="AU14">
        <v>0</v>
      </c>
      <c r="AV14">
        <v>31500</v>
      </c>
      <c r="AW14">
        <v>0</v>
      </c>
      <c r="AX14">
        <v>9095</v>
      </c>
      <c r="AY14">
        <v>0</v>
      </c>
      <c r="AZ14">
        <v>44062</v>
      </c>
      <c r="BA14">
        <v>0</v>
      </c>
      <c r="BB14">
        <v>0</v>
      </c>
      <c r="BC14">
        <v>0</v>
      </c>
      <c r="BD14">
        <v>31936</v>
      </c>
      <c r="BE14">
        <v>0</v>
      </c>
      <c r="BF14">
        <v>28304</v>
      </c>
      <c r="BH14">
        <v>0</v>
      </c>
      <c r="BI14">
        <v>500</v>
      </c>
      <c r="BJ14">
        <v>67128</v>
      </c>
      <c r="BK14">
        <v>0</v>
      </c>
      <c r="BL14">
        <v>52505</v>
      </c>
      <c r="BM14">
        <v>0</v>
      </c>
      <c r="BN14">
        <v>0</v>
      </c>
      <c r="BO14">
        <v>0</v>
      </c>
      <c r="BP14">
        <v>0</v>
      </c>
      <c r="BQ14">
        <v>0</v>
      </c>
      <c r="BS14">
        <v>18244</v>
      </c>
      <c r="BT14">
        <v>6681</v>
      </c>
      <c r="BV14">
        <v>85295</v>
      </c>
    </row>
    <row r="15" spans="1:74" x14ac:dyDescent="0.3">
      <c r="A15" s="155">
        <v>23</v>
      </c>
      <c r="B15" t="s">
        <v>206</v>
      </c>
      <c r="D15">
        <v>773798</v>
      </c>
      <c r="E15">
        <v>56486186</v>
      </c>
      <c r="G15">
        <v>1166027</v>
      </c>
      <c r="H15">
        <v>182695</v>
      </c>
      <c r="I15">
        <v>11763</v>
      </c>
      <c r="J15">
        <v>58922</v>
      </c>
      <c r="K15">
        <v>185572</v>
      </c>
      <c r="L15">
        <v>284113</v>
      </c>
      <c r="M15">
        <v>2469806</v>
      </c>
      <c r="N15">
        <v>81720</v>
      </c>
      <c r="O15">
        <v>122667</v>
      </c>
      <c r="Q15">
        <v>-371643</v>
      </c>
      <c r="R15">
        <v>239498</v>
      </c>
      <c r="S15">
        <v>-343782</v>
      </c>
      <c r="T15">
        <v>1376287</v>
      </c>
      <c r="U15">
        <v>240018</v>
      </c>
      <c r="V15">
        <v>109247</v>
      </c>
      <c r="X15">
        <v>956341</v>
      </c>
      <c r="Y15">
        <v>-400467</v>
      </c>
      <c r="Z15">
        <v>491327</v>
      </c>
      <c r="AA15">
        <v>3071873</v>
      </c>
      <c r="AB15">
        <v>6479</v>
      </c>
      <c r="AC15">
        <v>133547</v>
      </c>
      <c r="AD15">
        <v>-263842</v>
      </c>
      <c r="AE15">
        <v>416055</v>
      </c>
      <c r="AF15">
        <v>-75899</v>
      </c>
      <c r="AG15">
        <v>70112</v>
      </c>
      <c r="AH15">
        <v>-160369</v>
      </c>
      <c r="AI15">
        <v>48401</v>
      </c>
      <c r="AJ15">
        <v>260149</v>
      </c>
      <c r="AK15">
        <v>15280</v>
      </c>
      <c r="AL15">
        <v>-9447</v>
      </c>
      <c r="AM15">
        <v>-56438</v>
      </c>
      <c r="AN15">
        <v>74667</v>
      </c>
      <c r="AO15">
        <v>3110653</v>
      </c>
      <c r="AP15">
        <v>213097</v>
      </c>
      <c r="AQ15">
        <v>105488</v>
      </c>
      <c r="AR15">
        <v>115574</v>
      </c>
      <c r="AS15">
        <v>5764728</v>
      </c>
      <c r="AT15">
        <v>18164</v>
      </c>
      <c r="AU15">
        <v>354975</v>
      </c>
      <c r="AV15">
        <v>49076</v>
      </c>
      <c r="AW15">
        <v>94783</v>
      </c>
      <c r="AX15">
        <v>33146</v>
      </c>
      <c r="AY15">
        <v>44734</v>
      </c>
      <c r="AZ15">
        <v>1020676</v>
      </c>
      <c r="BA15">
        <v>153725</v>
      </c>
      <c r="BB15">
        <v>3072</v>
      </c>
      <c r="BC15">
        <v>94593</v>
      </c>
      <c r="BD15">
        <v>-714616</v>
      </c>
      <c r="BE15">
        <v>376888</v>
      </c>
      <c r="BF15">
        <v>2741181</v>
      </c>
      <c r="BH15">
        <v>18546</v>
      </c>
      <c r="BI15">
        <v>-2965</v>
      </c>
      <c r="BJ15">
        <v>1292564</v>
      </c>
      <c r="BK15">
        <v>241464</v>
      </c>
      <c r="BL15">
        <v>1873046</v>
      </c>
      <c r="BM15">
        <v>845753</v>
      </c>
      <c r="BN15">
        <v>507210</v>
      </c>
      <c r="BO15">
        <v>484837</v>
      </c>
      <c r="BP15">
        <v>9156</v>
      </c>
      <c r="BQ15">
        <v>-190824</v>
      </c>
      <c r="BS15">
        <v>212390</v>
      </c>
      <c r="BT15">
        <v>173238</v>
      </c>
      <c r="BV15">
        <v>236919</v>
      </c>
    </row>
    <row r="16" spans="1:74" x14ac:dyDescent="0.3">
      <c r="A16" s="155">
        <v>31</v>
      </c>
      <c r="B16" t="s">
        <v>898</v>
      </c>
      <c r="D16">
        <v>0</v>
      </c>
      <c r="E16">
        <v>0</v>
      </c>
      <c r="G16">
        <v>0</v>
      </c>
      <c r="H16">
        <v>0</v>
      </c>
      <c r="I16">
        <v>0</v>
      </c>
      <c r="J16">
        <v>0</v>
      </c>
      <c r="K16">
        <v>0</v>
      </c>
      <c r="L16">
        <v>0</v>
      </c>
      <c r="M16">
        <v>0</v>
      </c>
      <c r="N16">
        <v>0</v>
      </c>
      <c r="O16">
        <v>0</v>
      </c>
      <c r="Q16">
        <v>0</v>
      </c>
      <c r="R16">
        <v>0</v>
      </c>
      <c r="S16">
        <v>0</v>
      </c>
      <c r="T16">
        <v>0</v>
      </c>
      <c r="U16">
        <v>0</v>
      </c>
      <c r="V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H16">
        <v>0</v>
      </c>
      <c r="BI16">
        <v>0</v>
      </c>
      <c r="BJ16">
        <v>0</v>
      </c>
      <c r="BK16">
        <v>0</v>
      </c>
      <c r="BL16">
        <v>0</v>
      </c>
      <c r="BM16">
        <v>0</v>
      </c>
      <c r="BN16">
        <v>0</v>
      </c>
      <c r="BO16">
        <v>0</v>
      </c>
      <c r="BP16">
        <v>0</v>
      </c>
      <c r="BQ16">
        <v>0</v>
      </c>
      <c r="BS16">
        <v>0</v>
      </c>
      <c r="BT16">
        <v>0</v>
      </c>
      <c r="BV16">
        <v>0</v>
      </c>
    </row>
    <row r="17" spans="1:74" x14ac:dyDescent="0.3">
      <c r="A17" s="155">
        <v>32</v>
      </c>
      <c r="B17" t="s">
        <v>899</v>
      </c>
      <c r="D17">
        <v>0</v>
      </c>
      <c r="E17">
        <v>0</v>
      </c>
      <c r="G17">
        <v>0</v>
      </c>
      <c r="H17">
        <v>0</v>
      </c>
      <c r="I17">
        <v>0</v>
      </c>
      <c r="J17">
        <v>0</v>
      </c>
      <c r="K17">
        <v>0</v>
      </c>
      <c r="L17">
        <v>0</v>
      </c>
      <c r="M17">
        <v>0</v>
      </c>
      <c r="N17">
        <v>0</v>
      </c>
      <c r="O17">
        <v>0</v>
      </c>
      <c r="Q17">
        <v>0</v>
      </c>
      <c r="R17">
        <v>0</v>
      </c>
      <c r="S17">
        <v>0</v>
      </c>
      <c r="T17">
        <v>0</v>
      </c>
      <c r="U17">
        <v>0</v>
      </c>
      <c r="V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H17">
        <v>0</v>
      </c>
      <c r="BI17">
        <v>0</v>
      </c>
      <c r="BJ17">
        <v>0</v>
      </c>
      <c r="BK17">
        <v>0</v>
      </c>
      <c r="BL17">
        <v>0</v>
      </c>
      <c r="BM17">
        <v>0</v>
      </c>
      <c r="BN17">
        <v>0</v>
      </c>
      <c r="BO17">
        <v>0</v>
      </c>
      <c r="BP17">
        <v>0</v>
      </c>
      <c r="BQ17">
        <v>0</v>
      </c>
      <c r="BS17">
        <v>0</v>
      </c>
      <c r="BT17">
        <v>0</v>
      </c>
      <c r="BV17">
        <v>0</v>
      </c>
    </row>
    <row r="18" spans="1:74" x14ac:dyDescent="0.3">
      <c r="A18" s="155">
        <v>33</v>
      </c>
      <c r="B18" t="s">
        <v>282</v>
      </c>
      <c r="D18">
        <v>0</v>
      </c>
      <c r="E18">
        <v>0</v>
      </c>
      <c r="G18">
        <v>0</v>
      </c>
      <c r="H18">
        <v>0</v>
      </c>
      <c r="I18">
        <v>0</v>
      </c>
      <c r="J18">
        <v>0</v>
      </c>
      <c r="K18">
        <v>0</v>
      </c>
      <c r="L18">
        <v>0</v>
      </c>
      <c r="M18">
        <v>0</v>
      </c>
      <c r="N18">
        <v>0</v>
      </c>
      <c r="O18">
        <v>0</v>
      </c>
      <c r="Q18">
        <v>0</v>
      </c>
      <c r="R18">
        <v>0</v>
      </c>
      <c r="S18">
        <v>0</v>
      </c>
      <c r="T18">
        <v>0</v>
      </c>
      <c r="U18">
        <v>0</v>
      </c>
      <c r="V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H18">
        <v>0</v>
      </c>
      <c r="BI18">
        <v>0</v>
      </c>
      <c r="BJ18">
        <v>0</v>
      </c>
      <c r="BK18">
        <v>0</v>
      </c>
      <c r="BL18">
        <v>0</v>
      </c>
      <c r="BM18">
        <v>0</v>
      </c>
      <c r="BN18">
        <v>0</v>
      </c>
      <c r="BO18">
        <v>0</v>
      </c>
      <c r="BP18">
        <v>0</v>
      </c>
      <c r="BQ18">
        <v>0</v>
      </c>
      <c r="BS18">
        <v>0</v>
      </c>
      <c r="BT18">
        <v>0</v>
      </c>
      <c r="BV18">
        <v>0</v>
      </c>
    </row>
    <row r="19" spans="1:74" x14ac:dyDescent="0.3">
      <c r="A19" s="155">
        <v>34</v>
      </c>
      <c r="B19" t="s">
        <v>900</v>
      </c>
      <c r="D19">
        <v>0</v>
      </c>
      <c r="E19">
        <v>0</v>
      </c>
      <c r="G19">
        <v>0</v>
      </c>
      <c r="H19">
        <v>0</v>
      </c>
      <c r="I19">
        <v>0</v>
      </c>
      <c r="J19">
        <v>0</v>
      </c>
      <c r="K19">
        <v>0</v>
      </c>
      <c r="L19">
        <v>0</v>
      </c>
      <c r="M19">
        <v>0</v>
      </c>
      <c r="N19">
        <v>0</v>
      </c>
      <c r="O19">
        <v>0</v>
      </c>
      <c r="Q19">
        <v>0</v>
      </c>
      <c r="R19">
        <v>0</v>
      </c>
      <c r="S19">
        <v>0</v>
      </c>
      <c r="T19">
        <v>0</v>
      </c>
      <c r="U19">
        <v>0</v>
      </c>
      <c r="V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H19">
        <v>0</v>
      </c>
      <c r="BI19">
        <v>0</v>
      </c>
      <c r="BJ19">
        <v>0</v>
      </c>
      <c r="BK19">
        <v>0</v>
      </c>
      <c r="BL19">
        <v>0</v>
      </c>
      <c r="BM19">
        <v>0</v>
      </c>
      <c r="BN19">
        <v>0</v>
      </c>
      <c r="BO19">
        <v>0</v>
      </c>
      <c r="BP19">
        <v>0</v>
      </c>
      <c r="BQ19">
        <v>0</v>
      </c>
      <c r="BS19">
        <v>0</v>
      </c>
      <c r="BT19">
        <v>0</v>
      </c>
      <c r="BV19">
        <v>0</v>
      </c>
    </row>
    <row r="20" spans="1:74" x14ac:dyDescent="0.3">
      <c r="A20" s="155">
        <v>35</v>
      </c>
      <c r="B20" t="s">
        <v>901</v>
      </c>
      <c r="D20">
        <v>0</v>
      </c>
      <c r="E20">
        <v>0</v>
      </c>
      <c r="G20">
        <v>0</v>
      </c>
      <c r="H20">
        <v>0</v>
      </c>
      <c r="I20">
        <v>0</v>
      </c>
      <c r="J20">
        <v>0</v>
      </c>
      <c r="K20">
        <v>0</v>
      </c>
      <c r="L20">
        <v>0</v>
      </c>
      <c r="M20">
        <v>0</v>
      </c>
      <c r="N20">
        <v>0</v>
      </c>
      <c r="O20">
        <v>0</v>
      </c>
      <c r="Q20">
        <v>0</v>
      </c>
      <c r="R20">
        <v>0</v>
      </c>
      <c r="S20">
        <v>0</v>
      </c>
      <c r="T20">
        <v>0</v>
      </c>
      <c r="U20">
        <v>0</v>
      </c>
      <c r="V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H20">
        <v>0</v>
      </c>
      <c r="BI20">
        <v>0</v>
      </c>
      <c r="BJ20">
        <v>0</v>
      </c>
      <c r="BK20">
        <v>0</v>
      </c>
      <c r="BL20">
        <v>0</v>
      </c>
      <c r="BM20">
        <v>0</v>
      </c>
      <c r="BN20">
        <v>0</v>
      </c>
      <c r="BO20">
        <v>0</v>
      </c>
      <c r="BP20">
        <v>0</v>
      </c>
      <c r="BQ20">
        <v>0</v>
      </c>
      <c r="BS20">
        <v>0</v>
      </c>
      <c r="BT20">
        <v>0</v>
      </c>
      <c r="BV20">
        <v>0</v>
      </c>
    </row>
    <row r="21" spans="1:74" x14ac:dyDescent="0.3">
      <c r="A21" s="155">
        <v>36</v>
      </c>
      <c r="B21" t="s">
        <v>902</v>
      </c>
      <c r="D21">
        <v>0</v>
      </c>
      <c r="E21">
        <v>0</v>
      </c>
      <c r="G21">
        <v>0</v>
      </c>
      <c r="H21">
        <v>0</v>
      </c>
      <c r="I21">
        <v>0</v>
      </c>
      <c r="J21">
        <v>0</v>
      </c>
      <c r="K21">
        <v>0</v>
      </c>
      <c r="L21">
        <v>0</v>
      </c>
      <c r="M21">
        <v>0</v>
      </c>
      <c r="N21">
        <v>0</v>
      </c>
      <c r="O21">
        <v>0</v>
      </c>
      <c r="Q21">
        <v>0</v>
      </c>
      <c r="R21">
        <v>0</v>
      </c>
      <c r="S21">
        <v>0</v>
      </c>
      <c r="T21">
        <v>0</v>
      </c>
      <c r="U21">
        <v>0</v>
      </c>
      <c r="V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H21">
        <v>0</v>
      </c>
      <c r="BI21">
        <v>0</v>
      </c>
      <c r="BJ21">
        <v>0</v>
      </c>
      <c r="BK21">
        <v>0</v>
      </c>
      <c r="BL21">
        <v>0</v>
      </c>
      <c r="BM21">
        <v>0</v>
      </c>
      <c r="BN21">
        <v>0</v>
      </c>
      <c r="BO21">
        <v>0</v>
      </c>
      <c r="BP21">
        <v>0</v>
      </c>
      <c r="BQ21">
        <v>0</v>
      </c>
      <c r="BS21">
        <v>0</v>
      </c>
      <c r="BT21">
        <v>0</v>
      </c>
      <c r="BV21">
        <v>0</v>
      </c>
    </row>
    <row r="22" spans="1:74" x14ac:dyDescent="0.3">
      <c r="A22" s="155">
        <v>37</v>
      </c>
      <c r="B22" t="s">
        <v>903</v>
      </c>
      <c r="D22">
        <v>0</v>
      </c>
      <c r="E22">
        <v>0</v>
      </c>
      <c r="G22">
        <v>0</v>
      </c>
      <c r="H22">
        <v>0</v>
      </c>
      <c r="I22">
        <v>0</v>
      </c>
      <c r="J22">
        <v>0</v>
      </c>
      <c r="K22">
        <v>0</v>
      </c>
      <c r="L22">
        <v>0</v>
      </c>
      <c r="M22">
        <v>0</v>
      </c>
      <c r="N22">
        <v>0</v>
      </c>
      <c r="O22">
        <v>0</v>
      </c>
      <c r="Q22">
        <v>0</v>
      </c>
      <c r="R22">
        <v>0</v>
      </c>
      <c r="S22">
        <v>0</v>
      </c>
      <c r="T22">
        <v>0</v>
      </c>
      <c r="U22">
        <v>0</v>
      </c>
      <c r="V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H22">
        <v>0</v>
      </c>
      <c r="BI22">
        <v>0</v>
      </c>
      <c r="BJ22">
        <v>0</v>
      </c>
      <c r="BK22">
        <v>0</v>
      </c>
      <c r="BL22">
        <v>0</v>
      </c>
      <c r="BM22">
        <v>0</v>
      </c>
      <c r="BN22">
        <v>0</v>
      </c>
      <c r="BO22">
        <v>0</v>
      </c>
      <c r="BP22">
        <v>0</v>
      </c>
      <c r="BQ22">
        <v>0</v>
      </c>
      <c r="BS22">
        <v>0</v>
      </c>
      <c r="BT22">
        <v>0</v>
      </c>
      <c r="BV22">
        <v>0</v>
      </c>
    </row>
    <row r="23" spans="1:74" x14ac:dyDescent="0.3">
      <c r="A23" s="155">
        <v>38</v>
      </c>
      <c r="B23" t="s">
        <v>904</v>
      </c>
      <c r="D23">
        <v>0</v>
      </c>
      <c r="E23">
        <v>0</v>
      </c>
      <c r="G23">
        <v>0</v>
      </c>
      <c r="H23">
        <v>0</v>
      </c>
      <c r="I23">
        <v>0</v>
      </c>
      <c r="J23">
        <v>0</v>
      </c>
      <c r="K23">
        <v>0</v>
      </c>
      <c r="L23">
        <v>0</v>
      </c>
      <c r="M23">
        <v>0</v>
      </c>
      <c r="N23">
        <v>0</v>
      </c>
      <c r="O23">
        <v>0</v>
      </c>
      <c r="Q23">
        <v>0</v>
      </c>
      <c r="R23">
        <v>0</v>
      </c>
      <c r="S23">
        <v>0</v>
      </c>
      <c r="T23">
        <v>0</v>
      </c>
      <c r="U23">
        <v>0</v>
      </c>
      <c r="V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H23">
        <v>0</v>
      </c>
      <c r="BI23">
        <v>0</v>
      </c>
      <c r="BJ23">
        <v>0</v>
      </c>
      <c r="BK23">
        <v>0</v>
      </c>
      <c r="BL23">
        <v>0</v>
      </c>
      <c r="BM23">
        <v>0</v>
      </c>
      <c r="BN23">
        <v>0</v>
      </c>
      <c r="BO23">
        <v>0</v>
      </c>
      <c r="BP23">
        <v>0</v>
      </c>
      <c r="BQ23">
        <v>0</v>
      </c>
      <c r="BS23">
        <v>0</v>
      </c>
      <c r="BT23">
        <v>0</v>
      </c>
      <c r="BV23">
        <v>0</v>
      </c>
    </row>
    <row r="24" spans="1:74" x14ac:dyDescent="0.3">
      <c r="A24" s="155">
        <v>39</v>
      </c>
      <c r="B24" t="s">
        <v>905</v>
      </c>
      <c r="D24">
        <v>0</v>
      </c>
      <c r="E24">
        <v>0</v>
      </c>
      <c r="G24">
        <v>0</v>
      </c>
      <c r="H24">
        <v>0</v>
      </c>
      <c r="I24">
        <v>0</v>
      </c>
      <c r="J24">
        <v>0</v>
      </c>
      <c r="K24">
        <v>0</v>
      </c>
      <c r="L24">
        <v>0</v>
      </c>
      <c r="M24">
        <v>0</v>
      </c>
      <c r="N24">
        <v>0</v>
      </c>
      <c r="O24">
        <v>0</v>
      </c>
      <c r="Q24">
        <v>0</v>
      </c>
      <c r="R24">
        <v>0</v>
      </c>
      <c r="S24">
        <v>0</v>
      </c>
      <c r="T24">
        <v>0</v>
      </c>
      <c r="U24">
        <v>0</v>
      </c>
      <c r="V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H24">
        <v>0</v>
      </c>
      <c r="BI24">
        <v>0</v>
      </c>
      <c r="BJ24">
        <v>0</v>
      </c>
      <c r="BK24">
        <v>0</v>
      </c>
      <c r="BL24">
        <v>0</v>
      </c>
      <c r="BM24">
        <v>0</v>
      </c>
      <c r="BN24">
        <v>0</v>
      </c>
      <c r="BO24">
        <v>0</v>
      </c>
      <c r="BP24">
        <v>0</v>
      </c>
      <c r="BQ24">
        <v>0</v>
      </c>
      <c r="BS24">
        <v>0</v>
      </c>
      <c r="BT24">
        <v>0</v>
      </c>
      <c r="BV24">
        <v>0</v>
      </c>
    </row>
    <row r="25" spans="1:74" x14ac:dyDescent="0.3">
      <c r="A25" s="155">
        <v>40</v>
      </c>
      <c r="B25" t="s">
        <v>906</v>
      </c>
      <c r="D25">
        <v>0</v>
      </c>
      <c r="E25">
        <v>0</v>
      </c>
      <c r="G25">
        <v>0</v>
      </c>
      <c r="H25">
        <v>0</v>
      </c>
      <c r="I25">
        <v>0</v>
      </c>
      <c r="J25">
        <v>0</v>
      </c>
      <c r="K25">
        <v>0</v>
      </c>
      <c r="L25">
        <v>0</v>
      </c>
      <c r="M25">
        <v>0</v>
      </c>
      <c r="N25">
        <v>0</v>
      </c>
      <c r="O25">
        <v>0</v>
      </c>
      <c r="Q25">
        <v>0</v>
      </c>
      <c r="R25">
        <v>0</v>
      </c>
      <c r="S25">
        <v>0</v>
      </c>
      <c r="T25">
        <v>0</v>
      </c>
      <c r="U25">
        <v>0</v>
      </c>
      <c r="V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H25">
        <v>0</v>
      </c>
      <c r="BI25">
        <v>0</v>
      </c>
      <c r="BJ25">
        <v>0</v>
      </c>
      <c r="BK25">
        <v>0</v>
      </c>
      <c r="BL25">
        <v>0</v>
      </c>
      <c r="BM25">
        <v>0</v>
      </c>
      <c r="BN25">
        <v>0</v>
      </c>
      <c r="BO25">
        <v>0</v>
      </c>
      <c r="BP25">
        <v>0</v>
      </c>
      <c r="BQ25">
        <v>0</v>
      </c>
      <c r="BS25">
        <v>0</v>
      </c>
      <c r="BT25">
        <v>0</v>
      </c>
      <c r="BV25">
        <v>0</v>
      </c>
    </row>
    <row r="26" spans="1:74" x14ac:dyDescent="0.3">
      <c r="A26" s="155">
        <v>41</v>
      </c>
      <c r="B26" t="s">
        <v>907</v>
      </c>
      <c r="D26">
        <v>0</v>
      </c>
      <c r="E26">
        <v>0</v>
      </c>
      <c r="G26">
        <v>0</v>
      </c>
      <c r="H26">
        <v>0</v>
      </c>
      <c r="I26">
        <v>0</v>
      </c>
      <c r="J26">
        <v>0</v>
      </c>
      <c r="K26">
        <v>0</v>
      </c>
      <c r="L26">
        <v>0</v>
      </c>
      <c r="M26">
        <v>0</v>
      </c>
      <c r="N26">
        <v>0</v>
      </c>
      <c r="O26">
        <v>0</v>
      </c>
      <c r="Q26">
        <v>0</v>
      </c>
      <c r="R26">
        <v>0</v>
      </c>
      <c r="S26">
        <v>0</v>
      </c>
      <c r="T26">
        <v>0</v>
      </c>
      <c r="U26">
        <v>0</v>
      </c>
      <c r="V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H26">
        <v>0</v>
      </c>
      <c r="BI26">
        <v>0</v>
      </c>
      <c r="BJ26">
        <v>0</v>
      </c>
      <c r="BK26">
        <v>0</v>
      </c>
      <c r="BL26">
        <v>0</v>
      </c>
      <c r="BM26">
        <v>0</v>
      </c>
      <c r="BN26">
        <v>0</v>
      </c>
      <c r="BO26">
        <v>0</v>
      </c>
      <c r="BP26">
        <v>0</v>
      </c>
      <c r="BQ26">
        <v>0</v>
      </c>
      <c r="BS26">
        <v>0</v>
      </c>
      <c r="BT26">
        <v>0</v>
      </c>
      <c r="BV26">
        <v>0</v>
      </c>
    </row>
    <row r="27" spans="1:74" x14ac:dyDescent="0.3">
      <c r="A27" s="155">
        <v>44</v>
      </c>
      <c r="B27" t="s">
        <v>908</v>
      </c>
      <c r="D27">
        <v>6698056</v>
      </c>
      <c r="E27">
        <v>516820273</v>
      </c>
      <c r="G27">
        <v>3746871</v>
      </c>
      <c r="H27">
        <v>1005545</v>
      </c>
      <c r="I27">
        <v>0</v>
      </c>
      <c r="J27">
        <v>0</v>
      </c>
      <c r="K27">
        <v>0</v>
      </c>
      <c r="L27">
        <v>727115</v>
      </c>
      <c r="M27">
        <v>11126727</v>
      </c>
      <c r="N27">
        <v>0</v>
      </c>
      <c r="O27">
        <v>481493</v>
      </c>
      <c r="Q27">
        <v>0</v>
      </c>
      <c r="R27">
        <v>0</v>
      </c>
      <c r="S27">
        <v>2374616</v>
      </c>
      <c r="T27">
        <v>0</v>
      </c>
      <c r="U27">
        <v>1739058</v>
      </c>
      <c r="V27">
        <v>523324</v>
      </c>
      <c r="X27">
        <v>3965896</v>
      </c>
      <c r="Y27">
        <v>0</v>
      </c>
      <c r="Z27">
        <v>19759947</v>
      </c>
      <c r="AA27">
        <v>0</v>
      </c>
      <c r="AB27">
        <v>101454</v>
      </c>
      <c r="AC27">
        <v>446597</v>
      </c>
      <c r="AD27">
        <v>780671</v>
      </c>
      <c r="AE27">
        <v>398562</v>
      </c>
      <c r="AF27">
        <v>300038</v>
      </c>
      <c r="AG27">
        <v>202592</v>
      </c>
      <c r="AH27">
        <v>7582594</v>
      </c>
      <c r="AI27">
        <v>0</v>
      </c>
      <c r="AJ27">
        <v>0</v>
      </c>
      <c r="AK27">
        <v>0</v>
      </c>
      <c r="AL27">
        <v>1021536</v>
      </c>
      <c r="AM27">
        <v>1040309</v>
      </c>
      <c r="AN27">
        <v>564646</v>
      </c>
      <c r="AO27">
        <v>30373170</v>
      </c>
      <c r="AP27">
        <v>801301</v>
      </c>
      <c r="AQ27">
        <v>0</v>
      </c>
      <c r="AR27">
        <v>59600</v>
      </c>
      <c r="AS27">
        <v>20616970</v>
      </c>
      <c r="AT27">
        <v>666291</v>
      </c>
      <c r="AU27">
        <v>4983053</v>
      </c>
      <c r="AV27">
        <v>331635</v>
      </c>
      <c r="AW27">
        <v>791011</v>
      </c>
      <c r="AX27">
        <v>0</v>
      </c>
      <c r="AY27">
        <v>15682</v>
      </c>
      <c r="AZ27">
        <v>4546994</v>
      </c>
      <c r="BA27">
        <v>364121</v>
      </c>
      <c r="BB27">
        <v>631672</v>
      </c>
      <c r="BC27">
        <v>581292</v>
      </c>
      <c r="BD27">
        <v>5700289</v>
      </c>
      <c r="BE27">
        <v>489353</v>
      </c>
      <c r="BF27">
        <v>13222853</v>
      </c>
      <c r="BH27">
        <v>0</v>
      </c>
      <c r="BI27">
        <v>779841</v>
      </c>
      <c r="BJ27">
        <v>14138519</v>
      </c>
      <c r="BK27">
        <v>1142723</v>
      </c>
      <c r="BL27">
        <v>15823204</v>
      </c>
      <c r="BM27">
        <v>0</v>
      </c>
      <c r="BN27">
        <v>2627389</v>
      </c>
      <c r="BO27">
        <v>1404789</v>
      </c>
      <c r="BP27">
        <v>0</v>
      </c>
      <c r="BQ27">
        <v>0</v>
      </c>
      <c r="BS27">
        <v>1631155</v>
      </c>
      <c r="BT27">
        <v>426796</v>
      </c>
      <c r="BV27">
        <v>468761</v>
      </c>
    </row>
    <row r="28" spans="1:74" x14ac:dyDescent="0.3">
      <c r="A28" s="155">
        <v>45</v>
      </c>
      <c r="B28" t="s">
        <v>909</v>
      </c>
      <c r="D28">
        <v>888574</v>
      </c>
      <c r="E28">
        <v>27406534</v>
      </c>
      <c r="G28">
        <v>339721</v>
      </c>
      <c r="H28">
        <v>59682</v>
      </c>
      <c r="I28">
        <v>0</v>
      </c>
      <c r="J28">
        <v>0</v>
      </c>
      <c r="K28">
        <v>0</v>
      </c>
      <c r="L28">
        <v>357135</v>
      </c>
      <c r="M28">
        <v>2563632</v>
      </c>
      <c r="N28">
        <v>0</v>
      </c>
      <c r="O28">
        <v>19987</v>
      </c>
      <c r="Q28">
        <v>0</v>
      </c>
      <c r="R28">
        <v>0</v>
      </c>
      <c r="S28">
        <v>280777</v>
      </c>
      <c r="T28">
        <v>0</v>
      </c>
      <c r="U28">
        <v>291662</v>
      </c>
      <c r="V28">
        <v>75268</v>
      </c>
      <c r="X28">
        <v>231875</v>
      </c>
      <c r="Y28">
        <v>0</v>
      </c>
      <c r="Z28">
        <v>1717843</v>
      </c>
      <c r="AA28">
        <v>0</v>
      </c>
      <c r="AB28">
        <v>64340</v>
      </c>
      <c r="AC28">
        <v>77914</v>
      </c>
      <c r="AD28">
        <v>45648</v>
      </c>
      <c r="AE28">
        <v>215404</v>
      </c>
      <c r="AF28">
        <v>71501</v>
      </c>
      <c r="AG28">
        <v>102341</v>
      </c>
      <c r="AH28">
        <v>1109366</v>
      </c>
      <c r="AI28">
        <v>0</v>
      </c>
      <c r="AJ28">
        <v>0</v>
      </c>
      <c r="AK28">
        <v>0</v>
      </c>
      <c r="AL28">
        <v>100465</v>
      </c>
      <c r="AM28">
        <v>185843</v>
      </c>
      <c r="AN28">
        <v>83997</v>
      </c>
      <c r="AO28">
        <v>10749169</v>
      </c>
      <c r="AP28">
        <v>187732</v>
      </c>
      <c r="AQ28">
        <v>0</v>
      </c>
      <c r="AR28">
        <v>16130</v>
      </c>
      <c r="AS28">
        <v>5819028</v>
      </c>
      <c r="AT28">
        <v>67835</v>
      </c>
      <c r="AU28">
        <v>91929</v>
      </c>
      <c r="AV28">
        <v>128617</v>
      </c>
      <c r="AW28">
        <v>60749</v>
      </c>
      <c r="AX28">
        <v>0</v>
      </c>
      <c r="AY28">
        <v>0</v>
      </c>
      <c r="AZ28">
        <v>150631</v>
      </c>
      <c r="BA28">
        <v>38273</v>
      </c>
      <c r="BB28">
        <v>23658</v>
      </c>
      <c r="BC28">
        <v>6267</v>
      </c>
      <c r="BD28">
        <v>113861</v>
      </c>
      <c r="BE28">
        <v>193244</v>
      </c>
      <c r="BF28">
        <v>2785751</v>
      </c>
      <c r="BH28">
        <v>0</v>
      </c>
      <c r="BI28">
        <v>47711</v>
      </c>
      <c r="BJ28">
        <v>1718215</v>
      </c>
      <c r="BK28">
        <v>125765</v>
      </c>
      <c r="BL28">
        <v>568212</v>
      </c>
      <c r="BM28">
        <v>0</v>
      </c>
      <c r="BN28">
        <v>699804</v>
      </c>
      <c r="BO28">
        <v>305953</v>
      </c>
      <c r="BP28">
        <v>0</v>
      </c>
      <c r="BQ28">
        <v>0</v>
      </c>
      <c r="BS28">
        <v>613447</v>
      </c>
      <c r="BT28">
        <v>69252</v>
      </c>
      <c r="BV28">
        <v>655083</v>
      </c>
    </row>
    <row r="29" spans="1:74" x14ac:dyDescent="0.3">
      <c r="A29" s="155">
        <v>47</v>
      </c>
      <c r="B29" t="s">
        <v>910</v>
      </c>
      <c r="D29">
        <v>0</v>
      </c>
      <c r="E29">
        <v>0</v>
      </c>
      <c r="G29">
        <v>0</v>
      </c>
      <c r="H29">
        <v>0</v>
      </c>
      <c r="I29">
        <v>0</v>
      </c>
      <c r="J29">
        <v>0</v>
      </c>
      <c r="K29">
        <v>0</v>
      </c>
      <c r="L29">
        <v>1607004</v>
      </c>
      <c r="M29">
        <v>0</v>
      </c>
      <c r="N29">
        <v>0</v>
      </c>
      <c r="O29">
        <v>0</v>
      </c>
      <c r="Q29">
        <v>0</v>
      </c>
      <c r="R29">
        <v>0</v>
      </c>
      <c r="S29">
        <v>0</v>
      </c>
      <c r="T29">
        <v>0</v>
      </c>
      <c r="U29">
        <v>0</v>
      </c>
      <c r="V29">
        <v>0</v>
      </c>
      <c r="X29">
        <v>0</v>
      </c>
      <c r="Y29">
        <v>0</v>
      </c>
      <c r="Z29">
        <v>49928068</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2297009</v>
      </c>
      <c r="AW29">
        <v>0</v>
      </c>
      <c r="AX29">
        <v>0</v>
      </c>
      <c r="AY29">
        <v>0</v>
      </c>
      <c r="AZ29">
        <v>3673685</v>
      </c>
      <c r="BA29">
        <v>0</v>
      </c>
      <c r="BB29">
        <v>0</v>
      </c>
      <c r="BC29">
        <v>0</v>
      </c>
      <c r="BD29">
        <v>0</v>
      </c>
      <c r="BE29">
        <v>2544640</v>
      </c>
      <c r="BF29">
        <v>13720081</v>
      </c>
      <c r="BH29">
        <v>0</v>
      </c>
      <c r="BI29">
        <v>0</v>
      </c>
      <c r="BJ29">
        <v>13896679</v>
      </c>
      <c r="BK29">
        <v>0</v>
      </c>
      <c r="BL29">
        <v>0</v>
      </c>
      <c r="BM29">
        <v>0</v>
      </c>
      <c r="BN29">
        <v>8197190</v>
      </c>
      <c r="BO29">
        <v>0</v>
      </c>
      <c r="BP29">
        <v>0</v>
      </c>
      <c r="BQ29">
        <v>0</v>
      </c>
      <c r="BS29">
        <v>0</v>
      </c>
      <c r="BT29">
        <v>0</v>
      </c>
      <c r="BV29">
        <v>0</v>
      </c>
    </row>
    <row r="30" spans="1:74" x14ac:dyDescent="0.3">
      <c r="A30" s="155">
        <v>48</v>
      </c>
      <c r="B30" t="s">
        <v>115</v>
      </c>
      <c r="D30">
        <v>0</v>
      </c>
      <c r="E30">
        <v>0</v>
      </c>
      <c r="G30">
        <v>0</v>
      </c>
      <c r="H30">
        <v>0</v>
      </c>
      <c r="I30">
        <v>0</v>
      </c>
      <c r="J30">
        <v>0</v>
      </c>
      <c r="K30">
        <v>0</v>
      </c>
      <c r="L30">
        <v>389503</v>
      </c>
      <c r="M30">
        <v>0</v>
      </c>
      <c r="N30">
        <v>0</v>
      </c>
      <c r="O30">
        <v>0</v>
      </c>
      <c r="Q30">
        <v>0</v>
      </c>
      <c r="R30">
        <v>0</v>
      </c>
      <c r="S30">
        <v>0</v>
      </c>
      <c r="T30">
        <v>0</v>
      </c>
      <c r="U30">
        <v>0</v>
      </c>
      <c r="V30">
        <v>0</v>
      </c>
      <c r="X30">
        <v>0</v>
      </c>
      <c r="Y30">
        <v>0</v>
      </c>
      <c r="Z30">
        <v>7712329</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750232</v>
      </c>
      <c r="AW30">
        <v>0</v>
      </c>
      <c r="AX30">
        <v>0</v>
      </c>
      <c r="AY30">
        <v>0</v>
      </c>
      <c r="AZ30">
        <v>929323</v>
      </c>
      <c r="BA30">
        <v>0</v>
      </c>
      <c r="BB30">
        <v>0</v>
      </c>
      <c r="BC30">
        <v>0</v>
      </c>
      <c r="BD30">
        <v>0</v>
      </c>
      <c r="BE30">
        <v>113158</v>
      </c>
      <c r="BF30">
        <v>1862263</v>
      </c>
      <c r="BH30">
        <v>0</v>
      </c>
      <c r="BI30">
        <v>0</v>
      </c>
      <c r="BJ30">
        <v>2114853</v>
      </c>
      <c r="BK30">
        <v>0</v>
      </c>
      <c r="BL30">
        <v>0</v>
      </c>
      <c r="BM30">
        <v>0</v>
      </c>
      <c r="BN30">
        <v>1501046</v>
      </c>
      <c r="BO30">
        <v>0</v>
      </c>
      <c r="BP30">
        <v>0</v>
      </c>
      <c r="BQ30">
        <v>0</v>
      </c>
      <c r="BS30">
        <v>0</v>
      </c>
      <c r="BT30">
        <v>0</v>
      </c>
      <c r="BV30">
        <v>0</v>
      </c>
    </row>
    <row r="31" spans="1:74" x14ac:dyDescent="0.3">
      <c r="A31" s="155">
        <v>49</v>
      </c>
      <c r="B31" t="s">
        <v>219</v>
      </c>
      <c r="D31">
        <v>906010</v>
      </c>
      <c r="E31">
        <v>42581125</v>
      </c>
      <c r="G31">
        <v>439569</v>
      </c>
      <c r="H31">
        <v>196038</v>
      </c>
      <c r="I31">
        <v>0</v>
      </c>
      <c r="J31">
        <v>0</v>
      </c>
      <c r="K31">
        <v>0</v>
      </c>
      <c r="L31">
        <v>480777</v>
      </c>
      <c r="M31">
        <v>1948763</v>
      </c>
      <c r="N31">
        <v>0</v>
      </c>
      <c r="O31">
        <v>171251</v>
      </c>
      <c r="Q31">
        <v>0</v>
      </c>
      <c r="R31">
        <v>0</v>
      </c>
      <c r="S31">
        <v>210072</v>
      </c>
      <c r="T31">
        <v>0</v>
      </c>
      <c r="U31">
        <v>162439</v>
      </c>
      <c r="V31">
        <v>500441</v>
      </c>
      <c r="X31">
        <v>1139381</v>
      </c>
      <c r="Y31">
        <v>0</v>
      </c>
      <c r="Z31">
        <v>3497885</v>
      </c>
      <c r="AA31">
        <v>0</v>
      </c>
      <c r="AB31">
        <v>64471</v>
      </c>
      <c r="AC31">
        <v>106924</v>
      </c>
      <c r="AD31">
        <v>356382</v>
      </c>
      <c r="AE31">
        <v>179690</v>
      </c>
      <c r="AF31">
        <v>206990</v>
      </c>
      <c r="AG31">
        <v>140019</v>
      </c>
      <c r="AH31">
        <v>868029</v>
      </c>
      <c r="AI31">
        <v>0</v>
      </c>
      <c r="AJ31">
        <v>0</v>
      </c>
      <c r="AK31">
        <v>0</v>
      </c>
      <c r="AL31">
        <v>142005</v>
      </c>
      <c r="AM31">
        <v>342252</v>
      </c>
      <c r="AN31">
        <v>84769</v>
      </c>
      <c r="AO31">
        <v>5174376</v>
      </c>
      <c r="AP31">
        <v>136931</v>
      </c>
      <c r="AQ31">
        <v>0</v>
      </c>
      <c r="AR31">
        <v>25816</v>
      </c>
      <c r="AS31">
        <v>5942707</v>
      </c>
      <c r="AT31">
        <v>146537</v>
      </c>
      <c r="AU31">
        <v>172015</v>
      </c>
      <c r="AV31">
        <v>536129</v>
      </c>
      <c r="AW31">
        <v>106086</v>
      </c>
      <c r="AX31">
        <v>0</v>
      </c>
      <c r="AY31">
        <v>0</v>
      </c>
      <c r="AZ31">
        <v>661013</v>
      </c>
      <c r="BA31">
        <v>79026</v>
      </c>
      <c r="BB31">
        <v>111845</v>
      </c>
      <c r="BC31">
        <v>48004</v>
      </c>
      <c r="BD31">
        <v>511605</v>
      </c>
      <c r="BE31">
        <v>289882</v>
      </c>
      <c r="BF31">
        <v>2477548</v>
      </c>
      <c r="BH31">
        <v>0</v>
      </c>
      <c r="BI31">
        <v>51633</v>
      </c>
      <c r="BJ31">
        <v>627958</v>
      </c>
      <c r="BK31">
        <v>319202</v>
      </c>
      <c r="BL31">
        <v>1643597</v>
      </c>
      <c r="BM31">
        <v>0</v>
      </c>
      <c r="BN31">
        <v>543863</v>
      </c>
      <c r="BO31">
        <v>144432</v>
      </c>
      <c r="BP31">
        <v>0</v>
      </c>
      <c r="BQ31">
        <v>0</v>
      </c>
      <c r="BS31">
        <v>561022</v>
      </c>
      <c r="BT31">
        <v>109032</v>
      </c>
      <c r="BV31">
        <v>627280</v>
      </c>
    </row>
    <row r="32" spans="1:74" x14ac:dyDescent="0.3">
      <c r="A32" s="155">
        <v>50</v>
      </c>
      <c r="B32" t="s">
        <v>92</v>
      </c>
      <c r="D32">
        <v>-62805</v>
      </c>
      <c r="E32">
        <v>110649647</v>
      </c>
      <c r="G32">
        <v>414480</v>
      </c>
      <c r="H32">
        <v>-289221</v>
      </c>
      <c r="I32">
        <v>0</v>
      </c>
      <c r="J32">
        <v>0</v>
      </c>
      <c r="K32">
        <v>0</v>
      </c>
      <c r="L32">
        <v>2644096</v>
      </c>
      <c r="M32">
        <v>1561890</v>
      </c>
      <c r="N32">
        <v>0</v>
      </c>
      <c r="O32">
        <v>215517</v>
      </c>
      <c r="Q32">
        <v>0</v>
      </c>
      <c r="R32">
        <v>0</v>
      </c>
      <c r="S32">
        <v>86547</v>
      </c>
      <c r="T32">
        <v>0</v>
      </c>
      <c r="U32">
        <v>807810</v>
      </c>
      <c r="V32">
        <v>-323776</v>
      </c>
      <c r="X32">
        <v>97461</v>
      </c>
      <c r="Y32">
        <v>0</v>
      </c>
      <c r="Z32">
        <v>-1785123</v>
      </c>
      <c r="AA32">
        <v>0</v>
      </c>
      <c r="AB32">
        <v>-21008</v>
      </c>
      <c r="AC32">
        <v>674392</v>
      </c>
      <c r="AD32">
        <v>-108485</v>
      </c>
      <c r="AE32">
        <v>-15271</v>
      </c>
      <c r="AF32">
        <v>-158047</v>
      </c>
      <c r="AG32">
        <v>-112186</v>
      </c>
      <c r="AH32">
        <v>-1042189</v>
      </c>
      <c r="AI32">
        <v>0</v>
      </c>
      <c r="AJ32">
        <v>0</v>
      </c>
      <c r="AK32">
        <v>0</v>
      </c>
      <c r="AL32">
        <v>-30147</v>
      </c>
      <c r="AM32">
        <v>-231060</v>
      </c>
      <c r="AN32">
        <v>9</v>
      </c>
      <c r="AO32">
        <v>2813253</v>
      </c>
      <c r="AP32">
        <v>115918</v>
      </c>
      <c r="AQ32">
        <v>0</v>
      </c>
      <c r="AR32">
        <v>-19796</v>
      </c>
      <c r="AS32">
        <v>5580528</v>
      </c>
      <c r="AT32">
        <v>-16035</v>
      </c>
      <c r="AU32">
        <v>362824</v>
      </c>
      <c r="AV32">
        <v>-285761</v>
      </c>
      <c r="AW32">
        <v>1560018</v>
      </c>
      <c r="AX32">
        <v>0</v>
      </c>
      <c r="AY32">
        <v>2</v>
      </c>
      <c r="AZ32">
        <v>524269</v>
      </c>
      <c r="BA32">
        <v>104159</v>
      </c>
      <c r="BB32">
        <v>-59419</v>
      </c>
      <c r="BC32">
        <v>-3947</v>
      </c>
      <c r="BD32">
        <v>654489</v>
      </c>
      <c r="BE32">
        <v>-309065</v>
      </c>
      <c r="BF32">
        <v>2906107</v>
      </c>
      <c r="BH32">
        <v>0</v>
      </c>
      <c r="BI32">
        <v>-50262</v>
      </c>
      <c r="BJ32">
        <v>2492168</v>
      </c>
      <c r="BK32">
        <v>-10879</v>
      </c>
      <c r="BL32">
        <v>5375156</v>
      </c>
      <c r="BM32">
        <v>0</v>
      </c>
      <c r="BN32">
        <v>1406359</v>
      </c>
      <c r="BO32">
        <v>1442653</v>
      </c>
      <c r="BP32">
        <v>0</v>
      </c>
      <c r="BQ32">
        <v>0</v>
      </c>
      <c r="BS32">
        <v>-177434</v>
      </c>
      <c r="BT32">
        <v>-4154</v>
      </c>
      <c r="BV32">
        <v>-543804</v>
      </c>
    </row>
    <row r="33" spans="1:74" x14ac:dyDescent="0.3">
      <c r="A33" s="155">
        <v>51</v>
      </c>
      <c r="B33" t="s">
        <v>237</v>
      </c>
      <c r="D33">
        <v>1304050</v>
      </c>
      <c r="E33">
        <v>153586210</v>
      </c>
      <c r="G33">
        <v>1119167</v>
      </c>
      <c r="H33">
        <v>-215346</v>
      </c>
      <c r="I33">
        <v>0</v>
      </c>
      <c r="J33">
        <v>0</v>
      </c>
      <c r="K33">
        <v>0</v>
      </c>
      <c r="L33">
        <v>162974</v>
      </c>
      <c r="M33">
        <v>2455842</v>
      </c>
      <c r="N33">
        <v>0</v>
      </c>
      <c r="O33">
        <v>72676</v>
      </c>
      <c r="Q33">
        <v>0</v>
      </c>
      <c r="R33">
        <v>0</v>
      </c>
      <c r="S33">
        <v>356941</v>
      </c>
      <c r="T33">
        <v>0</v>
      </c>
      <c r="U33">
        <v>45300</v>
      </c>
      <c r="V33">
        <v>251003</v>
      </c>
      <c r="X33">
        <v>840907</v>
      </c>
      <c r="Y33">
        <v>0</v>
      </c>
      <c r="Z33">
        <v>2384858</v>
      </c>
      <c r="AA33">
        <v>0</v>
      </c>
      <c r="AB33">
        <v>36867</v>
      </c>
      <c r="AC33">
        <v>-145719</v>
      </c>
      <c r="AD33">
        <v>317374</v>
      </c>
      <c r="AE33">
        <v>132556</v>
      </c>
      <c r="AF33">
        <v>130536</v>
      </c>
      <c r="AG33">
        <v>-36069</v>
      </c>
      <c r="AH33">
        <v>618144</v>
      </c>
      <c r="AI33">
        <v>0</v>
      </c>
      <c r="AJ33">
        <v>0</v>
      </c>
      <c r="AK33">
        <v>0</v>
      </c>
      <c r="AL33">
        <v>182935</v>
      </c>
      <c r="AM33">
        <v>91852</v>
      </c>
      <c r="AN33">
        <v>103761</v>
      </c>
      <c r="AO33">
        <v>9329013</v>
      </c>
      <c r="AP33">
        <v>300922</v>
      </c>
      <c r="AQ33">
        <v>0</v>
      </c>
      <c r="AR33">
        <v>6020</v>
      </c>
      <c r="AS33">
        <v>5781058</v>
      </c>
      <c r="AT33">
        <v>79001</v>
      </c>
      <c r="AU33">
        <v>374613</v>
      </c>
      <c r="AV33">
        <v>300620</v>
      </c>
      <c r="AW33">
        <v>182077</v>
      </c>
      <c r="AX33">
        <v>0</v>
      </c>
      <c r="AY33">
        <v>0</v>
      </c>
      <c r="AZ33">
        <v>900221</v>
      </c>
      <c r="BA33">
        <v>17447</v>
      </c>
      <c r="BB33">
        <v>66757</v>
      </c>
      <c r="BC33">
        <v>43006</v>
      </c>
      <c r="BD33">
        <v>1277590</v>
      </c>
      <c r="BE33">
        <v>208862</v>
      </c>
      <c r="BF33">
        <v>4516025</v>
      </c>
      <c r="BH33">
        <v>0</v>
      </c>
      <c r="BI33">
        <v>7978</v>
      </c>
      <c r="BJ33">
        <v>3341586</v>
      </c>
      <c r="BK33">
        <v>119831</v>
      </c>
      <c r="BL33">
        <v>1929311</v>
      </c>
      <c r="BM33">
        <v>0</v>
      </c>
      <c r="BN33">
        <v>1025267</v>
      </c>
      <c r="BO33">
        <v>95631</v>
      </c>
      <c r="BP33">
        <v>0</v>
      </c>
      <c r="BQ33">
        <v>0</v>
      </c>
      <c r="BS33">
        <v>1653282</v>
      </c>
      <c r="BT33">
        <v>67569</v>
      </c>
      <c r="BV33">
        <v>148608</v>
      </c>
    </row>
    <row r="34" spans="1:74" x14ac:dyDescent="0.3">
      <c r="A34" s="155">
        <v>52</v>
      </c>
      <c r="B34" t="s">
        <v>230</v>
      </c>
      <c r="D34">
        <v>0</v>
      </c>
      <c r="E34">
        <v>0</v>
      </c>
      <c r="G34">
        <v>0</v>
      </c>
      <c r="H34">
        <v>0</v>
      </c>
      <c r="I34">
        <v>0</v>
      </c>
      <c r="J34">
        <v>0</v>
      </c>
      <c r="K34">
        <v>0</v>
      </c>
      <c r="L34">
        <v>101054</v>
      </c>
      <c r="M34">
        <v>0</v>
      </c>
      <c r="N34">
        <v>0</v>
      </c>
      <c r="O34">
        <v>0</v>
      </c>
      <c r="Q34">
        <v>0</v>
      </c>
      <c r="R34">
        <v>0</v>
      </c>
      <c r="S34">
        <v>0</v>
      </c>
      <c r="T34">
        <v>0</v>
      </c>
      <c r="U34">
        <v>0</v>
      </c>
      <c r="V34">
        <v>0</v>
      </c>
      <c r="X34">
        <v>0</v>
      </c>
      <c r="Y34">
        <v>0</v>
      </c>
      <c r="Z34">
        <v>1989965</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28469</v>
      </c>
      <c r="AW34">
        <v>0</v>
      </c>
      <c r="AX34">
        <v>0</v>
      </c>
      <c r="AY34">
        <v>0</v>
      </c>
      <c r="AZ34">
        <v>105232</v>
      </c>
      <c r="BA34">
        <v>0</v>
      </c>
      <c r="BB34">
        <v>0</v>
      </c>
      <c r="BC34">
        <v>0</v>
      </c>
      <c r="BD34">
        <v>0</v>
      </c>
      <c r="BE34">
        <v>120353</v>
      </c>
      <c r="BF34">
        <v>731792</v>
      </c>
      <c r="BH34">
        <v>0</v>
      </c>
      <c r="BI34">
        <v>0</v>
      </c>
      <c r="BJ34">
        <v>574732</v>
      </c>
      <c r="BK34">
        <v>0</v>
      </c>
      <c r="BL34">
        <v>0</v>
      </c>
      <c r="BM34">
        <v>0</v>
      </c>
      <c r="BN34">
        <v>350897</v>
      </c>
      <c r="BO34">
        <v>0</v>
      </c>
      <c r="BP34">
        <v>0</v>
      </c>
      <c r="BQ34">
        <v>0</v>
      </c>
      <c r="BS34">
        <v>0</v>
      </c>
      <c r="BT34">
        <v>0</v>
      </c>
      <c r="BV34">
        <v>0</v>
      </c>
    </row>
    <row r="35" spans="1:74" x14ac:dyDescent="0.3">
      <c r="A35" s="155">
        <v>53</v>
      </c>
      <c r="B35" t="s">
        <v>93</v>
      </c>
      <c r="D35">
        <v>0</v>
      </c>
      <c r="E35">
        <v>0</v>
      </c>
      <c r="G35">
        <v>0</v>
      </c>
      <c r="H35">
        <v>0</v>
      </c>
      <c r="I35">
        <v>0</v>
      </c>
      <c r="J35">
        <v>0</v>
      </c>
      <c r="K35">
        <v>0</v>
      </c>
      <c r="L35">
        <v>-155810</v>
      </c>
      <c r="M35">
        <v>0</v>
      </c>
      <c r="N35">
        <v>0</v>
      </c>
      <c r="O35">
        <v>0</v>
      </c>
      <c r="Q35">
        <v>0</v>
      </c>
      <c r="R35">
        <v>0</v>
      </c>
      <c r="S35">
        <v>0</v>
      </c>
      <c r="T35">
        <v>0</v>
      </c>
      <c r="U35">
        <v>0</v>
      </c>
      <c r="V35">
        <v>0</v>
      </c>
      <c r="X35">
        <v>0</v>
      </c>
      <c r="Y35">
        <v>0</v>
      </c>
      <c r="Z35">
        <v>4325456</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-3001</v>
      </c>
      <c r="AW35">
        <v>0</v>
      </c>
      <c r="AX35">
        <v>0</v>
      </c>
      <c r="AY35">
        <v>0</v>
      </c>
      <c r="AZ35">
        <v>760128</v>
      </c>
      <c r="BA35">
        <v>0</v>
      </c>
      <c r="BB35">
        <v>0</v>
      </c>
      <c r="BC35">
        <v>0</v>
      </c>
      <c r="BD35">
        <v>0</v>
      </c>
      <c r="BE35">
        <v>132965</v>
      </c>
      <c r="BF35">
        <v>6050284</v>
      </c>
      <c r="BH35">
        <v>0</v>
      </c>
      <c r="BI35">
        <v>0</v>
      </c>
      <c r="BJ35">
        <v>554368</v>
      </c>
      <c r="BK35">
        <v>0</v>
      </c>
      <c r="BL35">
        <v>0</v>
      </c>
      <c r="BM35">
        <v>0</v>
      </c>
      <c r="BN35">
        <v>1724961</v>
      </c>
      <c r="BO35">
        <v>0</v>
      </c>
      <c r="BP35">
        <v>0</v>
      </c>
      <c r="BQ35">
        <v>0</v>
      </c>
      <c r="BS35">
        <v>0</v>
      </c>
      <c r="BT35">
        <v>0</v>
      </c>
      <c r="BV35">
        <v>0</v>
      </c>
    </row>
    <row r="36" spans="1:74" x14ac:dyDescent="0.3">
      <c r="A36" s="155">
        <v>55</v>
      </c>
      <c r="B36" t="s">
        <v>240</v>
      </c>
      <c r="D36">
        <v>0</v>
      </c>
      <c r="E36">
        <v>0</v>
      </c>
      <c r="G36">
        <v>0</v>
      </c>
      <c r="H36">
        <v>0</v>
      </c>
      <c r="I36">
        <v>0</v>
      </c>
      <c r="J36">
        <v>0</v>
      </c>
      <c r="K36">
        <v>0</v>
      </c>
      <c r="L36">
        <v>274310</v>
      </c>
      <c r="M36">
        <v>0</v>
      </c>
      <c r="N36">
        <v>0</v>
      </c>
      <c r="O36">
        <v>0</v>
      </c>
      <c r="Q36">
        <v>0</v>
      </c>
      <c r="R36">
        <v>0</v>
      </c>
      <c r="S36">
        <v>0</v>
      </c>
      <c r="T36">
        <v>0</v>
      </c>
      <c r="U36">
        <v>0</v>
      </c>
      <c r="V36">
        <v>0</v>
      </c>
      <c r="X36">
        <v>0</v>
      </c>
      <c r="Y36">
        <v>0</v>
      </c>
      <c r="Z36">
        <v>9830328</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542871</v>
      </c>
      <c r="AW36">
        <v>0</v>
      </c>
      <c r="AX36">
        <v>0</v>
      </c>
      <c r="AY36">
        <v>0</v>
      </c>
      <c r="AZ36">
        <v>1063261</v>
      </c>
      <c r="BA36">
        <v>0</v>
      </c>
      <c r="BB36">
        <v>0</v>
      </c>
      <c r="BC36">
        <v>0</v>
      </c>
      <c r="BD36">
        <v>0</v>
      </c>
      <c r="BE36">
        <v>922756</v>
      </c>
      <c r="BF36">
        <v>8639393</v>
      </c>
      <c r="BH36">
        <v>0</v>
      </c>
      <c r="BI36">
        <v>0</v>
      </c>
      <c r="BJ36">
        <v>1780002</v>
      </c>
      <c r="BK36">
        <v>0</v>
      </c>
      <c r="BL36">
        <v>0</v>
      </c>
      <c r="BM36">
        <v>0</v>
      </c>
      <c r="BN36">
        <v>-148086</v>
      </c>
      <c r="BO36">
        <v>0</v>
      </c>
      <c r="BP36">
        <v>0</v>
      </c>
      <c r="BQ36">
        <v>0</v>
      </c>
      <c r="BS36">
        <v>0</v>
      </c>
      <c r="BT36">
        <v>0</v>
      </c>
      <c r="BV36">
        <v>0</v>
      </c>
    </row>
    <row r="37" spans="1:74" x14ac:dyDescent="0.3">
      <c r="A37" s="155">
        <v>61</v>
      </c>
      <c r="B37" t="s">
        <v>254</v>
      </c>
      <c r="D37">
        <v>97.56</v>
      </c>
      <c r="E37">
        <v>99.74</v>
      </c>
      <c r="G37">
        <v>99.34</v>
      </c>
      <c r="H37">
        <v>97.26</v>
      </c>
      <c r="I37">
        <v>97.96</v>
      </c>
      <c r="J37">
        <v>96.81</v>
      </c>
      <c r="K37">
        <v>0</v>
      </c>
      <c r="L37">
        <v>94.78</v>
      </c>
      <c r="M37">
        <v>98.83</v>
      </c>
      <c r="N37">
        <v>93.13</v>
      </c>
      <c r="O37">
        <v>95.35</v>
      </c>
      <c r="Q37">
        <v>98.3</v>
      </c>
      <c r="R37">
        <v>99.52</v>
      </c>
      <c r="S37">
        <v>99.71</v>
      </c>
      <c r="T37">
        <v>99.05</v>
      </c>
      <c r="U37">
        <v>99.65</v>
      </c>
      <c r="V37">
        <v>97.65</v>
      </c>
      <c r="X37">
        <v>99.36</v>
      </c>
      <c r="Y37">
        <v>98.53</v>
      </c>
      <c r="Z37">
        <v>96.1</v>
      </c>
      <c r="AA37">
        <v>99.74</v>
      </c>
      <c r="AB37">
        <v>91.99</v>
      </c>
      <c r="AC37">
        <v>84.61</v>
      </c>
      <c r="AD37">
        <v>97.13</v>
      </c>
      <c r="AE37">
        <v>95.57</v>
      </c>
      <c r="AF37">
        <v>99.77</v>
      </c>
      <c r="AG37">
        <v>94.84</v>
      </c>
      <c r="AH37">
        <v>99.03</v>
      </c>
      <c r="AI37">
        <v>96.34</v>
      </c>
      <c r="AJ37">
        <v>99.58</v>
      </c>
      <c r="AK37">
        <v>98.72</v>
      </c>
      <c r="AL37">
        <v>98.36</v>
      </c>
      <c r="AM37">
        <v>98.75</v>
      </c>
      <c r="AN37">
        <v>99.56</v>
      </c>
      <c r="AO37">
        <v>98.09</v>
      </c>
      <c r="AP37">
        <v>99.33</v>
      </c>
      <c r="AQ37">
        <v>96.9</v>
      </c>
      <c r="AR37">
        <v>96.7</v>
      </c>
      <c r="AS37">
        <v>98.98</v>
      </c>
      <c r="AT37">
        <v>98.37</v>
      </c>
      <c r="AU37">
        <v>97.26</v>
      </c>
      <c r="AV37">
        <v>96.18</v>
      </c>
      <c r="AW37">
        <v>89.92</v>
      </c>
      <c r="AX37">
        <v>99.6</v>
      </c>
      <c r="AY37">
        <v>97</v>
      </c>
      <c r="AZ37">
        <v>99.75</v>
      </c>
      <c r="BA37">
        <v>99.8</v>
      </c>
      <c r="BB37">
        <v>94.42</v>
      </c>
      <c r="BC37">
        <v>99.29</v>
      </c>
      <c r="BD37">
        <v>98.47</v>
      </c>
      <c r="BE37">
        <v>96.83</v>
      </c>
      <c r="BF37">
        <v>98.48</v>
      </c>
      <c r="BH37">
        <v>97.96</v>
      </c>
      <c r="BI37">
        <v>99.5</v>
      </c>
      <c r="BJ37">
        <v>99.77</v>
      </c>
      <c r="BK37">
        <v>97.01</v>
      </c>
      <c r="BL37">
        <v>99.75</v>
      </c>
      <c r="BM37">
        <v>99.82</v>
      </c>
      <c r="BN37">
        <v>99.07</v>
      </c>
      <c r="BO37">
        <v>98.65</v>
      </c>
      <c r="BP37">
        <v>86.16</v>
      </c>
      <c r="BQ37">
        <v>98.15</v>
      </c>
      <c r="BS37">
        <v>96.54</v>
      </c>
      <c r="BT37">
        <v>99.07</v>
      </c>
      <c r="BV37">
        <v>98.03</v>
      </c>
    </row>
    <row r="38" spans="1:74" x14ac:dyDescent="0.3">
      <c r="A38" s="155">
        <v>80</v>
      </c>
      <c r="B38" t="s">
        <v>209</v>
      </c>
      <c r="D38">
        <v>5549316</v>
      </c>
      <c r="E38">
        <v>473297594</v>
      </c>
      <c r="G38">
        <v>3017216</v>
      </c>
      <c r="H38">
        <v>659427</v>
      </c>
      <c r="I38">
        <v>0</v>
      </c>
      <c r="J38">
        <v>0</v>
      </c>
      <c r="K38">
        <v>0</v>
      </c>
      <c r="L38">
        <v>350999</v>
      </c>
      <c r="M38">
        <v>8182045</v>
      </c>
      <c r="N38">
        <v>0</v>
      </c>
      <c r="O38">
        <v>448041</v>
      </c>
      <c r="Q38">
        <v>0</v>
      </c>
      <c r="R38">
        <v>0</v>
      </c>
      <c r="S38">
        <v>2170014</v>
      </c>
      <c r="T38">
        <v>0</v>
      </c>
      <c r="U38">
        <v>537566</v>
      </c>
      <c r="V38">
        <v>401391</v>
      </c>
      <c r="X38">
        <v>3148148</v>
      </c>
      <c r="Y38">
        <v>0</v>
      </c>
      <c r="Z38">
        <v>16520936</v>
      </c>
      <c r="AA38">
        <v>0</v>
      </c>
      <c r="AB38">
        <v>38884</v>
      </c>
      <c r="AC38">
        <v>78949</v>
      </c>
      <c r="AD38">
        <v>883200</v>
      </c>
      <c r="AE38">
        <v>315454</v>
      </c>
      <c r="AF38">
        <v>237459</v>
      </c>
      <c r="AG38">
        <v>85837</v>
      </c>
      <c r="AH38">
        <v>1806998</v>
      </c>
      <c r="AI38">
        <v>0</v>
      </c>
      <c r="AJ38">
        <v>0</v>
      </c>
      <c r="AK38">
        <v>0</v>
      </c>
      <c r="AL38">
        <v>940271</v>
      </c>
      <c r="AM38">
        <v>837714</v>
      </c>
      <c r="AN38">
        <v>511556</v>
      </c>
      <c r="AO38">
        <v>31328537</v>
      </c>
      <c r="AP38">
        <v>670063</v>
      </c>
      <c r="AQ38">
        <v>0</v>
      </c>
      <c r="AR38">
        <v>57378</v>
      </c>
      <c r="AS38">
        <v>15721304</v>
      </c>
      <c r="AT38">
        <v>648759</v>
      </c>
      <c r="AU38">
        <v>4722320</v>
      </c>
      <c r="AV38">
        <v>88321</v>
      </c>
      <c r="AW38">
        <v>633305</v>
      </c>
      <c r="AX38">
        <v>0</v>
      </c>
      <c r="AY38">
        <v>15682</v>
      </c>
      <c r="AZ38">
        <v>3869970</v>
      </c>
      <c r="BA38">
        <v>334497</v>
      </c>
      <c r="BB38">
        <v>549898</v>
      </c>
      <c r="BC38">
        <v>560956</v>
      </c>
      <c r="BD38">
        <v>4810265</v>
      </c>
      <c r="BE38">
        <v>222389</v>
      </c>
      <c r="BF38">
        <v>10777285</v>
      </c>
      <c r="BH38">
        <v>0</v>
      </c>
      <c r="BI38">
        <v>775930</v>
      </c>
      <c r="BJ38">
        <v>12906059</v>
      </c>
      <c r="BK38">
        <v>670297</v>
      </c>
      <c r="BL38">
        <v>14148154</v>
      </c>
      <c r="BM38">
        <v>0</v>
      </c>
      <c r="BN38">
        <v>2010167</v>
      </c>
      <c r="BO38">
        <v>1232423</v>
      </c>
      <c r="BP38">
        <v>0</v>
      </c>
      <c r="BQ38">
        <v>0</v>
      </c>
      <c r="BS38">
        <v>1544786</v>
      </c>
      <c r="BT38">
        <v>328970</v>
      </c>
      <c r="BV38">
        <v>95541</v>
      </c>
    </row>
    <row r="39" spans="1:74" x14ac:dyDescent="0.3">
      <c r="A39" s="155">
        <v>81</v>
      </c>
      <c r="B39" t="s">
        <v>210</v>
      </c>
      <c r="D39">
        <v>377253</v>
      </c>
      <c r="E39">
        <v>27786951</v>
      </c>
      <c r="G39">
        <v>608979</v>
      </c>
      <c r="H39">
        <v>346118</v>
      </c>
      <c r="I39">
        <v>0</v>
      </c>
      <c r="J39">
        <v>0</v>
      </c>
      <c r="K39">
        <v>0</v>
      </c>
      <c r="L39">
        <v>184980</v>
      </c>
      <c r="M39">
        <v>2752352</v>
      </c>
      <c r="N39">
        <v>0</v>
      </c>
      <c r="O39">
        <v>33452</v>
      </c>
      <c r="Q39">
        <v>0</v>
      </c>
      <c r="R39">
        <v>0</v>
      </c>
      <c r="S39">
        <v>204602</v>
      </c>
      <c r="T39">
        <v>0</v>
      </c>
      <c r="U39">
        <v>73873</v>
      </c>
      <c r="V39">
        <v>107138</v>
      </c>
      <c r="X39">
        <v>651313</v>
      </c>
      <c r="Y39">
        <v>0</v>
      </c>
      <c r="Z39">
        <v>2650699</v>
      </c>
      <c r="AA39">
        <v>0</v>
      </c>
      <c r="AB39">
        <v>62570</v>
      </c>
      <c r="AC39">
        <v>72137</v>
      </c>
      <c r="AD39">
        <v>71745</v>
      </c>
      <c r="AE39">
        <v>74423</v>
      </c>
      <c r="AF39">
        <v>62579</v>
      </c>
      <c r="AG39">
        <v>84091</v>
      </c>
      <c r="AH39">
        <v>1029483</v>
      </c>
      <c r="AI39">
        <v>0</v>
      </c>
      <c r="AJ39">
        <v>0</v>
      </c>
      <c r="AK39">
        <v>0</v>
      </c>
      <c r="AL39">
        <v>81265</v>
      </c>
      <c r="AM39">
        <v>202595</v>
      </c>
      <c r="AN39">
        <v>36117</v>
      </c>
      <c r="AO39">
        <v>4012934</v>
      </c>
      <c r="AP39">
        <v>117884</v>
      </c>
      <c r="AQ39">
        <v>0</v>
      </c>
      <c r="AR39">
        <v>2222</v>
      </c>
      <c r="AS39">
        <v>3310426</v>
      </c>
      <c r="AT39">
        <v>17532</v>
      </c>
      <c r="AU39">
        <v>123768</v>
      </c>
      <c r="AV39">
        <v>20671</v>
      </c>
      <c r="AW39">
        <v>121699</v>
      </c>
      <c r="AX39">
        <v>0</v>
      </c>
      <c r="AY39">
        <v>0</v>
      </c>
      <c r="AZ39">
        <v>586177</v>
      </c>
      <c r="BA39">
        <v>29624</v>
      </c>
      <c r="BB39">
        <v>81774</v>
      </c>
      <c r="BC39">
        <v>14811</v>
      </c>
      <c r="BD39">
        <v>606391</v>
      </c>
      <c r="BE39">
        <v>236251</v>
      </c>
      <c r="BF39">
        <v>1792224</v>
      </c>
      <c r="BH39">
        <v>0</v>
      </c>
      <c r="BI39">
        <v>3911</v>
      </c>
      <c r="BJ39">
        <v>960438</v>
      </c>
      <c r="BK39">
        <v>275380</v>
      </c>
      <c r="BL39">
        <v>1562332</v>
      </c>
      <c r="BM39">
        <v>0</v>
      </c>
      <c r="BN39">
        <v>525779</v>
      </c>
      <c r="BO39">
        <v>124107</v>
      </c>
      <c r="BP39">
        <v>0</v>
      </c>
      <c r="BQ39">
        <v>0</v>
      </c>
      <c r="BS39">
        <v>84447</v>
      </c>
      <c r="BT39">
        <v>48103</v>
      </c>
      <c r="BV39">
        <v>373220</v>
      </c>
    </row>
    <row r="40" spans="1:74" x14ac:dyDescent="0.3">
      <c r="A40" s="155">
        <v>82</v>
      </c>
      <c r="B40" t="s">
        <v>309</v>
      </c>
      <c r="D40">
        <v>1453655</v>
      </c>
      <c r="E40">
        <v>775706898</v>
      </c>
      <c r="G40">
        <v>1894106</v>
      </c>
      <c r="H40">
        <v>0</v>
      </c>
      <c r="I40">
        <v>0</v>
      </c>
      <c r="J40">
        <v>0</v>
      </c>
      <c r="K40">
        <v>0</v>
      </c>
      <c r="L40">
        <v>93470</v>
      </c>
      <c r="M40">
        <v>19147015</v>
      </c>
      <c r="N40">
        <v>0</v>
      </c>
      <c r="O40">
        <v>160554</v>
      </c>
      <c r="Q40">
        <v>0</v>
      </c>
      <c r="R40">
        <v>0</v>
      </c>
      <c r="S40">
        <v>1481870</v>
      </c>
      <c r="T40">
        <v>0</v>
      </c>
      <c r="U40">
        <v>2445380</v>
      </c>
      <c r="V40">
        <v>2601726</v>
      </c>
      <c r="X40">
        <v>0</v>
      </c>
      <c r="Y40">
        <v>0</v>
      </c>
      <c r="Z40">
        <v>7354382</v>
      </c>
      <c r="AA40">
        <v>0</v>
      </c>
      <c r="AB40">
        <v>345857</v>
      </c>
      <c r="AC40">
        <v>881476</v>
      </c>
      <c r="AD40">
        <v>140198</v>
      </c>
      <c r="AE40">
        <v>376340</v>
      </c>
      <c r="AF40">
        <v>150000</v>
      </c>
      <c r="AG40">
        <v>626700</v>
      </c>
      <c r="AH40">
        <v>26778430</v>
      </c>
      <c r="AI40">
        <v>0</v>
      </c>
      <c r="AJ40">
        <v>0</v>
      </c>
      <c r="AK40">
        <v>0</v>
      </c>
      <c r="AL40">
        <v>1454680</v>
      </c>
      <c r="AM40">
        <v>1796368</v>
      </c>
      <c r="AN40">
        <v>0</v>
      </c>
      <c r="AO40">
        <v>50318443</v>
      </c>
      <c r="AP40">
        <v>2201847</v>
      </c>
      <c r="AQ40">
        <v>0</v>
      </c>
      <c r="AR40">
        <v>0</v>
      </c>
      <c r="AS40">
        <v>56919800</v>
      </c>
      <c r="AT40">
        <v>1132395</v>
      </c>
      <c r="AU40">
        <v>376106</v>
      </c>
      <c r="AV40">
        <v>226000</v>
      </c>
      <c r="AW40">
        <v>0</v>
      </c>
      <c r="AX40">
        <v>0</v>
      </c>
      <c r="AY40">
        <v>0</v>
      </c>
      <c r="AZ40">
        <v>2506359</v>
      </c>
      <c r="BA40">
        <v>95583</v>
      </c>
      <c r="BB40">
        <v>0</v>
      </c>
      <c r="BC40">
        <v>0</v>
      </c>
      <c r="BD40">
        <v>481908</v>
      </c>
      <c r="BE40">
        <v>2666822</v>
      </c>
      <c r="BF40">
        <v>63207680</v>
      </c>
      <c r="BH40">
        <v>0</v>
      </c>
      <c r="BI40">
        <v>0</v>
      </c>
      <c r="BJ40">
        <v>1578910</v>
      </c>
      <c r="BK40">
        <v>873528</v>
      </c>
      <c r="BL40">
        <v>343994</v>
      </c>
      <c r="BM40">
        <v>0</v>
      </c>
      <c r="BN40">
        <v>692589</v>
      </c>
      <c r="BO40">
        <v>3405136</v>
      </c>
      <c r="BP40">
        <v>0</v>
      </c>
      <c r="BQ40">
        <v>0</v>
      </c>
      <c r="BS40">
        <v>7595224</v>
      </c>
      <c r="BT40">
        <v>730688</v>
      </c>
      <c r="BV40">
        <v>738028</v>
      </c>
    </row>
    <row r="41" spans="1:74" x14ac:dyDescent="0.3">
      <c r="A41" s="155">
        <v>83</v>
      </c>
      <c r="B41" t="s">
        <v>94</v>
      </c>
      <c r="D41">
        <v>14496829</v>
      </c>
      <c r="E41">
        <v>1393831056</v>
      </c>
      <c r="G41">
        <v>7439537</v>
      </c>
      <c r="H41">
        <v>5592384</v>
      </c>
      <c r="I41">
        <v>0</v>
      </c>
      <c r="J41">
        <v>0</v>
      </c>
      <c r="K41">
        <v>0</v>
      </c>
      <c r="L41">
        <v>11422018</v>
      </c>
      <c r="M41">
        <v>44760639</v>
      </c>
      <c r="N41">
        <v>133712</v>
      </c>
      <c r="O41">
        <v>5312404</v>
      </c>
      <c r="Q41">
        <v>0</v>
      </c>
      <c r="R41">
        <v>0</v>
      </c>
      <c r="S41">
        <v>2287283</v>
      </c>
      <c r="T41">
        <v>0</v>
      </c>
      <c r="U41">
        <v>6310724</v>
      </c>
      <c r="V41">
        <v>12554426</v>
      </c>
      <c r="X41">
        <v>15955928</v>
      </c>
      <c r="Y41">
        <v>0</v>
      </c>
      <c r="Z41">
        <v>89433756</v>
      </c>
      <c r="AA41">
        <v>0</v>
      </c>
      <c r="AB41">
        <v>1310502</v>
      </c>
      <c r="AC41">
        <v>5358765</v>
      </c>
      <c r="AD41">
        <v>8087101</v>
      </c>
      <c r="AE41">
        <v>2572862</v>
      </c>
      <c r="AF41">
        <v>4722262</v>
      </c>
      <c r="AG41">
        <v>3049892</v>
      </c>
      <c r="AH41">
        <v>19533613</v>
      </c>
      <c r="AI41">
        <v>0</v>
      </c>
      <c r="AJ41">
        <v>0</v>
      </c>
      <c r="AK41">
        <v>0</v>
      </c>
      <c r="AL41">
        <v>2772348</v>
      </c>
      <c r="AM41">
        <v>7636125</v>
      </c>
      <c r="AN41">
        <v>1603792</v>
      </c>
      <c r="AO41">
        <v>124735352</v>
      </c>
      <c r="AP41">
        <v>3295687</v>
      </c>
      <c r="AQ41">
        <v>0</v>
      </c>
      <c r="AR41">
        <v>1091114</v>
      </c>
      <c r="AS41">
        <v>125955063</v>
      </c>
      <c r="AT41">
        <v>4878684</v>
      </c>
      <c r="AU41">
        <v>10045459</v>
      </c>
      <c r="AV41">
        <v>6735050</v>
      </c>
      <c r="AW41">
        <v>7030330</v>
      </c>
      <c r="AX41">
        <v>0</v>
      </c>
      <c r="AY41">
        <v>15682</v>
      </c>
      <c r="AZ41">
        <v>9799222</v>
      </c>
      <c r="BA41">
        <v>2399711</v>
      </c>
      <c r="BB41">
        <v>3143478</v>
      </c>
      <c r="BC41">
        <v>1270103</v>
      </c>
      <c r="BD41">
        <v>16175014</v>
      </c>
      <c r="BE41">
        <v>6748961</v>
      </c>
      <c r="BF41">
        <v>75887643</v>
      </c>
      <c r="BH41">
        <v>0</v>
      </c>
      <c r="BI41">
        <v>2294857</v>
      </c>
      <c r="BJ41">
        <v>23584921</v>
      </c>
      <c r="BK41">
        <v>6000967</v>
      </c>
      <c r="BL41">
        <v>57456351</v>
      </c>
      <c r="BM41">
        <v>0</v>
      </c>
      <c r="BN41">
        <v>18576324</v>
      </c>
      <c r="BO41">
        <v>7051082</v>
      </c>
      <c r="BP41">
        <v>0</v>
      </c>
      <c r="BQ41">
        <v>0</v>
      </c>
      <c r="BS41">
        <v>8343937</v>
      </c>
      <c r="BT41">
        <v>3050209</v>
      </c>
      <c r="BV41">
        <v>14027874</v>
      </c>
    </row>
    <row r="42" spans="1:74" x14ac:dyDescent="0.3">
      <c r="A42" s="155">
        <v>84</v>
      </c>
      <c r="B42" t="s">
        <v>218</v>
      </c>
      <c r="D42">
        <v>2507869</v>
      </c>
      <c r="E42">
        <v>270969138</v>
      </c>
      <c r="G42">
        <v>2697325</v>
      </c>
      <c r="H42">
        <v>1412899</v>
      </c>
      <c r="I42">
        <v>0</v>
      </c>
      <c r="J42">
        <v>0</v>
      </c>
      <c r="K42">
        <v>0</v>
      </c>
      <c r="L42">
        <v>1320383</v>
      </c>
      <c r="M42">
        <v>9191119</v>
      </c>
      <c r="N42">
        <v>0</v>
      </c>
      <c r="O42">
        <v>312008</v>
      </c>
      <c r="Q42">
        <v>0</v>
      </c>
      <c r="R42">
        <v>0</v>
      </c>
      <c r="S42">
        <v>1127670</v>
      </c>
      <c r="T42">
        <v>0</v>
      </c>
      <c r="U42">
        <v>812277</v>
      </c>
      <c r="V42">
        <v>1130277</v>
      </c>
      <c r="X42">
        <v>6792904</v>
      </c>
      <c r="Y42">
        <v>0</v>
      </c>
      <c r="Z42">
        <v>26291943</v>
      </c>
      <c r="AA42">
        <v>0</v>
      </c>
      <c r="AB42">
        <v>161785</v>
      </c>
      <c r="AC42">
        <v>179179</v>
      </c>
      <c r="AD42">
        <v>916558</v>
      </c>
      <c r="AE42">
        <v>617545</v>
      </c>
      <c r="AF42">
        <v>494464</v>
      </c>
      <c r="AG42">
        <v>415046</v>
      </c>
      <c r="AH42">
        <v>5466158</v>
      </c>
      <c r="AI42">
        <v>0</v>
      </c>
      <c r="AJ42">
        <v>0</v>
      </c>
      <c r="AK42">
        <v>0</v>
      </c>
      <c r="AL42">
        <v>722079</v>
      </c>
      <c r="AM42">
        <v>924089</v>
      </c>
      <c r="AN42">
        <v>404055</v>
      </c>
      <c r="AO42">
        <v>27549033</v>
      </c>
      <c r="AP42">
        <v>979400</v>
      </c>
      <c r="AQ42">
        <v>0</v>
      </c>
      <c r="AR42">
        <v>45752</v>
      </c>
      <c r="AS42">
        <v>22091537</v>
      </c>
      <c r="AT42">
        <v>282938</v>
      </c>
      <c r="AU42">
        <v>1146225</v>
      </c>
      <c r="AV42">
        <v>1336488</v>
      </c>
      <c r="AW42">
        <v>541989</v>
      </c>
      <c r="AX42">
        <v>0</v>
      </c>
      <c r="AY42">
        <v>0</v>
      </c>
      <c r="AZ42">
        <v>4907775</v>
      </c>
      <c r="BA42">
        <v>288348</v>
      </c>
      <c r="BB42">
        <v>445270</v>
      </c>
      <c r="BC42">
        <v>99518</v>
      </c>
      <c r="BD42">
        <v>4116976</v>
      </c>
      <c r="BE42">
        <v>1545337</v>
      </c>
      <c r="BF42">
        <v>11589493</v>
      </c>
      <c r="BH42">
        <v>0</v>
      </c>
      <c r="BI42">
        <v>136368</v>
      </c>
      <c r="BJ42">
        <v>9144038</v>
      </c>
      <c r="BK42">
        <v>1123211</v>
      </c>
      <c r="BL42">
        <v>9174008</v>
      </c>
      <c r="BM42">
        <v>0</v>
      </c>
      <c r="BN42">
        <v>4931434</v>
      </c>
      <c r="BO42">
        <v>1307358</v>
      </c>
      <c r="BP42">
        <v>0</v>
      </c>
      <c r="BQ42">
        <v>0</v>
      </c>
      <c r="BS42">
        <v>1408215</v>
      </c>
      <c r="BT42">
        <v>522702</v>
      </c>
      <c r="BV42">
        <v>2276190</v>
      </c>
    </row>
    <row r="43" spans="1:74" x14ac:dyDescent="0.3">
      <c r="A43" s="155">
        <v>85</v>
      </c>
      <c r="B43" t="s">
        <v>220</v>
      </c>
      <c r="D43">
        <v>2548934</v>
      </c>
      <c r="E43">
        <v>158760089</v>
      </c>
      <c r="G43">
        <v>2203865</v>
      </c>
      <c r="H43">
        <v>1719244</v>
      </c>
      <c r="I43">
        <v>0</v>
      </c>
      <c r="J43">
        <v>0</v>
      </c>
      <c r="K43">
        <v>0</v>
      </c>
      <c r="L43">
        <v>1740239</v>
      </c>
      <c r="M43">
        <v>8299980</v>
      </c>
      <c r="N43">
        <v>0</v>
      </c>
      <c r="O43">
        <v>397688</v>
      </c>
      <c r="Q43">
        <v>0</v>
      </c>
      <c r="R43">
        <v>0</v>
      </c>
      <c r="S43">
        <v>1004138</v>
      </c>
      <c r="T43">
        <v>0</v>
      </c>
      <c r="U43">
        <v>941464</v>
      </c>
      <c r="V43">
        <v>1389293</v>
      </c>
      <c r="X43">
        <v>6913065</v>
      </c>
      <c r="Y43">
        <v>0</v>
      </c>
      <c r="Z43">
        <v>27699665</v>
      </c>
      <c r="AA43">
        <v>0</v>
      </c>
      <c r="AB43">
        <v>189223</v>
      </c>
      <c r="AC43">
        <v>264934</v>
      </c>
      <c r="AD43">
        <v>1037016</v>
      </c>
      <c r="AE43">
        <v>686296</v>
      </c>
      <c r="AF43">
        <v>652511</v>
      </c>
      <c r="AG43">
        <v>598751</v>
      </c>
      <c r="AH43">
        <v>6192078</v>
      </c>
      <c r="AI43">
        <v>0</v>
      </c>
      <c r="AJ43">
        <v>0</v>
      </c>
      <c r="AK43">
        <v>0</v>
      </c>
      <c r="AL43">
        <v>688985</v>
      </c>
      <c r="AM43">
        <v>1157876</v>
      </c>
      <c r="AN43">
        <v>448950</v>
      </c>
      <c r="AO43">
        <v>23338900</v>
      </c>
      <c r="AP43">
        <v>788966</v>
      </c>
      <c r="AQ43">
        <v>0</v>
      </c>
      <c r="AR43">
        <v>66023</v>
      </c>
      <c r="AS43">
        <v>23720926</v>
      </c>
      <c r="AT43">
        <v>367793</v>
      </c>
      <c r="AU43">
        <v>836536</v>
      </c>
      <c r="AV43">
        <v>1701467</v>
      </c>
      <c r="AW43">
        <v>507824</v>
      </c>
      <c r="AX43">
        <v>0</v>
      </c>
      <c r="AY43">
        <v>0</v>
      </c>
      <c r="AZ43">
        <v>4938698</v>
      </c>
      <c r="BA43">
        <v>194375</v>
      </c>
      <c r="BB43">
        <v>505121</v>
      </c>
      <c r="BC43">
        <v>104114</v>
      </c>
      <c r="BD43">
        <v>3030699</v>
      </c>
      <c r="BE43">
        <v>1981685</v>
      </c>
      <c r="BF43">
        <v>8791163</v>
      </c>
      <c r="BH43">
        <v>0</v>
      </c>
      <c r="BI43">
        <v>187160</v>
      </c>
      <c r="BJ43">
        <v>7464013</v>
      </c>
      <c r="BK43">
        <v>1234013</v>
      </c>
      <c r="BL43">
        <v>8639913</v>
      </c>
      <c r="BM43">
        <v>0</v>
      </c>
      <c r="BN43">
        <v>4347587</v>
      </c>
      <c r="BO43">
        <v>1439231</v>
      </c>
      <c r="BP43">
        <v>0</v>
      </c>
      <c r="BQ43">
        <v>0</v>
      </c>
      <c r="BS43">
        <v>1649602</v>
      </c>
      <c r="BT43">
        <v>571475</v>
      </c>
      <c r="BV43">
        <v>2806703</v>
      </c>
    </row>
    <row r="44" spans="1:74" x14ac:dyDescent="0.3">
      <c r="A44" s="155">
        <v>88</v>
      </c>
      <c r="B44" t="s">
        <v>217</v>
      </c>
      <c r="D44">
        <v>2463000</v>
      </c>
      <c r="E44">
        <v>263814510</v>
      </c>
      <c r="G44">
        <v>2638556</v>
      </c>
      <c r="H44">
        <v>1327969</v>
      </c>
      <c r="I44">
        <v>0</v>
      </c>
      <c r="J44">
        <v>0</v>
      </c>
      <c r="K44">
        <v>0</v>
      </c>
      <c r="L44">
        <v>1282629</v>
      </c>
      <c r="M44">
        <v>9023105</v>
      </c>
      <c r="N44">
        <v>0</v>
      </c>
      <c r="O44">
        <v>312008</v>
      </c>
      <c r="Q44">
        <v>0</v>
      </c>
      <c r="R44">
        <v>0</v>
      </c>
      <c r="S44">
        <v>1093753</v>
      </c>
      <c r="T44">
        <v>0</v>
      </c>
      <c r="U44">
        <v>807809</v>
      </c>
      <c r="V44">
        <v>1121485</v>
      </c>
      <c r="X44">
        <v>6707501</v>
      </c>
      <c r="Y44">
        <v>0</v>
      </c>
      <c r="Z44">
        <v>24871887</v>
      </c>
      <c r="AA44">
        <v>0</v>
      </c>
      <c r="AB44">
        <v>161785</v>
      </c>
      <c r="AC44">
        <v>179029</v>
      </c>
      <c r="AD44">
        <v>904098</v>
      </c>
      <c r="AE44">
        <v>547125</v>
      </c>
      <c r="AF44">
        <v>485235</v>
      </c>
      <c r="AG44">
        <v>415046</v>
      </c>
      <c r="AH44">
        <v>5350093</v>
      </c>
      <c r="AI44">
        <v>0</v>
      </c>
      <c r="AJ44">
        <v>0</v>
      </c>
      <c r="AK44">
        <v>0</v>
      </c>
      <c r="AL44">
        <v>685240</v>
      </c>
      <c r="AM44">
        <v>924089</v>
      </c>
      <c r="AN44">
        <v>301864</v>
      </c>
      <c r="AO44">
        <v>25907694</v>
      </c>
      <c r="AP44">
        <v>960301</v>
      </c>
      <c r="AQ44">
        <v>0</v>
      </c>
      <c r="AR44">
        <v>42802</v>
      </c>
      <c r="AS44">
        <v>20729743</v>
      </c>
      <c r="AT44">
        <v>282938</v>
      </c>
      <c r="AU44">
        <v>1047584</v>
      </c>
      <c r="AV44">
        <v>1315539</v>
      </c>
      <c r="AW44">
        <v>541989</v>
      </c>
      <c r="AX44">
        <v>0</v>
      </c>
      <c r="AY44">
        <v>0</v>
      </c>
      <c r="AZ44">
        <v>4443963</v>
      </c>
      <c r="BA44">
        <v>282248</v>
      </c>
      <c r="BB44">
        <v>445196</v>
      </c>
      <c r="BC44">
        <v>99518</v>
      </c>
      <c r="BD44">
        <v>2934537</v>
      </c>
      <c r="BE44">
        <v>1545337</v>
      </c>
      <c r="BF44">
        <v>11219548</v>
      </c>
      <c r="BH44">
        <v>0</v>
      </c>
      <c r="BI44">
        <v>131670</v>
      </c>
      <c r="BJ44">
        <v>8987760</v>
      </c>
      <c r="BK44">
        <v>1031309</v>
      </c>
      <c r="BL44">
        <v>9174008</v>
      </c>
      <c r="BM44">
        <v>0</v>
      </c>
      <c r="BN44">
        <v>4912779</v>
      </c>
      <c r="BO44">
        <v>1227953</v>
      </c>
      <c r="BP44">
        <v>0</v>
      </c>
      <c r="BQ44">
        <v>0</v>
      </c>
      <c r="BS44">
        <v>1398265</v>
      </c>
      <c r="BT44">
        <v>473193</v>
      </c>
      <c r="BV44">
        <v>2237933</v>
      </c>
    </row>
    <row r="45" spans="1:74" x14ac:dyDescent="0.3">
      <c r="A45" s="155">
        <v>89</v>
      </c>
      <c r="B45" t="s">
        <v>221</v>
      </c>
      <c r="D45">
        <v>42502</v>
      </c>
      <c r="E45">
        <v>24407872</v>
      </c>
      <c r="G45">
        <v>42147</v>
      </c>
      <c r="H45">
        <v>0</v>
      </c>
      <c r="I45">
        <v>0</v>
      </c>
      <c r="J45">
        <v>0</v>
      </c>
      <c r="K45">
        <v>0</v>
      </c>
      <c r="L45">
        <v>74891</v>
      </c>
      <c r="M45">
        <v>299100</v>
      </c>
      <c r="N45">
        <v>0</v>
      </c>
      <c r="O45">
        <v>0</v>
      </c>
      <c r="Q45">
        <v>0</v>
      </c>
      <c r="R45">
        <v>0</v>
      </c>
      <c r="S45">
        <v>42350</v>
      </c>
      <c r="T45">
        <v>0</v>
      </c>
      <c r="U45">
        <v>11594</v>
      </c>
      <c r="V45">
        <v>65045</v>
      </c>
      <c r="X45">
        <v>0</v>
      </c>
      <c r="Y45">
        <v>0</v>
      </c>
      <c r="Z45">
        <v>143298</v>
      </c>
      <c r="AA45">
        <v>0</v>
      </c>
      <c r="AB45">
        <v>0</v>
      </c>
      <c r="AC45">
        <v>0</v>
      </c>
      <c r="AD45">
        <v>6915</v>
      </c>
      <c r="AE45">
        <v>12420</v>
      </c>
      <c r="AF45">
        <v>0</v>
      </c>
      <c r="AG45">
        <v>29761</v>
      </c>
      <c r="AH45">
        <v>54107</v>
      </c>
      <c r="AI45">
        <v>0</v>
      </c>
      <c r="AJ45">
        <v>0</v>
      </c>
      <c r="AK45">
        <v>0</v>
      </c>
      <c r="AL45">
        <v>63332</v>
      </c>
      <c r="AM45">
        <v>4589</v>
      </c>
      <c r="AN45">
        <v>0</v>
      </c>
      <c r="AO45">
        <v>1528004</v>
      </c>
      <c r="AP45">
        <v>54585</v>
      </c>
      <c r="AQ45">
        <v>0</v>
      </c>
      <c r="AR45">
        <v>0</v>
      </c>
      <c r="AS45">
        <v>1954775</v>
      </c>
      <c r="AT45">
        <v>0</v>
      </c>
      <c r="AU45">
        <v>0</v>
      </c>
      <c r="AV45">
        <v>10782</v>
      </c>
      <c r="AW45">
        <v>25968</v>
      </c>
      <c r="AX45">
        <v>0</v>
      </c>
      <c r="AY45">
        <v>0</v>
      </c>
      <c r="AZ45">
        <v>65260</v>
      </c>
      <c r="BA45">
        <v>3647</v>
      </c>
      <c r="BB45">
        <v>0</v>
      </c>
      <c r="BC45">
        <v>0</v>
      </c>
      <c r="BD45">
        <v>816</v>
      </c>
      <c r="BE45">
        <v>68669</v>
      </c>
      <c r="BF45">
        <v>903823</v>
      </c>
      <c r="BH45">
        <v>0</v>
      </c>
      <c r="BI45">
        <v>0</v>
      </c>
      <c r="BJ45">
        <v>44233</v>
      </c>
      <c r="BK45">
        <v>2363</v>
      </c>
      <c r="BL45">
        <v>14179</v>
      </c>
      <c r="BM45">
        <v>0</v>
      </c>
      <c r="BN45">
        <v>8104</v>
      </c>
      <c r="BO45">
        <v>0</v>
      </c>
      <c r="BP45">
        <v>0</v>
      </c>
      <c r="BQ45">
        <v>0</v>
      </c>
      <c r="BS45">
        <v>7846</v>
      </c>
      <c r="BT45">
        <v>13036</v>
      </c>
      <c r="BV45">
        <v>0</v>
      </c>
    </row>
    <row r="46" spans="1:74" x14ac:dyDescent="0.3">
      <c r="A46" s="155">
        <v>90</v>
      </c>
      <c r="B46" t="s">
        <v>214</v>
      </c>
      <c r="D46">
        <v>0</v>
      </c>
      <c r="E46">
        <v>0</v>
      </c>
      <c r="G46">
        <v>0</v>
      </c>
      <c r="H46">
        <v>0</v>
      </c>
      <c r="I46">
        <v>0</v>
      </c>
      <c r="J46">
        <v>0</v>
      </c>
      <c r="K46">
        <v>0</v>
      </c>
      <c r="L46">
        <v>381366</v>
      </c>
      <c r="M46">
        <v>0</v>
      </c>
      <c r="N46">
        <v>0</v>
      </c>
      <c r="O46">
        <v>0</v>
      </c>
      <c r="Q46">
        <v>0</v>
      </c>
      <c r="R46">
        <v>0</v>
      </c>
      <c r="S46">
        <v>0</v>
      </c>
      <c r="T46">
        <v>0</v>
      </c>
      <c r="U46">
        <v>0</v>
      </c>
      <c r="V46">
        <v>0</v>
      </c>
      <c r="X46">
        <v>0</v>
      </c>
      <c r="Y46">
        <v>0</v>
      </c>
      <c r="Z46">
        <v>39143430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1682832</v>
      </c>
      <c r="AW46">
        <v>0</v>
      </c>
      <c r="AX46">
        <v>0</v>
      </c>
      <c r="AY46">
        <v>0</v>
      </c>
      <c r="AZ46">
        <v>2536274</v>
      </c>
      <c r="BA46">
        <v>0</v>
      </c>
      <c r="BB46">
        <v>0</v>
      </c>
      <c r="BC46">
        <v>0</v>
      </c>
      <c r="BD46">
        <v>0</v>
      </c>
      <c r="BE46">
        <v>2086871</v>
      </c>
      <c r="BF46">
        <v>11250407</v>
      </c>
      <c r="BH46">
        <v>0</v>
      </c>
      <c r="BI46">
        <v>0</v>
      </c>
      <c r="BJ46">
        <v>11207244</v>
      </c>
      <c r="BK46">
        <v>0</v>
      </c>
      <c r="BL46">
        <v>0</v>
      </c>
      <c r="BM46">
        <v>0</v>
      </c>
      <c r="BN46">
        <v>6346617</v>
      </c>
      <c r="BO46">
        <v>0</v>
      </c>
      <c r="BP46">
        <v>0</v>
      </c>
      <c r="BQ46">
        <v>0</v>
      </c>
      <c r="BS46">
        <v>0</v>
      </c>
      <c r="BT46">
        <v>0</v>
      </c>
      <c r="BV46">
        <v>0</v>
      </c>
    </row>
    <row r="47" spans="1:74" x14ac:dyDescent="0.3">
      <c r="A47" s="155">
        <v>91</v>
      </c>
      <c r="B47" t="s">
        <v>215</v>
      </c>
      <c r="D47">
        <v>0</v>
      </c>
      <c r="E47">
        <v>0</v>
      </c>
      <c r="G47">
        <v>0</v>
      </c>
      <c r="H47">
        <v>0</v>
      </c>
      <c r="I47">
        <v>0</v>
      </c>
      <c r="J47">
        <v>0</v>
      </c>
      <c r="K47">
        <v>0</v>
      </c>
      <c r="L47">
        <v>539834</v>
      </c>
      <c r="M47">
        <v>0</v>
      </c>
      <c r="N47">
        <v>0</v>
      </c>
      <c r="O47">
        <v>0</v>
      </c>
      <c r="Q47">
        <v>0</v>
      </c>
      <c r="R47">
        <v>0</v>
      </c>
      <c r="S47">
        <v>0</v>
      </c>
      <c r="T47">
        <v>0</v>
      </c>
      <c r="U47">
        <v>0</v>
      </c>
      <c r="V47">
        <v>0</v>
      </c>
      <c r="X47">
        <v>0</v>
      </c>
      <c r="Y47">
        <v>0</v>
      </c>
      <c r="Z47">
        <v>8571802</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389970</v>
      </c>
      <c r="AW47">
        <v>0</v>
      </c>
      <c r="AX47">
        <v>0</v>
      </c>
      <c r="AY47">
        <v>0</v>
      </c>
      <c r="AZ47">
        <v>782043</v>
      </c>
      <c r="BA47">
        <v>0</v>
      </c>
      <c r="BB47">
        <v>0</v>
      </c>
      <c r="BC47">
        <v>0</v>
      </c>
      <c r="BD47">
        <v>0</v>
      </c>
      <c r="BE47">
        <v>402904</v>
      </c>
      <c r="BF47">
        <v>3058531</v>
      </c>
      <c r="BH47">
        <v>0</v>
      </c>
      <c r="BI47">
        <v>0</v>
      </c>
      <c r="BJ47">
        <v>1463331</v>
      </c>
      <c r="BK47">
        <v>0</v>
      </c>
      <c r="BL47">
        <v>0</v>
      </c>
      <c r="BM47">
        <v>0</v>
      </c>
      <c r="BN47">
        <v>397229</v>
      </c>
      <c r="BO47">
        <v>0</v>
      </c>
      <c r="BP47">
        <v>0</v>
      </c>
      <c r="BQ47">
        <v>0</v>
      </c>
      <c r="BS47">
        <v>0</v>
      </c>
      <c r="BT47">
        <v>0</v>
      </c>
      <c r="BV47">
        <v>0</v>
      </c>
    </row>
    <row r="48" spans="1:74" x14ac:dyDescent="0.3">
      <c r="A48" s="155">
        <v>93</v>
      </c>
      <c r="B48" t="s">
        <v>228</v>
      </c>
      <c r="D48">
        <v>0</v>
      </c>
      <c r="E48">
        <v>0</v>
      </c>
      <c r="G48">
        <v>0</v>
      </c>
      <c r="H48">
        <v>0</v>
      </c>
      <c r="I48">
        <v>0</v>
      </c>
      <c r="J48">
        <v>0</v>
      </c>
      <c r="K48">
        <v>0</v>
      </c>
      <c r="L48">
        <v>4117131</v>
      </c>
      <c r="M48">
        <v>0</v>
      </c>
      <c r="N48">
        <v>0</v>
      </c>
      <c r="O48">
        <v>0</v>
      </c>
      <c r="Q48">
        <v>0</v>
      </c>
      <c r="R48">
        <v>0</v>
      </c>
      <c r="S48">
        <v>0</v>
      </c>
      <c r="T48">
        <v>0</v>
      </c>
      <c r="U48">
        <v>0</v>
      </c>
      <c r="V48">
        <v>0</v>
      </c>
      <c r="X48">
        <v>0</v>
      </c>
      <c r="Y48">
        <v>0</v>
      </c>
      <c r="Z48">
        <v>75955186</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3503449</v>
      </c>
      <c r="AW48">
        <v>0</v>
      </c>
      <c r="AX48">
        <v>0</v>
      </c>
      <c r="AY48">
        <v>0</v>
      </c>
      <c r="AZ48">
        <v>7602053</v>
      </c>
      <c r="BA48">
        <v>0</v>
      </c>
      <c r="BB48">
        <v>0</v>
      </c>
      <c r="BC48">
        <v>0</v>
      </c>
      <c r="BD48">
        <v>0</v>
      </c>
      <c r="BE48">
        <v>2293690</v>
      </c>
      <c r="BF48">
        <v>25893519</v>
      </c>
      <c r="BH48">
        <v>0</v>
      </c>
      <c r="BI48">
        <v>0</v>
      </c>
      <c r="BJ48">
        <v>15262471</v>
      </c>
      <c r="BK48">
        <v>0</v>
      </c>
      <c r="BL48">
        <v>0</v>
      </c>
      <c r="BM48">
        <v>0</v>
      </c>
      <c r="BN48">
        <v>7622876</v>
      </c>
      <c r="BO48">
        <v>0</v>
      </c>
      <c r="BP48">
        <v>0</v>
      </c>
      <c r="BQ48">
        <v>0</v>
      </c>
      <c r="BS48">
        <v>0</v>
      </c>
      <c r="BT48">
        <v>0</v>
      </c>
      <c r="BV48">
        <v>0</v>
      </c>
    </row>
    <row r="49" spans="1:74" x14ac:dyDescent="0.3">
      <c r="A49" s="155">
        <v>94</v>
      </c>
      <c r="B49" t="s">
        <v>231</v>
      </c>
      <c r="D49">
        <v>0</v>
      </c>
      <c r="E49">
        <v>0</v>
      </c>
      <c r="G49">
        <v>0</v>
      </c>
      <c r="H49">
        <v>0</v>
      </c>
      <c r="I49">
        <v>0</v>
      </c>
      <c r="J49">
        <v>0</v>
      </c>
      <c r="K49">
        <v>0</v>
      </c>
      <c r="L49">
        <v>4070112</v>
      </c>
      <c r="M49">
        <v>0</v>
      </c>
      <c r="N49">
        <v>0</v>
      </c>
      <c r="O49">
        <v>0</v>
      </c>
      <c r="Q49">
        <v>0</v>
      </c>
      <c r="R49">
        <v>0</v>
      </c>
      <c r="S49">
        <v>0</v>
      </c>
      <c r="T49">
        <v>0</v>
      </c>
      <c r="U49">
        <v>0</v>
      </c>
      <c r="V49">
        <v>0</v>
      </c>
      <c r="X49">
        <v>0</v>
      </c>
      <c r="Y49">
        <v>0</v>
      </c>
      <c r="Z49">
        <v>69199316</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3407093</v>
      </c>
      <c r="AW49">
        <v>0</v>
      </c>
      <c r="AX49">
        <v>0</v>
      </c>
      <c r="AY49">
        <v>0</v>
      </c>
      <c r="AZ49">
        <v>6679812</v>
      </c>
      <c r="BA49">
        <v>0</v>
      </c>
      <c r="BB49">
        <v>0</v>
      </c>
      <c r="BC49">
        <v>0</v>
      </c>
      <c r="BD49">
        <v>0</v>
      </c>
      <c r="BE49">
        <v>1836746</v>
      </c>
      <c r="BF49">
        <v>18603278</v>
      </c>
      <c r="BH49">
        <v>0</v>
      </c>
      <c r="BI49">
        <v>0</v>
      </c>
      <c r="BJ49">
        <v>14701342</v>
      </c>
      <c r="BK49">
        <v>0</v>
      </c>
      <c r="BL49">
        <v>0</v>
      </c>
      <c r="BM49">
        <v>0</v>
      </c>
      <c r="BN49">
        <v>7235755</v>
      </c>
      <c r="BO49">
        <v>0</v>
      </c>
      <c r="BP49">
        <v>0</v>
      </c>
      <c r="BQ49">
        <v>0</v>
      </c>
      <c r="BS49">
        <v>0</v>
      </c>
      <c r="BT49">
        <v>0</v>
      </c>
      <c r="BV49">
        <v>0</v>
      </c>
    </row>
    <row r="50" spans="1:74" x14ac:dyDescent="0.3">
      <c r="A50" s="155">
        <v>97</v>
      </c>
      <c r="B50" t="s">
        <v>227</v>
      </c>
      <c r="D50">
        <v>0</v>
      </c>
      <c r="E50">
        <v>0</v>
      </c>
      <c r="G50">
        <v>0</v>
      </c>
      <c r="H50">
        <v>0</v>
      </c>
      <c r="I50">
        <v>0</v>
      </c>
      <c r="J50">
        <v>0</v>
      </c>
      <c r="K50">
        <v>0</v>
      </c>
      <c r="L50">
        <v>4106983</v>
      </c>
      <c r="M50">
        <v>0</v>
      </c>
      <c r="N50">
        <v>0</v>
      </c>
      <c r="O50">
        <v>0</v>
      </c>
      <c r="Q50">
        <v>0</v>
      </c>
      <c r="R50">
        <v>0</v>
      </c>
      <c r="S50">
        <v>0</v>
      </c>
      <c r="T50">
        <v>0</v>
      </c>
      <c r="U50">
        <v>0</v>
      </c>
      <c r="V50">
        <v>0</v>
      </c>
      <c r="X50">
        <v>0</v>
      </c>
      <c r="Y50">
        <v>0</v>
      </c>
      <c r="Z50">
        <v>74754278</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3503449</v>
      </c>
      <c r="AW50">
        <v>0</v>
      </c>
      <c r="AX50">
        <v>0</v>
      </c>
      <c r="AY50">
        <v>0</v>
      </c>
      <c r="AZ50">
        <v>7582833</v>
      </c>
      <c r="BA50">
        <v>0</v>
      </c>
      <c r="BB50">
        <v>0</v>
      </c>
      <c r="BC50">
        <v>0</v>
      </c>
      <c r="BD50">
        <v>0</v>
      </c>
      <c r="BE50">
        <v>2293690</v>
      </c>
      <c r="BF50">
        <v>21814728</v>
      </c>
      <c r="BH50">
        <v>0</v>
      </c>
      <c r="BI50">
        <v>0</v>
      </c>
      <c r="BJ50">
        <v>15014703</v>
      </c>
      <c r="BK50">
        <v>0</v>
      </c>
      <c r="BL50">
        <v>0</v>
      </c>
      <c r="BM50">
        <v>0</v>
      </c>
      <c r="BN50">
        <v>7570665</v>
      </c>
      <c r="BO50">
        <v>0</v>
      </c>
      <c r="BP50">
        <v>0</v>
      </c>
      <c r="BQ50">
        <v>0</v>
      </c>
      <c r="BS50">
        <v>0</v>
      </c>
      <c r="BT50">
        <v>0</v>
      </c>
      <c r="BV50">
        <v>0</v>
      </c>
    </row>
    <row r="51" spans="1:74" x14ac:dyDescent="0.3">
      <c r="A51" s="155">
        <v>98</v>
      </c>
      <c r="B51" t="s">
        <v>232</v>
      </c>
      <c r="D51">
        <v>0</v>
      </c>
      <c r="E51">
        <v>0</v>
      </c>
      <c r="G51">
        <v>0</v>
      </c>
      <c r="H51">
        <v>0</v>
      </c>
      <c r="I51">
        <v>0</v>
      </c>
      <c r="J51">
        <v>0</v>
      </c>
      <c r="K51">
        <v>0</v>
      </c>
      <c r="L51">
        <v>40242</v>
      </c>
      <c r="M51">
        <v>0</v>
      </c>
      <c r="N51">
        <v>0</v>
      </c>
      <c r="O51">
        <v>0</v>
      </c>
      <c r="Q51">
        <v>0</v>
      </c>
      <c r="R51">
        <v>0</v>
      </c>
      <c r="S51">
        <v>0</v>
      </c>
      <c r="T51">
        <v>0</v>
      </c>
      <c r="U51">
        <v>0</v>
      </c>
      <c r="V51">
        <v>0</v>
      </c>
      <c r="X51">
        <v>0</v>
      </c>
      <c r="Y51">
        <v>0</v>
      </c>
      <c r="Z51">
        <v>59910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6363</v>
      </c>
      <c r="BA51">
        <v>0</v>
      </c>
      <c r="BB51">
        <v>0</v>
      </c>
      <c r="BC51">
        <v>0</v>
      </c>
      <c r="BD51">
        <v>0</v>
      </c>
      <c r="BE51">
        <v>11809</v>
      </c>
      <c r="BF51">
        <v>62752</v>
      </c>
      <c r="BH51">
        <v>0</v>
      </c>
      <c r="BI51">
        <v>0</v>
      </c>
      <c r="BJ51">
        <v>62623</v>
      </c>
      <c r="BK51">
        <v>0</v>
      </c>
      <c r="BL51">
        <v>0</v>
      </c>
      <c r="BM51">
        <v>0</v>
      </c>
      <c r="BN51">
        <v>0</v>
      </c>
      <c r="BO51">
        <v>0</v>
      </c>
      <c r="BP51">
        <v>0</v>
      </c>
      <c r="BQ51">
        <v>0</v>
      </c>
      <c r="BS51">
        <v>0</v>
      </c>
      <c r="BT51">
        <v>0</v>
      </c>
      <c r="BV51">
        <v>0</v>
      </c>
    </row>
    <row r="52" spans="1:74" x14ac:dyDescent="0.3">
      <c r="A52" s="155">
        <v>99</v>
      </c>
      <c r="B52" t="s">
        <v>229</v>
      </c>
      <c r="D52">
        <v>0</v>
      </c>
      <c r="E52">
        <v>0</v>
      </c>
      <c r="G52">
        <v>0</v>
      </c>
      <c r="H52">
        <v>0</v>
      </c>
      <c r="I52">
        <v>0</v>
      </c>
      <c r="J52">
        <v>0</v>
      </c>
      <c r="K52">
        <v>0</v>
      </c>
      <c r="L52">
        <v>2777827</v>
      </c>
      <c r="M52">
        <v>0</v>
      </c>
      <c r="N52">
        <v>0</v>
      </c>
      <c r="O52">
        <v>0</v>
      </c>
      <c r="Q52">
        <v>0</v>
      </c>
      <c r="R52">
        <v>0</v>
      </c>
      <c r="S52">
        <v>0</v>
      </c>
      <c r="T52">
        <v>0</v>
      </c>
      <c r="U52">
        <v>0</v>
      </c>
      <c r="V52">
        <v>0</v>
      </c>
      <c r="X52">
        <v>0</v>
      </c>
      <c r="Y52">
        <v>0</v>
      </c>
      <c r="Z52">
        <v>50980465</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3378624</v>
      </c>
      <c r="AW52">
        <v>0</v>
      </c>
      <c r="AX52">
        <v>0</v>
      </c>
      <c r="AY52">
        <v>0</v>
      </c>
      <c r="AZ52">
        <v>5354013</v>
      </c>
      <c r="BA52">
        <v>0</v>
      </c>
      <c r="BB52">
        <v>0</v>
      </c>
      <c r="BC52">
        <v>0</v>
      </c>
      <c r="BD52">
        <v>0</v>
      </c>
      <c r="BE52">
        <v>960001</v>
      </c>
      <c r="BF52">
        <v>13799898</v>
      </c>
      <c r="BH52">
        <v>0</v>
      </c>
      <c r="BI52">
        <v>0</v>
      </c>
      <c r="BJ52">
        <v>11637294</v>
      </c>
      <c r="BK52">
        <v>0</v>
      </c>
      <c r="BL52">
        <v>0</v>
      </c>
      <c r="BM52">
        <v>0</v>
      </c>
      <c r="BN52">
        <v>6884858</v>
      </c>
      <c r="BO52">
        <v>0</v>
      </c>
      <c r="BP52">
        <v>0</v>
      </c>
      <c r="BQ52">
        <v>0</v>
      </c>
      <c r="BS52">
        <v>0</v>
      </c>
      <c r="BT52">
        <v>0</v>
      </c>
      <c r="BV52">
        <v>0</v>
      </c>
    </row>
    <row r="53" spans="1:74" x14ac:dyDescent="0.3">
      <c r="A53" s="155">
        <v>100</v>
      </c>
      <c r="B53" t="s">
        <v>242</v>
      </c>
      <c r="D53">
        <v>0</v>
      </c>
      <c r="E53">
        <v>0</v>
      </c>
      <c r="G53">
        <v>0</v>
      </c>
      <c r="H53">
        <v>0</v>
      </c>
      <c r="I53">
        <v>0</v>
      </c>
      <c r="J53">
        <v>0</v>
      </c>
      <c r="K53">
        <v>0</v>
      </c>
      <c r="L53">
        <v>68760</v>
      </c>
      <c r="M53">
        <v>0</v>
      </c>
      <c r="N53">
        <v>0</v>
      </c>
      <c r="O53">
        <v>0</v>
      </c>
      <c r="Q53">
        <v>0</v>
      </c>
      <c r="R53">
        <v>0</v>
      </c>
      <c r="S53">
        <v>0</v>
      </c>
      <c r="T53">
        <v>0</v>
      </c>
      <c r="U53">
        <v>0</v>
      </c>
      <c r="V53">
        <v>0</v>
      </c>
      <c r="X53">
        <v>0</v>
      </c>
      <c r="Y53">
        <v>0</v>
      </c>
      <c r="Z53">
        <v>1909170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341336</v>
      </c>
      <c r="BA53">
        <v>0</v>
      </c>
      <c r="BB53">
        <v>0</v>
      </c>
      <c r="BC53">
        <v>0</v>
      </c>
      <c r="BD53">
        <v>0</v>
      </c>
      <c r="BE53">
        <v>12516</v>
      </c>
      <c r="BF53">
        <v>296399</v>
      </c>
      <c r="BH53">
        <v>0</v>
      </c>
      <c r="BI53">
        <v>0</v>
      </c>
      <c r="BJ53">
        <v>272783</v>
      </c>
      <c r="BK53">
        <v>0</v>
      </c>
      <c r="BL53">
        <v>0</v>
      </c>
      <c r="BM53">
        <v>0</v>
      </c>
      <c r="BN53">
        <v>0</v>
      </c>
      <c r="BO53">
        <v>0</v>
      </c>
      <c r="BP53">
        <v>0</v>
      </c>
      <c r="BQ53">
        <v>0</v>
      </c>
      <c r="BS53">
        <v>0</v>
      </c>
      <c r="BT53">
        <v>0</v>
      </c>
      <c r="BV53">
        <v>0</v>
      </c>
    </row>
    <row r="54" spans="1:74" x14ac:dyDescent="0.3">
      <c r="A54" s="155">
        <v>101</v>
      </c>
      <c r="B54" t="s">
        <v>241</v>
      </c>
      <c r="D54">
        <v>0</v>
      </c>
      <c r="E54">
        <v>0</v>
      </c>
      <c r="G54">
        <v>0</v>
      </c>
      <c r="H54">
        <v>0</v>
      </c>
      <c r="I54">
        <v>0</v>
      </c>
      <c r="J54">
        <v>0</v>
      </c>
      <c r="K54">
        <v>0</v>
      </c>
      <c r="L54">
        <v>0</v>
      </c>
      <c r="M54">
        <v>0</v>
      </c>
      <c r="N54">
        <v>0</v>
      </c>
      <c r="O54">
        <v>0</v>
      </c>
      <c r="Q54">
        <v>0</v>
      </c>
      <c r="R54">
        <v>0</v>
      </c>
      <c r="S54">
        <v>0</v>
      </c>
      <c r="T54">
        <v>0</v>
      </c>
      <c r="U54">
        <v>0</v>
      </c>
      <c r="V54">
        <v>0</v>
      </c>
      <c r="X54">
        <v>0</v>
      </c>
      <c r="Y54">
        <v>0</v>
      </c>
      <c r="Z54">
        <v>2714727</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95388</v>
      </c>
      <c r="AW54">
        <v>0</v>
      </c>
      <c r="AX54">
        <v>0</v>
      </c>
      <c r="AY54">
        <v>0</v>
      </c>
      <c r="AZ54">
        <v>558011</v>
      </c>
      <c r="BA54">
        <v>0</v>
      </c>
      <c r="BB54">
        <v>0</v>
      </c>
      <c r="BC54">
        <v>0</v>
      </c>
      <c r="BD54">
        <v>0</v>
      </c>
      <c r="BE54">
        <v>92544</v>
      </c>
      <c r="BF54">
        <v>375970</v>
      </c>
      <c r="BH54">
        <v>0</v>
      </c>
      <c r="BI54">
        <v>0</v>
      </c>
      <c r="BJ54">
        <v>897565</v>
      </c>
      <c r="BK54">
        <v>0</v>
      </c>
      <c r="BL54">
        <v>0</v>
      </c>
      <c r="BM54">
        <v>0</v>
      </c>
      <c r="BN54">
        <v>1057929</v>
      </c>
      <c r="BO54">
        <v>0</v>
      </c>
      <c r="BP54">
        <v>0</v>
      </c>
      <c r="BQ54">
        <v>0</v>
      </c>
      <c r="BS54">
        <v>0</v>
      </c>
      <c r="BT54">
        <v>0</v>
      </c>
      <c r="BV54">
        <v>0</v>
      </c>
    </row>
    <row r="55" spans="1:74" x14ac:dyDescent="0.3">
      <c r="A55" s="155">
        <v>102</v>
      </c>
      <c r="B55" t="s">
        <v>255</v>
      </c>
      <c r="D55">
        <v>97.33</v>
      </c>
      <c r="E55">
        <v>99.73</v>
      </c>
      <c r="G55">
        <v>99.28</v>
      </c>
      <c r="H55">
        <v>96.84</v>
      </c>
      <c r="I55">
        <v>97.6</v>
      </c>
      <c r="J55">
        <v>96.2</v>
      </c>
      <c r="K55">
        <v>0</v>
      </c>
      <c r="L55">
        <v>94.1</v>
      </c>
      <c r="M55">
        <v>98.72</v>
      </c>
      <c r="N55">
        <v>91.46</v>
      </c>
      <c r="O55">
        <v>94.78</v>
      </c>
      <c r="Q55">
        <v>98.1</v>
      </c>
      <c r="R55">
        <v>99.46</v>
      </c>
      <c r="S55">
        <v>99.67</v>
      </c>
      <c r="T55">
        <v>98.97</v>
      </c>
      <c r="U55">
        <v>99.57</v>
      </c>
      <c r="V55">
        <v>97.53</v>
      </c>
      <c r="X55">
        <v>99.29</v>
      </c>
      <c r="Y55">
        <v>98.36</v>
      </c>
      <c r="Z55">
        <v>95.66</v>
      </c>
      <c r="AA55">
        <v>99.71</v>
      </c>
      <c r="AB55">
        <v>91.11</v>
      </c>
      <c r="AC55">
        <v>82.19</v>
      </c>
      <c r="AD55">
        <v>96.5</v>
      </c>
      <c r="AE55">
        <v>95.12</v>
      </c>
      <c r="AF55">
        <v>99.74</v>
      </c>
      <c r="AG55">
        <v>94.31</v>
      </c>
      <c r="AH55">
        <v>98.91</v>
      </c>
      <c r="AI55">
        <v>95.7</v>
      </c>
      <c r="AJ55">
        <v>99.55</v>
      </c>
      <c r="AK55">
        <v>98.6</v>
      </c>
      <c r="AL55">
        <v>98.21</v>
      </c>
      <c r="AM55">
        <v>98.64</v>
      </c>
      <c r="AN55">
        <v>99.5</v>
      </c>
      <c r="AO55">
        <v>97.92</v>
      </c>
      <c r="AP55">
        <v>99.29</v>
      </c>
      <c r="AQ55">
        <v>96.33</v>
      </c>
      <c r="AR55">
        <v>95.95</v>
      </c>
      <c r="AS55">
        <v>99.07</v>
      </c>
      <c r="AT55">
        <v>98.18</v>
      </c>
      <c r="AU55">
        <v>96.75</v>
      </c>
      <c r="AV55">
        <v>95.62</v>
      </c>
      <c r="AW55">
        <v>87.99</v>
      </c>
      <c r="AX55">
        <v>99.58</v>
      </c>
      <c r="AY55">
        <v>96.63</v>
      </c>
      <c r="AZ55">
        <v>99.73</v>
      </c>
      <c r="BA55">
        <v>99.79</v>
      </c>
      <c r="BB55">
        <v>93.72</v>
      </c>
      <c r="BC55">
        <v>99.25</v>
      </c>
      <c r="BD55">
        <v>98.32</v>
      </c>
      <c r="BE55">
        <v>96.14</v>
      </c>
      <c r="BF55">
        <v>98.37</v>
      </c>
      <c r="BH55">
        <v>97.63</v>
      </c>
      <c r="BI55">
        <v>99.4</v>
      </c>
      <c r="BJ55">
        <v>99.74</v>
      </c>
      <c r="BK55">
        <v>96.45</v>
      </c>
      <c r="BL55">
        <v>99.74</v>
      </c>
      <c r="BM55">
        <v>99.81</v>
      </c>
      <c r="BN55">
        <v>99.03</v>
      </c>
      <c r="BO55">
        <v>98.53</v>
      </c>
      <c r="BP55">
        <v>83.47</v>
      </c>
      <c r="BQ55">
        <v>97.96</v>
      </c>
      <c r="BS55">
        <v>96.13</v>
      </c>
      <c r="BT55">
        <v>98.93</v>
      </c>
      <c r="BV55">
        <v>97.89</v>
      </c>
    </row>
    <row r="56" spans="1:74" x14ac:dyDescent="0.3">
      <c r="A56" s="155">
        <v>103</v>
      </c>
      <c r="B56" t="s">
        <v>256</v>
      </c>
      <c r="D56">
        <v>100</v>
      </c>
      <c r="E56">
        <v>100</v>
      </c>
      <c r="G56">
        <v>100</v>
      </c>
      <c r="H56">
        <v>100</v>
      </c>
      <c r="I56">
        <v>100</v>
      </c>
      <c r="J56">
        <v>99.91</v>
      </c>
      <c r="K56">
        <v>0</v>
      </c>
      <c r="L56">
        <v>100</v>
      </c>
      <c r="M56">
        <v>100</v>
      </c>
      <c r="N56">
        <v>100</v>
      </c>
      <c r="O56">
        <v>100</v>
      </c>
      <c r="Q56">
        <v>100</v>
      </c>
      <c r="R56">
        <v>100</v>
      </c>
      <c r="S56">
        <v>100</v>
      </c>
      <c r="T56">
        <v>99.69</v>
      </c>
      <c r="U56">
        <v>100</v>
      </c>
      <c r="V56">
        <v>100</v>
      </c>
      <c r="X56">
        <v>100</v>
      </c>
      <c r="Y56">
        <v>100</v>
      </c>
      <c r="Z56">
        <v>99.63</v>
      </c>
      <c r="AA56">
        <v>100</v>
      </c>
      <c r="AB56">
        <v>100</v>
      </c>
      <c r="AC56">
        <v>99.35</v>
      </c>
      <c r="AD56">
        <v>100</v>
      </c>
      <c r="AE56">
        <v>100</v>
      </c>
      <c r="AF56">
        <v>100</v>
      </c>
      <c r="AG56">
        <v>100</v>
      </c>
      <c r="AH56">
        <v>100</v>
      </c>
      <c r="AI56">
        <v>100</v>
      </c>
      <c r="AJ56">
        <v>100</v>
      </c>
      <c r="AK56">
        <v>100</v>
      </c>
      <c r="AL56">
        <v>100</v>
      </c>
      <c r="AM56">
        <v>100</v>
      </c>
      <c r="AN56">
        <v>100</v>
      </c>
      <c r="AO56">
        <v>99.77</v>
      </c>
      <c r="AP56">
        <v>100</v>
      </c>
      <c r="AQ56">
        <v>100</v>
      </c>
      <c r="AR56">
        <v>100</v>
      </c>
      <c r="AS56">
        <v>98.06</v>
      </c>
      <c r="AT56">
        <v>100</v>
      </c>
      <c r="AU56">
        <v>100</v>
      </c>
      <c r="AV56">
        <v>100</v>
      </c>
      <c r="AW56">
        <v>100</v>
      </c>
      <c r="AX56">
        <v>100</v>
      </c>
      <c r="AY56">
        <v>100</v>
      </c>
      <c r="AZ56">
        <v>100</v>
      </c>
      <c r="BA56">
        <v>100</v>
      </c>
      <c r="BB56">
        <v>100</v>
      </c>
      <c r="BC56">
        <v>100</v>
      </c>
      <c r="BD56">
        <v>100</v>
      </c>
      <c r="BE56">
        <v>100</v>
      </c>
      <c r="BF56">
        <v>100</v>
      </c>
      <c r="BH56">
        <v>100</v>
      </c>
      <c r="BI56">
        <v>100</v>
      </c>
      <c r="BJ56">
        <v>0</v>
      </c>
      <c r="BK56">
        <v>100</v>
      </c>
      <c r="BL56">
        <v>100</v>
      </c>
      <c r="BM56">
        <v>100</v>
      </c>
      <c r="BN56">
        <v>99.74</v>
      </c>
      <c r="BO56">
        <v>100</v>
      </c>
      <c r="BP56">
        <v>100</v>
      </c>
      <c r="BQ56">
        <v>100</v>
      </c>
      <c r="BS56">
        <v>100</v>
      </c>
      <c r="BT56">
        <v>100</v>
      </c>
      <c r="BV56">
        <v>100</v>
      </c>
    </row>
    <row r="57" spans="1:74" x14ac:dyDescent="0.3">
      <c r="A57" s="155">
        <v>104</v>
      </c>
      <c r="B57" t="s">
        <v>911</v>
      </c>
      <c r="D57">
        <v>0</v>
      </c>
      <c r="E57">
        <v>0</v>
      </c>
      <c r="G57">
        <v>0</v>
      </c>
      <c r="H57">
        <v>0</v>
      </c>
      <c r="I57">
        <v>0</v>
      </c>
      <c r="J57">
        <v>0</v>
      </c>
      <c r="K57">
        <v>0</v>
      </c>
      <c r="L57">
        <v>0</v>
      </c>
      <c r="M57">
        <v>0</v>
      </c>
      <c r="N57">
        <v>0</v>
      </c>
      <c r="O57">
        <v>0</v>
      </c>
      <c r="Q57">
        <v>0</v>
      </c>
      <c r="R57">
        <v>0</v>
      </c>
      <c r="S57">
        <v>0</v>
      </c>
      <c r="T57">
        <v>0</v>
      </c>
      <c r="U57">
        <v>0</v>
      </c>
      <c r="V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H57">
        <v>0</v>
      </c>
      <c r="BI57">
        <v>0</v>
      </c>
      <c r="BJ57">
        <v>0</v>
      </c>
      <c r="BK57">
        <v>0</v>
      </c>
      <c r="BL57">
        <v>0</v>
      </c>
      <c r="BM57">
        <v>0</v>
      </c>
      <c r="BN57">
        <v>0</v>
      </c>
      <c r="BO57">
        <v>0</v>
      </c>
      <c r="BP57">
        <v>0</v>
      </c>
      <c r="BQ57">
        <v>0</v>
      </c>
      <c r="BS57">
        <v>0</v>
      </c>
      <c r="BT57">
        <v>0</v>
      </c>
      <c r="BV57">
        <v>0</v>
      </c>
    </row>
    <row r="58" spans="1:74" x14ac:dyDescent="0.3">
      <c r="A58" s="155">
        <v>107</v>
      </c>
      <c r="B58" t="s">
        <v>912</v>
      </c>
      <c r="D58">
        <v>0</v>
      </c>
      <c r="E58">
        <v>0</v>
      </c>
      <c r="G58">
        <v>0</v>
      </c>
      <c r="H58">
        <v>0</v>
      </c>
      <c r="I58">
        <v>0</v>
      </c>
      <c r="J58">
        <v>0</v>
      </c>
      <c r="K58">
        <v>0</v>
      </c>
      <c r="L58">
        <v>0</v>
      </c>
      <c r="M58">
        <v>0</v>
      </c>
      <c r="N58">
        <v>0</v>
      </c>
      <c r="O58">
        <v>0</v>
      </c>
      <c r="Q58">
        <v>0</v>
      </c>
      <c r="R58">
        <v>0</v>
      </c>
      <c r="S58">
        <v>0</v>
      </c>
      <c r="T58">
        <v>0</v>
      </c>
      <c r="U58">
        <v>0</v>
      </c>
      <c r="V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H58">
        <v>0</v>
      </c>
      <c r="BI58">
        <v>0</v>
      </c>
      <c r="BJ58">
        <v>0</v>
      </c>
      <c r="BK58">
        <v>0</v>
      </c>
      <c r="BL58">
        <v>0</v>
      </c>
      <c r="BM58">
        <v>0</v>
      </c>
      <c r="BN58">
        <v>0</v>
      </c>
      <c r="BO58">
        <v>0</v>
      </c>
      <c r="BP58">
        <v>0</v>
      </c>
      <c r="BQ58">
        <v>0</v>
      </c>
      <c r="BS58">
        <v>0</v>
      </c>
      <c r="BT58">
        <v>0</v>
      </c>
      <c r="BV58">
        <v>0</v>
      </c>
    </row>
    <row r="59" spans="1:74" x14ac:dyDescent="0.3">
      <c r="A59" s="155">
        <v>108</v>
      </c>
      <c r="B59" t="s">
        <v>913</v>
      </c>
      <c r="D59">
        <v>0</v>
      </c>
      <c r="E59">
        <v>0</v>
      </c>
      <c r="G59">
        <v>0</v>
      </c>
      <c r="H59">
        <v>0</v>
      </c>
      <c r="I59">
        <v>0</v>
      </c>
      <c r="J59">
        <v>0</v>
      </c>
      <c r="K59">
        <v>0</v>
      </c>
      <c r="L59">
        <v>0</v>
      </c>
      <c r="M59">
        <v>0</v>
      </c>
      <c r="N59">
        <v>0</v>
      </c>
      <c r="O59">
        <v>0</v>
      </c>
      <c r="Q59">
        <v>0</v>
      </c>
      <c r="R59">
        <v>0</v>
      </c>
      <c r="S59">
        <v>0</v>
      </c>
      <c r="T59">
        <v>0</v>
      </c>
      <c r="U59">
        <v>0</v>
      </c>
      <c r="V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H59">
        <v>0</v>
      </c>
      <c r="BI59">
        <v>0</v>
      </c>
      <c r="BJ59">
        <v>0</v>
      </c>
      <c r="BK59">
        <v>0</v>
      </c>
      <c r="BL59">
        <v>0</v>
      </c>
      <c r="BM59">
        <v>0</v>
      </c>
      <c r="BN59">
        <v>0</v>
      </c>
      <c r="BO59">
        <v>0</v>
      </c>
      <c r="BP59">
        <v>0</v>
      </c>
      <c r="BQ59">
        <v>0</v>
      </c>
      <c r="BS59">
        <v>0</v>
      </c>
      <c r="BT59">
        <v>0</v>
      </c>
      <c r="BV59">
        <v>0</v>
      </c>
    </row>
    <row r="60" spans="1:74" x14ac:dyDescent="0.3">
      <c r="A60" s="155">
        <v>147</v>
      </c>
      <c r="B60" t="s">
        <v>914</v>
      </c>
      <c r="D60">
        <v>0</v>
      </c>
      <c r="E60">
        <v>0</v>
      </c>
      <c r="G60">
        <v>0</v>
      </c>
      <c r="H60">
        <v>0</v>
      </c>
      <c r="I60">
        <v>0</v>
      </c>
      <c r="J60">
        <v>0</v>
      </c>
      <c r="K60">
        <v>0</v>
      </c>
      <c r="L60">
        <v>0</v>
      </c>
      <c r="M60">
        <v>0</v>
      </c>
      <c r="N60">
        <v>0</v>
      </c>
      <c r="O60">
        <v>0</v>
      </c>
      <c r="Q60">
        <v>0</v>
      </c>
      <c r="R60">
        <v>0</v>
      </c>
      <c r="S60">
        <v>0</v>
      </c>
      <c r="T60">
        <v>0</v>
      </c>
      <c r="U60">
        <v>0</v>
      </c>
      <c r="V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H60">
        <v>0</v>
      </c>
      <c r="BI60">
        <v>0</v>
      </c>
      <c r="BJ60">
        <v>0</v>
      </c>
      <c r="BK60">
        <v>0</v>
      </c>
      <c r="BL60">
        <v>0</v>
      </c>
      <c r="BM60">
        <v>0</v>
      </c>
      <c r="BN60">
        <v>0</v>
      </c>
      <c r="BO60">
        <v>0</v>
      </c>
      <c r="BP60">
        <v>0</v>
      </c>
      <c r="BQ60">
        <v>0</v>
      </c>
      <c r="BS60">
        <v>0</v>
      </c>
      <c r="BT60">
        <v>0</v>
      </c>
      <c r="BV60">
        <v>0</v>
      </c>
    </row>
    <row r="61" spans="1:74" x14ac:dyDescent="0.3">
      <c r="A61" s="155">
        <v>148</v>
      </c>
      <c r="B61" t="s">
        <v>915</v>
      </c>
      <c r="D61">
        <v>0</v>
      </c>
      <c r="E61">
        <v>0</v>
      </c>
      <c r="G61">
        <v>0</v>
      </c>
      <c r="H61">
        <v>0</v>
      </c>
      <c r="I61">
        <v>0</v>
      </c>
      <c r="J61">
        <v>0</v>
      </c>
      <c r="K61">
        <v>0</v>
      </c>
      <c r="L61">
        <v>0</v>
      </c>
      <c r="M61">
        <v>0</v>
      </c>
      <c r="N61">
        <v>0</v>
      </c>
      <c r="O61">
        <v>0</v>
      </c>
      <c r="Q61">
        <v>0</v>
      </c>
      <c r="R61">
        <v>0</v>
      </c>
      <c r="S61">
        <v>0</v>
      </c>
      <c r="T61">
        <v>0</v>
      </c>
      <c r="U61">
        <v>0</v>
      </c>
      <c r="V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H61">
        <v>0</v>
      </c>
      <c r="BI61">
        <v>0</v>
      </c>
      <c r="BJ61">
        <v>0</v>
      </c>
      <c r="BK61">
        <v>0</v>
      </c>
      <c r="BL61">
        <v>0</v>
      </c>
      <c r="BM61">
        <v>0</v>
      </c>
      <c r="BN61">
        <v>0</v>
      </c>
      <c r="BO61">
        <v>0</v>
      </c>
      <c r="BP61">
        <v>0</v>
      </c>
      <c r="BQ61">
        <v>0</v>
      </c>
      <c r="BS61">
        <v>0</v>
      </c>
      <c r="BT61">
        <v>0</v>
      </c>
      <c r="BV61">
        <v>0</v>
      </c>
    </row>
    <row r="62" spans="1:74" x14ac:dyDescent="0.3">
      <c r="A62" s="155">
        <v>149</v>
      </c>
      <c r="B62" t="s">
        <v>916</v>
      </c>
      <c r="D62">
        <v>0</v>
      </c>
      <c r="E62">
        <v>0</v>
      </c>
      <c r="G62">
        <v>0</v>
      </c>
      <c r="H62">
        <v>0</v>
      </c>
      <c r="I62">
        <v>0</v>
      </c>
      <c r="J62">
        <v>0</v>
      </c>
      <c r="K62">
        <v>0</v>
      </c>
      <c r="L62">
        <v>0</v>
      </c>
      <c r="M62">
        <v>0</v>
      </c>
      <c r="N62">
        <v>0</v>
      </c>
      <c r="O62">
        <v>0</v>
      </c>
      <c r="Q62">
        <v>0</v>
      </c>
      <c r="R62">
        <v>0</v>
      </c>
      <c r="S62">
        <v>0</v>
      </c>
      <c r="T62">
        <v>0</v>
      </c>
      <c r="U62">
        <v>0</v>
      </c>
      <c r="V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H62">
        <v>0</v>
      </c>
      <c r="BI62">
        <v>0</v>
      </c>
      <c r="BJ62">
        <v>0</v>
      </c>
      <c r="BK62">
        <v>0</v>
      </c>
      <c r="BL62">
        <v>0</v>
      </c>
      <c r="BM62">
        <v>0</v>
      </c>
      <c r="BN62">
        <v>0</v>
      </c>
      <c r="BO62">
        <v>0</v>
      </c>
      <c r="BP62">
        <v>0</v>
      </c>
      <c r="BQ62">
        <v>0</v>
      </c>
      <c r="BS62">
        <v>0</v>
      </c>
      <c r="BT62">
        <v>0</v>
      </c>
      <c r="BV62">
        <v>0</v>
      </c>
    </row>
    <row r="63" spans="1:74" x14ac:dyDescent="0.3">
      <c r="A63" s="155">
        <v>150</v>
      </c>
      <c r="B63" t="s">
        <v>917</v>
      </c>
      <c r="D63">
        <v>0</v>
      </c>
      <c r="E63">
        <v>0</v>
      </c>
      <c r="G63">
        <v>0</v>
      </c>
      <c r="H63">
        <v>0</v>
      </c>
      <c r="I63">
        <v>0</v>
      </c>
      <c r="J63">
        <v>0</v>
      </c>
      <c r="K63">
        <v>0</v>
      </c>
      <c r="L63">
        <v>0</v>
      </c>
      <c r="M63">
        <v>0</v>
      </c>
      <c r="N63">
        <v>0</v>
      </c>
      <c r="O63">
        <v>0</v>
      </c>
      <c r="Q63">
        <v>0</v>
      </c>
      <c r="R63">
        <v>0</v>
      </c>
      <c r="S63">
        <v>0</v>
      </c>
      <c r="T63">
        <v>0</v>
      </c>
      <c r="U63">
        <v>0</v>
      </c>
      <c r="V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H63">
        <v>0</v>
      </c>
      <c r="BI63">
        <v>0</v>
      </c>
      <c r="BJ63">
        <v>0</v>
      </c>
      <c r="BK63">
        <v>0</v>
      </c>
      <c r="BL63">
        <v>0</v>
      </c>
      <c r="BM63">
        <v>0</v>
      </c>
      <c r="BN63">
        <v>0</v>
      </c>
      <c r="BO63">
        <v>0</v>
      </c>
      <c r="BP63">
        <v>0</v>
      </c>
      <c r="BQ63">
        <v>0</v>
      </c>
      <c r="BS63">
        <v>0</v>
      </c>
      <c r="BT63">
        <v>0</v>
      </c>
      <c r="BV63">
        <v>0</v>
      </c>
    </row>
    <row r="64" spans="1:74" x14ac:dyDescent="0.3">
      <c r="A64" s="155">
        <v>171</v>
      </c>
      <c r="B64" t="s">
        <v>208</v>
      </c>
      <c r="D64">
        <v>285818</v>
      </c>
      <c r="E64">
        <v>60393487</v>
      </c>
      <c r="G64">
        <v>168666</v>
      </c>
      <c r="H64">
        <v>0</v>
      </c>
      <c r="I64">
        <v>0</v>
      </c>
      <c r="J64">
        <v>0</v>
      </c>
      <c r="K64">
        <v>0</v>
      </c>
      <c r="L64">
        <v>589335</v>
      </c>
      <c r="M64">
        <v>366602</v>
      </c>
      <c r="N64">
        <v>0</v>
      </c>
      <c r="O64">
        <v>17567</v>
      </c>
      <c r="Q64">
        <v>0</v>
      </c>
      <c r="R64">
        <v>41528</v>
      </c>
      <c r="S64">
        <v>0</v>
      </c>
      <c r="T64">
        <v>1688415</v>
      </c>
      <c r="U64">
        <v>94401</v>
      </c>
      <c r="V64">
        <v>0</v>
      </c>
      <c r="X64">
        <v>133510</v>
      </c>
      <c r="Y64">
        <v>238536</v>
      </c>
      <c r="Z64">
        <v>5658440</v>
      </c>
      <c r="AA64">
        <v>416792</v>
      </c>
      <c r="AB64">
        <v>0</v>
      </c>
      <c r="AC64">
        <v>0</v>
      </c>
      <c r="AD64">
        <v>280568</v>
      </c>
      <c r="AE64">
        <v>33025</v>
      </c>
      <c r="AF64">
        <v>15804</v>
      </c>
      <c r="AG64">
        <v>31485</v>
      </c>
      <c r="AH64">
        <v>544645</v>
      </c>
      <c r="AI64">
        <v>0</v>
      </c>
      <c r="AJ64">
        <v>151354</v>
      </c>
      <c r="AK64">
        <v>0</v>
      </c>
      <c r="AL64">
        <v>53114</v>
      </c>
      <c r="AM64">
        <v>272305</v>
      </c>
      <c r="AN64">
        <v>0</v>
      </c>
      <c r="AO64">
        <v>1608585</v>
      </c>
      <c r="AP64">
        <v>36540</v>
      </c>
      <c r="AQ64">
        <v>3739</v>
      </c>
      <c r="AR64">
        <v>20652</v>
      </c>
      <c r="AS64">
        <v>1383889</v>
      </c>
      <c r="AT64">
        <v>12331</v>
      </c>
      <c r="AU64">
        <v>0</v>
      </c>
      <c r="AV64">
        <v>0</v>
      </c>
      <c r="AW64">
        <v>0</v>
      </c>
      <c r="AX64">
        <v>0</v>
      </c>
      <c r="AY64">
        <v>0</v>
      </c>
      <c r="AZ64">
        <v>305956</v>
      </c>
      <c r="BA64">
        <v>151697</v>
      </c>
      <c r="BB64">
        <v>0</v>
      </c>
      <c r="BC64">
        <v>0</v>
      </c>
      <c r="BD64">
        <v>475426</v>
      </c>
      <c r="BE64">
        <v>72966</v>
      </c>
      <c r="BF64">
        <v>2596997</v>
      </c>
      <c r="BH64">
        <v>0</v>
      </c>
      <c r="BI64">
        <v>0</v>
      </c>
      <c r="BJ64">
        <v>1023638</v>
      </c>
      <c r="BK64">
        <v>0</v>
      </c>
      <c r="BL64">
        <v>1122222</v>
      </c>
      <c r="BM64">
        <v>0</v>
      </c>
      <c r="BN64">
        <v>391236</v>
      </c>
      <c r="BO64">
        <v>0</v>
      </c>
      <c r="BP64">
        <v>0</v>
      </c>
      <c r="BQ64">
        <v>43716</v>
      </c>
      <c r="BS64">
        <v>0</v>
      </c>
      <c r="BT64">
        <v>60958</v>
      </c>
      <c r="BV64">
        <v>65213</v>
      </c>
    </row>
    <row r="65" spans="1:74" x14ac:dyDescent="0.3">
      <c r="A65" s="155">
        <v>191</v>
      </c>
      <c r="B65" t="s">
        <v>224</v>
      </c>
      <c r="D65">
        <v>0</v>
      </c>
      <c r="E65">
        <v>18067252</v>
      </c>
      <c r="G65">
        <v>0</v>
      </c>
      <c r="H65">
        <v>17124</v>
      </c>
      <c r="I65">
        <v>0</v>
      </c>
      <c r="J65">
        <v>0</v>
      </c>
      <c r="K65">
        <v>0</v>
      </c>
      <c r="L65">
        <v>3485528</v>
      </c>
      <c r="M65">
        <v>0</v>
      </c>
      <c r="N65">
        <v>0</v>
      </c>
      <c r="O65">
        <v>300000</v>
      </c>
      <c r="Q65">
        <v>0</v>
      </c>
      <c r="R65">
        <v>0</v>
      </c>
      <c r="S65">
        <v>0</v>
      </c>
      <c r="T65">
        <v>0</v>
      </c>
      <c r="U65">
        <v>929865</v>
      </c>
      <c r="V65">
        <v>0</v>
      </c>
      <c r="X65">
        <v>0</v>
      </c>
      <c r="Y65">
        <v>0</v>
      </c>
      <c r="Z65">
        <v>0</v>
      </c>
      <c r="AA65">
        <v>0</v>
      </c>
      <c r="AB65">
        <v>0</v>
      </c>
      <c r="AC65">
        <v>760147</v>
      </c>
      <c r="AD65">
        <v>0</v>
      </c>
      <c r="AE65">
        <v>0</v>
      </c>
      <c r="AF65">
        <v>0</v>
      </c>
      <c r="AG65">
        <v>0</v>
      </c>
      <c r="AH65">
        <v>0</v>
      </c>
      <c r="AI65">
        <v>0</v>
      </c>
      <c r="AJ65">
        <v>0</v>
      </c>
      <c r="AK65">
        <v>0</v>
      </c>
      <c r="AL65">
        <v>0</v>
      </c>
      <c r="AM65">
        <v>0</v>
      </c>
      <c r="AN65">
        <v>0</v>
      </c>
      <c r="AO65">
        <v>0</v>
      </c>
      <c r="AP65">
        <v>0</v>
      </c>
      <c r="AQ65">
        <v>0</v>
      </c>
      <c r="AR65">
        <v>0</v>
      </c>
      <c r="AS65">
        <v>8549694</v>
      </c>
      <c r="AT65">
        <v>68820</v>
      </c>
      <c r="AU65">
        <v>21998</v>
      </c>
      <c r="AV65">
        <v>0</v>
      </c>
      <c r="AW65">
        <v>1545796</v>
      </c>
      <c r="AX65">
        <v>0</v>
      </c>
      <c r="AY65">
        <v>0</v>
      </c>
      <c r="AZ65">
        <v>616801</v>
      </c>
      <c r="BA65">
        <v>0</v>
      </c>
      <c r="BB65">
        <v>0</v>
      </c>
      <c r="BC65">
        <v>0</v>
      </c>
      <c r="BD65">
        <v>0</v>
      </c>
      <c r="BE65">
        <v>193575</v>
      </c>
      <c r="BF65">
        <v>0</v>
      </c>
      <c r="BH65">
        <v>0</v>
      </c>
      <c r="BI65">
        <v>0</v>
      </c>
      <c r="BJ65">
        <v>100664</v>
      </c>
      <c r="BK65">
        <v>91918</v>
      </c>
      <c r="BL65">
        <v>3665740</v>
      </c>
      <c r="BM65">
        <v>0</v>
      </c>
      <c r="BN65">
        <v>759172</v>
      </c>
      <c r="BO65">
        <v>1601145</v>
      </c>
      <c r="BP65">
        <v>0</v>
      </c>
      <c r="BQ65">
        <v>0</v>
      </c>
      <c r="BS65">
        <v>0</v>
      </c>
      <c r="BT65">
        <v>53000</v>
      </c>
      <c r="BV65">
        <v>0</v>
      </c>
    </row>
    <row r="66" spans="1:74" x14ac:dyDescent="0.3">
      <c r="A66" s="155">
        <v>192</v>
      </c>
      <c r="B66" t="s">
        <v>235</v>
      </c>
      <c r="D66">
        <v>0</v>
      </c>
      <c r="E66">
        <v>0</v>
      </c>
      <c r="G66">
        <v>0</v>
      </c>
      <c r="H66">
        <v>0</v>
      </c>
      <c r="I66">
        <v>0</v>
      </c>
      <c r="J66">
        <v>0</v>
      </c>
      <c r="K66">
        <v>0</v>
      </c>
      <c r="L66">
        <v>0</v>
      </c>
      <c r="M66">
        <v>0</v>
      </c>
      <c r="N66">
        <v>0</v>
      </c>
      <c r="O66">
        <v>0</v>
      </c>
      <c r="Q66">
        <v>0</v>
      </c>
      <c r="R66">
        <v>0</v>
      </c>
      <c r="S66">
        <v>0</v>
      </c>
      <c r="T66">
        <v>0</v>
      </c>
      <c r="U66">
        <v>0</v>
      </c>
      <c r="V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135961</v>
      </c>
      <c r="BH66">
        <v>0</v>
      </c>
      <c r="BI66">
        <v>0</v>
      </c>
      <c r="BJ66">
        <v>36471</v>
      </c>
      <c r="BK66">
        <v>0</v>
      </c>
      <c r="BL66">
        <v>0</v>
      </c>
      <c r="BM66">
        <v>0</v>
      </c>
      <c r="BN66">
        <v>0</v>
      </c>
      <c r="BO66">
        <v>0</v>
      </c>
      <c r="BP66">
        <v>0</v>
      </c>
      <c r="BQ66">
        <v>0</v>
      </c>
      <c r="BS66">
        <v>0</v>
      </c>
      <c r="BT66">
        <v>0</v>
      </c>
      <c r="BV66">
        <v>0</v>
      </c>
    </row>
    <row r="67" spans="1:74" x14ac:dyDescent="0.3">
      <c r="A67" s="155">
        <v>193</v>
      </c>
      <c r="B67" t="s">
        <v>283</v>
      </c>
      <c r="D67">
        <v>0</v>
      </c>
      <c r="E67">
        <v>0</v>
      </c>
      <c r="G67">
        <v>0</v>
      </c>
      <c r="H67">
        <v>0</v>
      </c>
      <c r="I67">
        <v>0</v>
      </c>
      <c r="J67">
        <v>0</v>
      </c>
      <c r="K67">
        <v>0</v>
      </c>
      <c r="L67">
        <v>0</v>
      </c>
      <c r="M67">
        <v>0</v>
      </c>
      <c r="N67">
        <v>0</v>
      </c>
      <c r="O67">
        <v>0</v>
      </c>
      <c r="Q67">
        <v>0</v>
      </c>
      <c r="R67">
        <v>0</v>
      </c>
      <c r="S67">
        <v>0</v>
      </c>
      <c r="T67">
        <v>0</v>
      </c>
      <c r="U67">
        <v>0</v>
      </c>
      <c r="V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H67">
        <v>0</v>
      </c>
      <c r="BI67">
        <v>0</v>
      </c>
      <c r="BJ67">
        <v>0</v>
      </c>
      <c r="BK67">
        <v>0</v>
      </c>
      <c r="BL67">
        <v>0</v>
      </c>
      <c r="BM67">
        <v>0</v>
      </c>
      <c r="BN67">
        <v>0</v>
      </c>
      <c r="BO67">
        <v>0</v>
      </c>
      <c r="BP67">
        <v>0</v>
      </c>
      <c r="BQ67">
        <v>0</v>
      </c>
      <c r="BS67">
        <v>0</v>
      </c>
      <c r="BT67">
        <v>0</v>
      </c>
      <c r="BV67">
        <v>0</v>
      </c>
    </row>
    <row r="68" spans="1:74" x14ac:dyDescent="0.3">
      <c r="A68" s="155">
        <v>194</v>
      </c>
      <c r="B68" t="s">
        <v>918</v>
      </c>
      <c r="D68">
        <v>0</v>
      </c>
      <c r="E68">
        <v>0</v>
      </c>
      <c r="G68">
        <v>0</v>
      </c>
      <c r="H68">
        <v>0</v>
      </c>
      <c r="I68">
        <v>0</v>
      </c>
      <c r="J68">
        <v>0</v>
      </c>
      <c r="K68">
        <v>0</v>
      </c>
      <c r="L68">
        <v>0</v>
      </c>
      <c r="M68">
        <v>0</v>
      </c>
      <c r="N68">
        <v>0</v>
      </c>
      <c r="O68">
        <v>0</v>
      </c>
      <c r="Q68">
        <v>0</v>
      </c>
      <c r="R68">
        <v>0</v>
      </c>
      <c r="S68">
        <v>0</v>
      </c>
      <c r="T68">
        <v>0</v>
      </c>
      <c r="U68">
        <v>0</v>
      </c>
      <c r="V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H68">
        <v>0</v>
      </c>
      <c r="BI68">
        <v>0</v>
      </c>
      <c r="BJ68">
        <v>0</v>
      </c>
      <c r="BK68">
        <v>0</v>
      </c>
      <c r="BL68">
        <v>0</v>
      </c>
      <c r="BM68">
        <v>0</v>
      </c>
      <c r="BN68">
        <v>0</v>
      </c>
      <c r="BO68">
        <v>0</v>
      </c>
      <c r="BP68">
        <v>0</v>
      </c>
      <c r="BQ68">
        <v>0</v>
      </c>
      <c r="BS68">
        <v>0</v>
      </c>
      <c r="BT68">
        <v>0</v>
      </c>
      <c r="BV68">
        <v>0</v>
      </c>
    </row>
    <row r="69" spans="1:74" x14ac:dyDescent="0.3">
      <c r="A69" s="155">
        <v>252</v>
      </c>
      <c r="B69" t="s">
        <v>95</v>
      </c>
      <c r="D69">
        <v>3965840</v>
      </c>
      <c r="E69">
        <v>835295059</v>
      </c>
      <c r="G69">
        <v>8292849</v>
      </c>
      <c r="H69">
        <v>2255747</v>
      </c>
      <c r="I69">
        <v>7849</v>
      </c>
      <c r="J69">
        <v>992632</v>
      </c>
      <c r="K69">
        <v>4048518</v>
      </c>
      <c r="L69">
        <v>2571335</v>
      </c>
      <c r="M69">
        <v>21763264</v>
      </c>
      <c r="N69">
        <v>64680</v>
      </c>
      <c r="O69">
        <v>420710</v>
      </c>
      <c r="Q69">
        <v>743798</v>
      </c>
      <c r="R69">
        <v>1048426</v>
      </c>
      <c r="S69">
        <v>4327268</v>
      </c>
      <c r="T69">
        <v>6640275</v>
      </c>
      <c r="U69">
        <v>1681332</v>
      </c>
      <c r="V69">
        <v>113666</v>
      </c>
      <c r="X69">
        <v>21244835</v>
      </c>
      <c r="Y69">
        <v>2027240</v>
      </c>
      <c r="Z69">
        <v>80168758</v>
      </c>
      <c r="AA69">
        <v>36779159</v>
      </c>
      <c r="AB69">
        <v>59813</v>
      </c>
      <c r="AC69">
        <v>825718</v>
      </c>
      <c r="AD69">
        <v>990547</v>
      </c>
      <c r="AE69">
        <v>508486</v>
      </c>
      <c r="AF69">
        <v>619810</v>
      </c>
      <c r="AG69">
        <v>174968</v>
      </c>
      <c r="AH69">
        <v>4569272</v>
      </c>
      <c r="AI69">
        <v>99535</v>
      </c>
      <c r="AJ69">
        <v>4000378</v>
      </c>
      <c r="AK69">
        <v>100514</v>
      </c>
      <c r="AL69">
        <v>592222</v>
      </c>
      <c r="AM69">
        <v>4020070</v>
      </c>
      <c r="AN69">
        <v>500513</v>
      </c>
      <c r="AO69">
        <v>40910208</v>
      </c>
      <c r="AP69">
        <v>1315899</v>
      </c>
      <c r="AQ69">
        <v>56871</v>
      </c>
      <c r="AR69">
        <v>223516</v>
      </c>
      <c r="AS69">
        <v>30504251</v>
      </c>
      <c r="AT69">
        <v>551522</v>
      </c>
      <c r="AU69">
        <v>2809960</v>
      </c>
      <c r="AV69">
        <v>2448441</v>
      </c>
      <c r="AW69">
        <v>273158</v>
      </c>
      <c r="AX69">
        <v>2769615</v>
      </c>
      <c r="AY69">
        <v>133237</v>
      </c>
      <c r="AZ69">
        <v>7643792</v>
      </c>
      <c r="BA69">
        <v>1760113</v>
      </c>
      <c r="BB69">
        <v>11571</v>
      </c>
      <c r="BC69">
        <v>129562</v>
      </c>
      <c r="BD69">
        <v>14473812</v>
      </c>
      <c r="BE69">
        <v>376558</v>
      </c>
      <c r="BF69">
        <v>55363388</v>
      </c>
      <c r="BH69">
        <v>63710</v>
      </c>
      <c r="BI69">
        <v>277403</v>
      </c>
      <c r="BJ69">
        <v>25259943</v>
      </c>
      <c r="BK69">
        <v>1498059</v>
      </c>
      <c r="BL69">
        <v>37075906</v>
      </c>
      <c r="BM69">
        <v>11236412</v>
      </c>
      <c r="BN69">
        <v>11699706</v>
      </c>
      <c r="BO69">
        <v>1605319</v>
      </c>
      <c r="BP69">
        <v>22308</v>
      </c>
      <c r="BQ69">
        <v>2639133</v>
      </c>
      <c r="BS69">
        <v>3416631</v>
      </c>
      <c r="BT69">
        <v>1238825</v>
      </c>
      <c r="BV69">
        <v>3162366</v>
      </c>
    </row>
    <row r="70" spans="1:74" x14ac:dyDescent="0.3">
      <c r="A70" s="155">
        <v>253</v>
      </c>
      <c r="B70" t="s">
        <v>96</v>
      </c>
      <c r="D70">
        <v>1921867</v>
      </c>
      <c r="E70">
        <v>316074912</v>
      </c>
      <c r="G70">
        <v>1620880</v>
      </c>
      <c r="H70">
        <v>572823</v>
      </c>
      <c r="I70">
        <v>1040</v>
      </c>
      <c r="J70">
        <v>91207</v>
      </c>
      <c r="K70">
        <v>203664</v>
      </c>
      <c r="L70">
        <v>352322</v>
      </c>
      <c r="M70">
        <v>4763736</v>
      </c>
      <c r="N70">
        <v>64781</v>
      </c>
      <c r="O70">
        <v>95456</v>
      </c>
      <c r="Q70">
        <v>164675</v>
      </c>
      <c r="R70">
        <v>122382</v>
      </c>
      <c r="S70">
        <v>156054</v>
      </c>
      <c r="T70">
        <v>1226046</v>
      </c>
      <c r="U70">
        <v>421519</v>
      </c>
      <c r="V70">
        <v>67564</v>
      </c>
      <c r="X70">
        <v>4811984</v>
      </c>
      <c r="Y70">
        <v>414793</v>
      </c>
      <c r="Z70">
        <v>15844242</v>
      </c>
      <c r="AA70">
        <v>1510142</v>
      </c>
      <c r="AB70">
        <v>82527</v>
      </c>
      <c r="AC70">
        <v>68179</v>
      </c>
      <c r="AD70">
        <v>124037</v>
      </c>
      <c r="AE70">
        <v>699194</v>
      </c>
      <c r="AF70">
        <v>79810</v>
      </c>
      <c r="AG70">
        <v>103892</v>
      </c>
      <c r="AH70">
        <v>1165463</v>
      </c>
      <c r="AI70">
        <v>19874</v>
      </c>
      <c r="AJ70">
        <v>424328</v>
      </c>
      <c r="AK70">
        <v>29113</v>
      </c>
      <c r="AL70">
        <v>70647</v>
      </c>
      <c r="AM70">
        <v>1420039</v>
      </c>
      <c r="AN70">
        <v>110351</v>
      </c>
      <c r="AO70">
        <v>5575964</v>
      </c>
      <c r="AP70">
        <v>138140</v>
      </c>
      <c r="AQ70">
        <v>41847</v>
      </c>
      <c r="AR70">
        <v>114179</v>
      </c>
      <c r="AS70">
        <v>8062742</v>
      </c>
      <c r="AT70">
        <v>86681</v>
      </c>
      <c r="AU70">
        <v>688139</v>
      </c>
      <c r="AV70">
        <v>726335</v>
      </c>
      <c r="AW70">
        <v>90925</v>
      </c>
      <c r="AX70">
        <v>61627</v>
      </c>
      <c r="AY70">
        <v>134500</v>
      </c>
      <c r="AZ70">
        <v>1359169</v>
      </c>
      <c r="BA70">
        <v>129125</v>
      </c>
      <c r="BB70">
        <v>51091</v>
      </c>
      <c r="BC70">
        <v>54641</v>
      </c>
      <c r="BD70">
        <v>695175</v>
      </c>
      <c r="BE70">
        <v>358956</v>
      </c>
      <c r="BF70">
        <v>6460704</v>
      </c>
      <c r="BH70">
        <v>23515</v>
      </c>
      <c r="BI70">
        <v>82412</v>
      </c>
      <c r="BJ70">
        <v>3362637</v>
      </c>
      <c r="BK70">
        <v>206576</v>
      </c>
      <c r="BL70">
        <v>2145753</v>
      </c>
      <c r="BM70">
        <v>1549273</v>
      </c>
      <c r="BN70">
        <v>2685963</v>
      </c>
      <c r="BO70">
        <v>620483</v>
      </c>
      <c r="BP70">
        <v>6530</v>
      </c>
      <c r="BQ70">
        <v>3119537</v>
      </c>
      <c r="BS70">
        <v>925119</v>
      </c>
      <c r="BT70">
        <v>572758</v>
      </c>
      <c r="BV70">
        <v>45869</v>
      </c>
    </row>
    <row r="71" spans="1:74" x14ac:dyDescent="0.3">
      <c r="A71" s="155">
        <v>254</v>
      </c>
      <c r="B71" t="s">
        <v>97</v>
      </c>
      <c r="D71">
        <v>4154540</v>
      </c>
      <c r="E71">
        <v>20008745</v>
      </c>
      <c r="G71">
        <v>2454206</v>
      </c>
      <c r="H71">
        <v>315997</v>
      </c>
      <c r="I71">
        <v>73039</v>
      </c>
      <c r="J71">
        <v>1416150</v>
      </c>
      <c r="K71">
        <v>7543019</v>
      </c>
      <c r="L71">
        <v>-290826</v>
      </c>
      <c r="M71">
        <v>812491</v>
      </c>
      <c r="N71">
        <v>762359</v>
      </c>
      <c r="O71">
        <v>1108369</v>
      </c>
      <c r="Q71">
        <v>575741</v>
      </c>
      <c r="R71">
        <v>737275</v>
      </c>
      <c r="S71">
        <v>867224</v>
      </c>
      <c r="T71">
        <v>-6579321</v>
      </c>
      <c r="U71">
        <v>478019</v>
      </c>
      <c r="V71">
        <v>1083798</v>
      </c>
      <c r="X71">
        <v>-2652489</v>
      </c>
      <c r="Y71">
        <v>1218284</v>
      </c>
      <c r="Z71">
        <v>13387874</v>
      </c>
      <c r="AA71">
        <v>11550766</v>
      </c>
      <c r="AB71">
        <v>262227</v>
      </c>
      <c r="AC71">
        <v>453236</v>
      </c>
      <c r="AD71">
        <v>386304</v>
      </c>
      <c r="AE71">
        <v>2150396</v>
      </c>
      <c r="AF71">
        <v>386920</v>
      </c>
      <c r="AG71">
        <v>-229150</v>
      </c>
      <c r="AH71">
        <v>-674515</v>
      </c>
      <c r="AI71">
        <v>539536</v>
      </c>
      <c r="AJ71">
        <v>1735269</v>
      </c>
      <c r="AK71">
        <v>620276</v>
      </c>
      <c r="AL71">
        <v>855186</v>
      </c>
      <c r="AM71">
        <v>690012</v>
      </c>
      <c r="AN71">
        <v>593755</v>
      </c>
      <c r="AO71">
        <v>8002777</v>
      </c>
      <c r="AP71">
        <v>1122608</v>
      </c>
      <c r="AQ71">
        <v>626305</v>
      </c>
      <c r="AR71">
        <v>599342</v>
      </c>
      <c r="AS71">
        <v>-27974758</v>
      </c>
      <c r="AT71">
        <v>431343</v>
      </c>
      <c r="AU71">
        <v>6560920</v>
      </c>
      <c r="AV71">
        <v>312492</v>
      </c>
      <c r="AW71">
        <v>470535</v>
      </c>
      <c r="AX71">
        <v>44754</v>
      </c>
      <c r="AY71">
        <v>444193</v>
      </c>
      <c r="AZ71">
        <v>-3698669</v>
      </c>
      <c r="BA71">
        <v>870273</v>
      </c>
      <c r="BB71">
        <v>188665</v>
      </c>
      <c r="BC71">
        <v>1323666</v>
      </c>
      <c r="BD71">
        <v>5803703</v>
      </c>
      <c r="BE71">
        <v>920706</v>
      </c>
      <c r="BF71">
        <v>-9942082</v>
      </c>
      <c r="BH71">
        <v>265574</v>
      </c>
      <c r="BI71">
        <v>452163</v>
      </c>
      <c r="BJ71">
        <v>-1749823</v>
      </c>
      <c r="BK71">
        <v>1188574</v>
      </c>
      <c r="BL71">
        <v>9382997</v>
      </c>
      <c r="BM71">
        <v>4337597</v>
      </c>
      <c r="BN71">
        <v>-1592638</v>
      </c>
      <c r="BO71">
        <v>2107252</v>
      </c>
      <c r="BP71">
        <v>60222</v>
      </c>
      <c r="BQ71">
        <v>1606599</v>
      </c>
      <c r="BS71">
        <v>-183116</v>
      </c>
      <c r="BT71">
        <v>667782</v>
      </c>
      <c r="BV71">
        <v>3220121</v>
      </c>
    </row>
    <row r="72" spans="1:74" x14ac:dyDescent="0.3">
      <c r="A72" s="155">
        <v>255</v>
      </c>
      <c r="B72" t="s">
        <v>188</v>
      </c>
      <c r="D72">
        <v>1241983</v>
      </c>
      <c r="E72">
        <v>65680632</v>
      </c>
      <c r="G72">
        <v>7072</v>
      </c>
      <c r="H72">
        <v>-134875</v>
      </c>
      <c r="I72">
        <v>10966</v>
      </c>
      <c r="J72">
        <v>47553</v>
      </c>
      <c r="K72">
        <v>502693</v>
      </c>
      <c r="L72">
        <v>21998</v>
      </c>
      <c r="M72">
        <v>694627</v>
      </c>
      <c r="N72">
        <v>91540</v>
      </c>
      <c r="O72">
        <v>182136</v>
      </c>
      <c r="Q72">
        <v>151977</v>
      </c>
      <c r="R72">
        <v>158443</v>
      </c>
      <c r="S72">
        <v>-241897</v>
      </c>
      <c r="T72">
        <v>1572797</v>
      </c>
      <c r="U72">
        <v>45509</v>
      </c>
      <c r="V72">
        <v>100126</v>
      </c>
      <c r="X72">
        <v>4343051</v>
      </c>
      <c r="Y72">
        <v>242972</v>
      </c>
      <c r="Z72">
        <v>9201841</v>
      </c>
      <c r="AA72">
        <v>5704898</v>
      </c>
      <c r="AB72">
        <v>7672</v>
      </c>
      <c r="AC72">
        <v>96246</v>
      </c>
      <c r="AD72">
        <v>-74783</v>
      </c>
      <c r="AE72">
        <v>409891</v>
      </c>
      <c r="AF72">
        <v>41621</v>
      </c>
      <c r="AG72">
        <v>8488</v>
      </c>
      <c r="AH72">
        <v>-1571161</v>
      </c>
      <c r="AI72">
        <v>16197</v>
      </c>
      <c r="AJ72">
        <v>23657</v>
      </c>
      <c r="AK72">
        <v>15932</v>
      </c>
      <c r="AL72">
        <v>66392</v>
      </c>
      <c r="AM72">
        <v>374506</v>
      </c>
      <c r="AN72">
        <v>63169</v>
      </c>
      <c r="AO72">
        <v>4404174</v>
      </c>
      <c r="AP72">
        <v>229087</v>
      </c>
      <c r="AQ72">
        <v>86172</v>
      </c>
      <c r="AR72">
        <v>102593</v>
      </c>
      <c r="AS72">
        <v>1957078</v>
      </c>
      <c r="AT72">
        <v>28007</v>
      </c>
      <c r="AU72">
        <v>750405</v>
      </c>
      <c r="AV72">
        <v>185644</v>
      </c>
      <c r="AW72">
        <v>133562</v>
      </c>
      <c r="AX72">
        <v>60193</v>
      </c>
      <c r="AY72">
        <v>25797</v>
      </c>
      <c r="AZ72">
        <v>1019721</v>
      </c>
      <c r="BA72">
        <v>209034</v>
      </c>
      <c r="BB72">
        <v>-6451</v>
      </c>
      <c r="BC72">
        <v>54681</v>
      </c>
      <c r="BD72">
        <v>924382</v>
      </c>
      <c r="BE72">
        <v>311071</v>
      </c>
      <c r="BF72">
        <v>3975225</v>
      </c>
      <c r="BH72">
        <v>16441</v>
      </c>
      <c r="BI72">
        <v>35106</v>
      </c>
      <c r="BJ72">
        <v>1220104</v>
      </c>
      <c r="BK72">
        <v>157730</v>
      </c>
      <c r="BL72">
        <v>2501885</v>
      </c>
      <c r="BM72">
        <v>0</v>
      </c>
      <c r="BN72">
        <v>1339935</v>
      </c>
      <c r="BO72">
        <v>666553</v>
      </c>
      <c r="BP72">
        <v>7224</v>
      </c>
      <c r="BQ72">
        <v>306365</v>
      </c>
      <c r="BS72">
        <v>47898</v>
      </c>
      <c r="BT72">
        <v>76961</v>
      </c>
      <c r="BV72">
        <v>232565</v>
      </c>
    </row>
    <row r="73" spans="1:74" x14ac:dyDescent="0.3">
      <c r="A73" s="155">
        <v>294</v>
      </c>
      <c r="B73" t="s">
        <v>919</v>
      </c>
      <c r="D73">
        <v>0</v>
      </c>
      <c r="E73">
        <v>0</v>
      </c>
      <c r="G73">
        <v>0</v>
      </c>
      <c r="H73">
        <v>0</v>
      </c>
      <c r="I73">
        <v>0</v>
      </c>
      <c r="J73">
        <v>0</v>
      </c>
      <c r="K73">
        <v>0</v>
      </c>
      <c r="L73">
        <v>0</v>
      </c>
      <c r="M73">
        <v>0</v>
      </c>
      <c r="N73">
        <v>0</v>
      </c>
      <c r="O73">
        <v>0</v>
      </c>
      <c r="Q73">
        <v>0</v>
      </c>
      <c r="R73">
        <v>0</v>
      </c>
      <c r="S73">
        <v>0</v>
      </c>
      <c r="T73">
        <v>0</v>
      </c>
      <c r="U73">
        <v>0</v>
      </c>
      <c r="V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H73">
        <v>0</v>
      </c>
      <c r="BI73">
        <v>0</v>
      </c>
      <c r="BJ73">
        <v>0</v>
      </c>
      <c r="BK73">
        <v>0</v>
      </c>
      <c r="BL73">
        <v>0</v>
      </c>
      <c r="BM73">
        <v>0</v>
      </c>
      <c r="BN73">
        <v>0</v>
      </c>
      <c r="BO73">
        <v>0</v>
      </c>
      <c r="BP73">
        <v>0</v>
      </c>
      <c r="BQ73">
        <v>0</v>
      </c>
      <c r="BS73">
        <v>0</v>
      </c>
      <c r="BT73">
        <v>0</v>
      </c>
      <c r="BV73">
        <v>0</v>
      </c>
    </row>
    <row r="74" spans="1:74" x14ac:dyDescent="0.3">
      <c r="A74" s="155">
        <v>327</v>
      </c>
      <c r="B74" t="s">
        <v>920</v>
      </c>
      <c r="D74">
        <v>147075</v>
      </c>
      <c r="E74">
        <v>47383098</v>
      </c>
      <c r="G74">
        <v>7275</v>
      </c>
      <c r="H74">
        <v>170615</v>
      </c>
      <c r="I74">
        <v>0</v>
      </c>
      <c r="J74">
        <v>0</v>
      </c>
      <c r="K74">
        <v>0</v>
      </c>
      <c r="L74">
        <v>120034</v>
      </c>
      <c r="M74">
        <v>1291926</v>
      </c>
      <c r="N74">
        <v>0</v>
      </c>
      <c r="O74">
        <v>0</v>
      </c>
      <c r="Q74">
        <v>0</v>
      </c>
      <c r="R74">
        <v>0</v>
      </c>
      <c r="S74">
        <v>183357</v>
      </c>
      <c r="T74">
        <v>0</v>
      </c>
      <c r="U74">
        <v>702309</v>
      </c>
      <c r="V74">
        <v>227497</v>
      </c>
      <c r="X74">
        <v>574792</v>
      </c>
      <c r="Y74">
        <v>0</v>
      </c>
      <c r="Z74">
        <v>1955212</v>
      </c>
      <c r="AA74">
        <v>0</v>
      </c>
      <c r="AB74">
        <v>21402</v>
      </c>
      <c r="AC74">
        <v>43900</v>
      </c>
      <c r="AD74">
        <v>73285</v>
      </c>
      <c r="AE74">
        <v>51151</v>
      </c>
      <c r="AF74">
        <v>3500</v>
      </c>
      <c r="AG74">
        <v>10300</v>
      </c>
      <c r="AH74">
        <v>860226</v>
      </c>
      <c r="AI74">
        <v>0</v>
      </c>
      <c r="AJ74">
        <v>0</v>
      </c>
      <c r="AK74">
        <v>0</v>
      </c>
      <c r="AL74">
        <v>1699</v>
      </c>
      <c r="AM74">
        <v>18750</v>
      </c>
      <c r="AN74">
        <v>25256</v>
      </c>
      <c r="AO74">
        <v>2278119</v>
      </c>
      <c r="AP74">
        <v>0</v>
      </c>
      <c r="AQ74">
        <v>0</v>
      </c>
      <c r="AR74">
        <v>0</v>
      </c>
      <c r="AS74">
        <v>2026173</v>
      </c>
      <c r="AT74">
        <v>31576</v>
      </c>
      <c r="AU74">
        <v>8436</v>
      </c>
      <c r="AV74">
        <v>10500</v>
      </c>
      <c r="AW74">
        <v>325346</v>
      </c>
      <c r="AX74">
        <v>0</v>
      </c>
      <c r="AY74">
        <v>0</v>
      </c>
      <c r="AZ74">
        <v>182438</v>
      </c>
      <c r="BA74">
        <v>7224</v>
      </c>
      <c r="BB74">
        <v>0</v>
      </c>
      <c r="BC74">
        <v>50</v>
      </c>
      <c r="BD74">
        <v>114950</v>
      </c>
      <c r="BE74">
        <v>55000</v>
      </c>
      <c r="BF74">
        <v>243001</v>
      </c>
      <c r="BH74">
        <v>0</v>
      </c>
      <c r="BI74">
        <v>55734</v>
      </c>
      <c r="BJ74">
        <v>10000</v>
      </c>
      <c r="BK74">
        <v>31794</v>
      </c>
      <c r="BL74">
        <v>3712759</v>
      </c>
      <c r="BM74">
        <v>0</v>
      </c>
      <c r="BN74">
        <v>2827985</v>
      </c>
      <c r="BO74">
        <v>218471</v>
      </c>
      <c r="BP74">
        <v>0</v>
      </c>
      <c r="BQ74">
        <v>0</v>
      </c>
      <c r="BS74">
        <v>38920</v>
      </c>
      <c r="BT74">
        <v>0</v>
      </c>
      <c r="BV74">
        <v>48845</v>
      </c>
    </row>
    <row r="75" spans="1:74" x14ac:dyDescent="0.3">
      <c r="A75" s="155">
        <v>328</v>
      </c>
      <c r="B75" t="s">
        <v>306</v>
      </c>
      <c r="D75">
        <v>2941418</v>
      </c>
      <c r="E75">
        <v>694151747</v>
      </c>
      <c r="G75">
        <v>461259</v>
      </c>
      <c r="H75">
        <v>0</v>
      </c>
      <c r="I75">
        <v>0</v>
      </c>
      <c r="J75">
        <v>0</v>
      </c>
      <c r="K75">
        <v>0</v>
      </c>
      <c r="L75">
        <v>8294086</v>
      </c>
      <c r="M75">
        <v>1434243</v>
      </c>
      <c r="N75">
        <v>133712</v>
      </c>
      <c r="O75">
        <v>400172</v>
      </c>
      <c r="Q75">
        <v>0</v>
      </c>
      <c r="R75">
        <v>0</v>
      </c>
      <c r="S75">
        <v>220070</v>
      </c>
      <c r="T75">
        <v>0</v>
      </c>
      <c r="U75">
        <v>2919430</v>
      </c>
      <c r="V75">
        <v>0</v>
      </c>
      <c r="X75">
        <v>0</v>
      </c>
      <c r="Y75">
        <v>0</v>
      </c>
      <c r="Z75">
        <v>172208</v>
      </c>
      <c r="AA75">
        <v>0</v>
      </c>
      <c r="AB75">
        <v>0</v>
      </c>
      <c r="AC75">
        <v>3598879</v>
      </c>
      <c r="AD75">
        <v>0</v>
      </c>
      <c r="AE75">
        <v>0</v>
      </c>
      <c r="AF75">
        <v>0</v>
      </c>
      <c r="AG75">
        <v>0</v>
      </c>
      <c r="AH75">
        <v>19113783</v>
      </c>
      <c r="AI75">
        <v>0</v>
      </c>
      <c r="AJ75">
        <v>0</v>
      </c>
      <c r="AK75">
        <v>0</v>
      </c>
      <c r="AL75">
        <v>0</v>
      </c>
      <c r="AM75">
        <v>2656550</v>
      </c>
      <c r="AN75">
        <v>121146</v>
      </c>
      <c r="AO75">
        <v>21456674</v>
      </c>
      <c r="AP75">
        <v>256446</v>
      </c>
      <c r="AQ75">
        <v>0</v>
      </c>
      <c r="AR75">
        <v>0</v>
      </c>
      <c r="AS75">
        <v>16564572</v>
      </c>
      <c r="AT75">
        <v>954574</v>
      </c>
      <c r="AU75">
        <v>0</v>
      </c>
      <c r="AV75">
        <v>0</v>
      </c>
      <c r="AW75">
        <v>38012</v>
      </c>
      <c r="AX75">
        <v>0</v>
      </c>
      <c r="AY75">
        <v>0</v>
      </c>
      <c r="AZ75">
        <v>90746</v>
      </c>
      <c r="BA75">
        <v>0</v>
      </c>
      <c r="BB75">
        <v>0</v>
      </c>
      <c r="BC75">
        <v>0</v>
      </c>
      <c r="BD75">
        <v>183071</v>
      </c>
      <c r="BE75">
        <v>0</v>
      </c>
      <c r="BF75">
        <v>56130971</v>
      </c>
      <c r="BH75">
        <v>0</v>
      </c>
      <c r="BI75">
        <v>0</v>
      </c>
      <c r="BJ75">
        <v>6476257</v>
      </c>
      <c r="BK75">
        <v>905940</v>
      </c>
      <c r="BL75">
        <v>5055903</v>
      </c>
      <c r="BM75">
        <v>0</v>
      </c>
      <c r="BN75">
        <v>1790767</v>
      </c>
      <c r="BO75">
        <v>5089020</v>
      </c>
      <c r="BP75">
        <v>0</v>
      </c>
      <c r="BQ75">
        <v>0</v>
      </c>
      <c r="BS75">
        <v>97929</v>
      </c>
      <c r="BT75">
        <v>0</v>
      </c>
      <c r="BV75">
        <v>391278</v>
      </c>
    </row>
    <row r="76" spans="1:74" x14ac:dyDescent="0.3">
      <c r="A76" s="155">
        <v>331</v>
      </c>
      <c r="B76" t="s">
        <v>238</v>
      </c>
      <c r="D76">
        <v>269480</v>
      </c>
      <c r="E76">
        <v>35562225</v>
      </c>
      <c r="G76">
        <v>171786</v>
      </c>
      <c r="H76">
        <v>0</v>
      </c>
      <c r="I76">
        <v>0</v>
      </c>
      <c r="J76">
        <v>0</v>
      </c>
      <c r="K76">
        <v>0</v>
      </c>
      <c r="L76">
        <v>161259</v>
      </c>
      <c r="M76">
        <v>1382064</v>
      </c>
      <c r="N76">
        <v>0</v>
      </c>
      <c r="O76">
        <v>4570</v>
      </c>
      <c r="Q76">
        <v>0</v>
      </c>
      <c r="R76">
        <v>0</v>
      </c>
      <c r="S76">
        <v>235000</v>
      </c>
      <c r="T76">
        <v>0</v>
      </c>
      <c r="U76">
        <v>67137</v>
      </c>
      <c r="V76">
        <v>90002</v>
      </c>
      <c r="X76">
        <v>0</v>
      </c>
      <c r="Y76">
        <v>0</v>
      </c>
      <c r="Z76">
        <v>1411104</v>
      </c>
      <c r="AA76">
        <v>0</v>
      </c>
      <c r="AB76">
        <v>31441</v>
      </c>
      <c r="AC76">
        <v>48971</v>
      </c>
      <c r="AD76">
        <v>1441031</v>
      </c>
      <c r="AE76">
        <v>87526</v>
      </c>
      <c r="AF76">
        <v>50000</v>
      </c>
      <c r="AG76">
        <v>27000</v>
      </c>
      <c r="AH76">
        <v>464331</v>
      </c>
      <c r="AI76">
        <v>0</v>
      </c>
      <c r="AJ76">
        <v>0</v>
      </c>
      <c r="AK76">
        <v>0</v>
      </c>
      <c r="AL76">
        <v>51618</v>
      </c>
      <c r="AM76">
        <v>127660</v>
      </c>
      <c r="AN76">
        <v>0</v>
      </c>
      <c r="AO76">
        <v>3243799</v>
      </c>
      <c r="AP76">
        <v>150601</v>
      </c>
      <c r="AQ76">
        <v>0</v>
      </c>
      <c r="AR76">
        <v>0</v>
      </c>
      <c r="AS76">
        <v>2416975</v>
      </c>
      <c r="AT76">
        <v>18058</v>
      </c>
      <c r="AU76">
        <v>82701</v>
      </c>
      <c r="AV76">
        <v>43000</v>
      </c>
      <c r="AW76">
        <v>42962</v>
      </c>
      <c r="AX76">
        <v>0</v>
      </c>
      <c r="AY76">
        <v>0</v>
      </c>
      <c r="AZ76">
        <v>111583</v>
      </c>
      <c r="BA76">
        <v>60841</v>
      </c>
      <c r="BB76">
        <v>0</v>
      </c>
      <c r="BC76">
        <v>0</v>
      </c>
      <c r="BD76">
        <v>39588</v>
      </c>
      <c r="BE76">
        <v>107771</v>
      </c>
      <c r="BF76">
        <v>3743395</v>
      </c>
      <c r="BH76">
        <v>0</v>
      </c>
      <c r="BI76">
        <v>0</v>
      </c>
      <c r="BJ76">
        <v>562383</v>
      </c>
      <c r="BK76">
        <v>123789</v>
      </c>
      <c r="BL76">
        <v>371731</v>
      </c>
      <c r="BM76">
        <v>0</v>
      </c>
      <c r="BN76">
        <v>103401</v>
      </c>
      <c r="BO76">
        <v>34270</v>
      </c>
      <c r="BP76">
        <v>0</v>
      </c>
      <c r="BQ76">
        <v>0</v>
      </c>
      <c r="BS76">
        <v>515679</v>
      </c>
      <c r="BT76">
        <v>21872</v>
      </c>
      <c r="BV76">
        <v>35691</v>
      </c>
    </row>
    <row r="77" spans="1:74" x14ac:dyDescent="0.3">
      <c r="A77" s="155">
        <v>332</v>
      </c>
      <c r="B77" t="s">
        <v>239</v>
      </c>
      <c r="D77">
        <v>1959953</v>
      </c>
      <c r="E77">
        <v>149386560</v>
      </c>
      <c r="G77">
        <v>398965</v>
      </c>
      <c r="H77">
        <v>0</v>
      </c>
      <c r="I77">
        <v>0</v>
      </c>
      <c r="J77">
        <v>0</v>
      </c>
      <c r="K77">
        <v>0</v>
      </c>
      <c r="L77">
        <v>6100278</v>
      </c>
      <c r="M77">
        <v>248097</v>
      </c>
      <c r="N77">
        <v>0</v>
      </c>
      <c r="O77">
        <v>407572</v>
      </c>
      <c r="Q77">
        <v>0</v>
      </c>
      <c r="R77">
        <v>0</v>
      </c>
      <c r="S77">
        <v>41192</v>
      </c>
      <c r="T77">
        <v>0</v>
      </c>
      <c r="U77">
        <v>1759455</v>
      </c>
      <c r="V77">
        <v>114856</v>
      </c>
      <c r="X77">
        <v>294526</v>
      </c>
      <c r="Y77">
        <v>0</v>
      </c>
      <c r="Z77">
        <v>4332997</v>
      </c>
      <c r="AA77">
        <v>0</v>
      </c>
      <c r="AB77">
        <v>0</v>
      </c>
      <c r="AC77">
        <v>427411</v>
      </c>
      <c r="AD77">
        <v>0</v>
      </c>
      <c r="AE77">
        <v>23442</v>
      </c>
      <c r="AF77">
        <v>239739</v>
      </c>
      <c r="AG77">
        <v>0</v>
      </c>
      <c r="AH77">
        <v>2360781</v>
      </c>
      <c r="AI77">
        <v>0</v>
      </c>
      <c r="AJ77">
        <v>0</v>
      </c>
      <c r="AK77">
        <v>0</v>
      </c>
      <c r="AL77">
        <v>122385</v>
      </c>
      <c r="AM77">
        <v>44301</v>
      </c>
      <c r="AN77">
        <v>181941</v>
      </c>
      <c r="AO77">
        <v>15735306</v>
      </c>
      <c r="AP77">
        <v>328358</v>
      </c>
      <c r="AQ77">
        <v>0</v>
      </c>
      <c r="AR77">
        <v>0</v>
      </c>
      <c r="AS77">
        <v>14509394</v>
      </c>
      <c r="AT77">
        <v>1139929</v>
      </c>
      <c r="AU77">
        <v>118793</v>
      </c>
      <c r="AV77">
        <v>111404</v>
      </c>
      <c r="AW77">
        <v>1524306</v>
      </c>
      <c r="AX77">
        <v>0</v>
      </c>
      <c r="AY77">
        <v>0</v>
      </c>
      <c r="AZ77">
        <v>807775</v>
      </c>
      <c r="BA77">
        <v>19863</v>
      </c>
      <c r="BB77">
        <v>0</v>
      </c>
      <c r="BC77">
        <v>34850</v>
      </c>
      <c r="BD77">
        <v>540624</v>
      </c>
      <c r="BE77">
        <v>193575</v>
      </c>
      <c r="BF77">
        <v>5102945</v>
      </c>
      <c r="BH77">
        <v>0</v>
      </c>
      <c r="BI77">
        <v>0</v>
      </c>
      <c r="BJ77">
        <v>2528781</v>
      </c>
      <c r="BK77">
        <v>382591</v>
      </c>
      <c r="BL77">
        <v>2337138</v>
      </c>
      <c r="BM77">
        <v>0</v>
      </c>
      <c r="BN77">
        <v>1756043</v>
      </c>
      <c r="BO77">
        <v>2116812</v>
      </c>
      <c r="BP77">
        <v>0</v>
      </c>
      <c r="BQ77">
        <v>0</v>
      </c>
      <c r="BS77">
        <v>284645</v>
      </c>
      <c r="BT77">
        <v>0</v>
      </c>
      <c r="BV77">
        <v>594241</v>
      </c>
    </row>
    <row r="78" spans="1:74" x14ac:dyDescent="0.3">
      <c r="A78" s="155">
        <v>333</v>
      </c>
      <c r="B78" t="s">
        <v>176</v>
      </c>
      <c r="D78">
        <v>8046832</v>
      </c>
      <c r="E78">
        <v>568519071</v>
      </c>
      <c r="G78">
        <v>5451457</v>
      </c>
      <c r="H78">
        <v>782223</v>
      </c>
      <c r="I78">
        <v>71858</v>
      </c>
      <c r="J78">
        <v>1408379</v>
      </c>
      <c r="K78">
        <v>7607748</v>
      </c>
      <c r="L78">
        <v>2132587</v>
      </c>
      <c r="M78">
        <v>12714532</v>
      </c>
      <c r="N78">
        <v>764433</v>
      </c>
      <c r="O78">
        <v>972806</v>
      </c>
      <c r="Q78">
        <v>577861</v>
      </c>
      <c r="R78">
        <v>1049992</v>
      </c>
      <c r="S78">
        <v>1091560</v>
      </c>
      <c r="T78">
        <v>4371954</v>
      </c>
      <c r="U78">
        <v>935379</v>
      </c>
      <c r="V78">
        <v>1098391</v>
      </c>
      <c r="X78">
        <v>6522436</v>
      </c>
      <c r="Y78">
        <v>1645584</v>
      </c>
      <c r="Z78">
        <v>36891615</v>
      </c>
      <c r="AA78">
        <v>14973036</v>
      </c>
      <c r="AB78">
        <v>293007</v>
      </c>
      <c r="AC78">
        <v>405944</v>
      </c>
      <c r="AD78">
        <v>987141</v>
      </c>
      <c r="AE78">
        <v>2281557</v>
      </c>
      <c r="AF78">
        <v>407702</v>
      </c>
      <c r="AG78">
        <v>452495</v>
      </c>
      <c r="AH78">
        <v>2742757</v>
      </c>
      <c r="AI78">
        <v>540222</v>
      </c>
      <c r="AJ78">
        <v>3613167</v>
      </c>
      <c r="AK78">
        <v>621802</v>
      </c>
      <c r="AL78">
        <v>1026023</v>
      </c>
      <c r="AM78">
        <v>2271522</v>
      </c>
      <c r="AN78">
        <v>634416</v>
      </c>
      <c r="AO78">
        <v>26268330</v>
      </c>
      <c r="AP78">
        <v>1264208</v>
      </c>
      <c r="AQ78">
        <v>623757</v>
      </c>
      <c r="AR78">
        <v>599029</v>
      </c>
      <c r="AS78">
        <v>21864855</v>
      </c>
      <c r="AT78">
        <v>398514</v>
      </c>
      <c r="AU78">
        <v>6665094</v>
      </c>
      <c r="AV78">
        <v>526159</v>
      </c>
      <c r="AW78">
        <v>403912</v>
      </c>
      <c r="AX78">
        <v>244532</v>
      </c>
      <c r="AY78">
        <v>438772</v>
      </c>
      <c r="AZ78">
        <v>3740156</v>
      </c>
      <c r="BA78">
        <v>1228338</v>
      </c>
      <c r="BB78">
        <v>189303</v>
      </c>
      <c r="BC78">
        <v>1361985</v>
      </c>
      <c r="BD78">
        <v>7337292</v>
      </c>
      <c r="BE78">
        <v>1195448</v>
      </c>
      <c r="BF78">
        <v>11173641</v>
      </c>
      <c r="BH78">
        <v>272714</v>
      </c>
      <c r="BI78">
        <v>457244</v>
      </c>
      <c r="BJ78">
        <v>13758758</v>
      </c>
      <c r="BK78">
        <v>1503830</v>
      </c>
      <c r="BL78">
        <v>14530421</v>
      </c>
      <c r="BM78">
        <v>7898057</v>
      </c>
      <c r="BN78">
        <v>5163389</v>
      </c>
      <c r="BO78">
        <v>2487692</v>
      </c>
      <c r="BP78">
        <v>43431</v>
      </c>
      <c r="BQ78">
        <v>4710415</v>
      </c>
      <c r="BS78">
        <v>2723215</v>
      </c>
      <c r="BT78">
        <v>1107035</v>
      </c>
      <c r="BV78">
        <v>3549248</v>
      </c>
    </row>
    <row r="79" spans="1:74" x14ac:dyDescent="0.3">
      <c r="A79" s="155">
        <v>334</v>
      </c>
      <c r="B79" t="s">
        <v>261</v>
      </c>
      <c r="D79">
        <v>10904031</v>
      </c>
      <c r="E79">
        <v>1753471857</v>
      </c>
      <c r="G79">
        <v>18508326</v>
      </c>
      <c r="H79">
        <v>5150594</v>
      </c>
      <c r="I79">
        <v>15918</v>
      </c>
      <c r="J79">
        <v>380716</v>
      </c>
      <c r="K79">
        <v>5485997</v>
      </c>
      <c r="L79">
        <v>7159329</v>
      </c>
      <c r="M79">
        <v>77770301</v>
      </c>
      <c r="N79">
        <v>141981</v>
      </c>
      <c r="O79">
        <v>1187649</v>
      </c>
      <c r="Q79">
        <v>1068377</v>
      </c>
      <c r="R79">
        <v>1537642</v>
      </c>
      <c r="S79">
        <v>5739466</v>
      </c>
      <c r="T79">
        <v>36350419</v>
      </c>
      <c r="U79">
        <v>5407857</v>
      </c>
      <c r="V79">
        <v>567037</v>
      </c>
      <c r="X79">
        <v>37309972</v>
      </c>
      <c r="Y79">
        <v>2906023</v>
      </c>
      <c r="Z79">
        <v>221463940</v>
      </c>
      <c r="AA79">
        <v>39282042</v>
      </c>
      <c r="AB79">
        <v>91672</v>
      </c>
      <c r="AC79">
        <v>1344846</v>
      </c>
      <c r="AD79">
        <v>3816373</v>
      </c>
      <c r="AE79">
        <v>2453465</v>
      </c>
      <c r="AF79">
        <v>902899</v>
      </c>
      <c r="AG79">
        <v>1854153</v>
      </c>
      <c r="AH79">
        <v>19590616</v>
      </c>
      <c r="AI79">
        <v>128854</v>
      </c>
      <c r="AJ79">
        <v>9349628</v>
      </c>
      <c r="AK79">
        <v>128131</v>
      </c>
      <c r="AL79">
        <v>2063100</v>
      </c>
      <c r="AM79">
        <v>10873216</v>
      </c>
      <c r="AN79">
        <v>941957</v>
      </c>
      <c r="AO79">
        <v>95051958</v>
      </c>
      <c r="AP79">
        <v>3055103</v>
      </c>
      <c r="AQ79">
        <v>406781</v>
      </c>
      <c r="AR79">
        <v>476209</v>
      </c>
      <c r="AS79">
        <v>88540141</v>
      </c>
      <c r="AT79">
        <v>763334</v>
      </c>
      <c r="AU79">
        <v>5367236</v>
      </c>
      <c r="AV79">
        <v>6467838</v>
      </c>
      <c r="AW79">
        <v>561470</v>
      </c>
      <c r="AX79">
        <v>1752788</v>
      </c>
      <c r="AY79">
        <v>325392</v>
      </c>
      <c r="AZ79">
        <v>17412838</v>
      </c>
      <c r="BA79">
        <v>4817779</v>
      </c>
      <c r="BB79">
        <v>197781</v>
      </c>
      <c r="BC79">
        <v>345205</v>
      </c>
      <c r="BD79">
        <v>13340308</v>
      </c>
      <c r="BE79">
        <v>1519903</v>
      </c>
      <c r="BF79">
        <v>78213391</v>
      </c>
      <c r="BH79">
        <v>408977</v>
      </c>
      <c r="BI79">
        <v>333619</v>
      </c>
      <c r="BJ79">
        <v>81812490</v>
      </c>
      <c r="BK79">
        <v>2411888</v>
      </c>
      <c r="BL79">
        <v>55962773</v>
      </c>
      <c r="BM79">
        <v>0</v>
      </c>
      <c r="BN79">
        <v>19660504</v>
      </c>
      <c r="BO79">
        <v>2114836</v>
      </c>
      <c r="BP79">
        <v>24000</v>
      </c>
      <c r="BQ79">
        <v>9007212</v>
      </c>
      <c r="BS79">
        <v>5991089</v>
      </c>
      <c r="BT79">
        <v>2940057</v>
      </c>
      <c r="BV79">
        <v>5612399</v>
      </c>
    </row>
    <row r="80" spans="1:74" x14ac:dyDescent="0.3">
      <c r="A80" s="155">
        <v>335</v>
      </c>
      <c r="B80" t="s">
        <v>109</v>
      </c>
      <c r="D80">
        <v>0</v>
      </c>
      <c r="E80">
        <v>0</v>
      </c>
      <c r="G80">
        <v>0</v>
      </c>
      <c r="H80">
        <v>0</v>
      </c>
      <c r="I80">
        <v>0</v>
      </c>
      <c r="J80">
        <v>0</v>
      </c>
      <c r="K80">
        <v>0</v>
      </c>
      <c r="L80">
        <v>0</v>
      </c>
      <c r="M80">
        <v>54016</v>
      </c>
      <c r="N80">
        <v>0</v>
      </c>
      <c r="O80">
        <v>0</v>
      </c>
      <c r="Q80">
        <v>0</v>
      </c>
      <c r="R80">
        <v>0</v>
      </c>
      <c r="S80">
        <v>3240</v>
      </c>
      <c r="T80">
        <v>0</v>
      </c>
      <c r="U80">
        <v>0</v>
      </c>
      <c r="V80">
        <v>0</v>
      </c>
      <c r="X80">
        <v>0</v>
      </c>
      <c r="Y80">
        <v>0</v>
      </c>
      <c r="Z80">
        <v>0</v>
      </c>
      <c r="AA80">
        <v>0</v>
      </c>
      <c r="AB80">
        <v>0</v>
      </c>
      <c r="AC80">
        <v>0</v>
      </c>
      <c r="AD80">
        <v>0</v>
      </c>
      <c r="AE80">
        <v>0</v>
      </c>
      <c r="AF80">
        <v>0</v>
      </c>
      <c r="AG80">
        <v>0</v>
      </c>
      <c r="AH80">
        <v>46797</v>
      </c>
      <c r="AI80">
        <v>0</v>
      </c>
      <c r="AJ80">
        <v>0</v>
      </c>
      <c r="AK80">
        <v>0</v>
      </c>
      <c r="AL80">
        <v>0</v>
      </c>
      <c r="AM80">
        <v>0</v>
      </c>
      <c r="AN80">
        <v>0</v>
      </c>
      <c r="AO80">
        <v>0</v>
      </c>
      <c r="AP80">
        <v>0</v>
      </c>
      <c r="AQ80">
        <v>0</v>
      </c>
      <c r="AR80">
        <v>0</v>
      </c>
      <c r="AS80">
        <v>0</v>
      </c>
      <c r="AT80">
        <v>0</v>
      </c>
      <c r="AU80">
        <v>0</v>
      </c>
      <c r="AV80">
        <v>0</v>
      </c>
      <c r="AW80">
        <v>0</v>
      </c>
      <c r="AX80">
        <v>33750</v>
      </c>
      <c r="AY80">
        <v>0</v>
      </c>
      <c r="AZ80">
        <v>0</v>
      </c>
      <c r="BA80">
        <v>0</v>
      </c>
      <c r="BB80">
        <v>0</v>
      </c>
      <c r="BC80">
        <v>0</v>
      </c>
      <c r="BD80">
        <v>0</v>
      </c>
      <c r="BE80">
        <v>0</v>
      </c>
      <c r="BF80">
        <v>0</v>
      </c>
      <c r="BH80">
        <v>0</v>
      </c>
      <c r="BI80">
        <v>0</v>
      </c>
      <c r="BJ80">
        <v>0</v>
      </c>
      <c r="BK80">
        <v>0</v>
      </c>
      <c r="BL80">
        <v>0</v>
      </c>
      <c r="BM80">
        <v>0</v>
      </c>
      <c r="BN80">
        <v>0</v>
      </c>
      <c r="BO80">
        <v>0</v>
      </c>
      <c r="BP80">
        <v>0</v>
      </c>
      <c r="BQ80">
        <v>0</v>
      </c>
      <c r="BS80">
        <v>0</v>
      </c>
      <c r="BT80">
        <v>0</v>
      </c>
      <c r="BV80">
        <v>0</v>
      </c>
    </row>
    <row r="81" spans="1:74" x14ac:dyDescent="0.3">
      <c r="A81" s="155">
        <v>336</v>
      </c>
      <c r="B81" t="s">
        <v>921</v>
      </c>
      <c r="D81">
        <v>442379</v>
      </c>
      <c r="E81">
        <v>153718304</v>
      </c>
      <c r="G81">
        <v>283387</v>
      </c>
      <c r="H81">
        <v>64033</v>
      </c>
      <c r="I81">
        <v>0</v>
      </c>
      <c r="J81">
        <v>509</v>
      </c>
      <c r="K81">
        <v>14627</v>
      </c>
      <c r="L81">
        <v>499273</v>
      </c>
      <c r="M81">
        <v>1528604</v>
      </c>
      <c r="N81">
        <v>5950</v>
      </c>
      <c r="O81">
        <v>26062</v>
      </c>
      <c r="Q81">
        <v>5890</v>
      </c>
      <c r="R81">
        <v>62873</v>
      </c>
      <c r="S81">
        <v>37462</v>
      </c>
      <c r="T81">
        <v>1716207</v>
      </c>
      <c r="U81">
        <v>184627</v>
      </c>
      <c r="V81">
        <v>1592</v>
      </c>
      <c r="X81">
        <v>498635</v>
      </c>
      <c r="Y81">
        <v>241630</v>
      </c>
      <c r="Z81">
        <v>10011300</v>
      </c>
      <c r="AA81">
        <v>433151</v>
      </c>
      <c r="AB81">
        <v>36168</v>
      </c>
      <c r="AC81">
        <v>15168</v>
      </c>
      <c r="AD81">
        <v>34949</v>
      </c>
      <c r="AE81">
        <v>32249</v>
      </c>
      <c r="AF81">
        <v>30915</v>
      </c>
      <c r="AG81">
        <v>79983</v>
      </c>
      <c r="AH81">
        <v>957961</v>
      </c>
      <c r="AI81">
        <v>4759</v>
      </c>
      <c r="AJ81">
        <v>337395</v>
      </c>
      <c r="AK81">
        <v>5902</v>
      </c>
      <c r="AL81">
        <v>122144</v>
      </c>
      <c r="AM81">
        <v>506081</v>
      </c>
      <c r="AN81">
        <v>24394</v>
      </c>
      <c r="AO81">
        <v>5306141</v>
      </c>
      <c r="AP81">
        <v>63867</v>
      </c>
      <c r="AQ81">
        <v>340</v>
      </c>
      <c r="AR81">
        <v>10817</v>
      </c>
      <c r="AS81">
        <v>3953709</v>
      </c>
      <c r="AT81">
        <v>14641</v>
      </c>
      <c r="AU81">
        <v>51455</v>
      </c>
      <c r="AV81">
        <v>18833</v>
      </c>
      <c r="AW81">
        <v>46588</v>
      </c>
      <c r="AX81">
        <v>37268</v>
      </c>
      <c r="AY81">
        <v>12795</v>
      </c>
      <c r="AZ81">
        <v>544752</v>
      </c>
      <c r="BA81">
        <v>244078</v>
      </c>
      <c r="BB81">
        <v>4007</v>
      </c>
      <c r="BC81">
        <v>19162</v>
      </c>
      <c r="BD81">
        <v>714923</v>
      </c>
      <c r="BE81">
        <v>158640</v>
      </c>
      <c r="BF81">
        <v>3366728</v>
      </c>
      <c r="BH81">
        <v>9814</v>
      </c>
      <c r="BI81">
        <v>6131</v>
      </c>
      <c r="BJ81">
        <v>1317790</v>
      </c>
      <c r="BK81">
        <v>223313</v>
      </c>
      <c r="BL81">
        <v>2210859</v>
      </c>
      <c r="BM81">
        <v>523386</v>
      </c>
      <c r="BN81">
        <v>759817</v>
      </c>
      <c r="BO81">
        <v>52314</v>
      </c>
      <c r="BP81">
        <v>3235</v>
      </c>
      <c r="BQ81">
        <v>3010354</v>
      </c>
      <c r="BS81">
        <v>428670</v>
      </c>
      <c r="BT81">
        <v>70933</v>
      </c>
      <c r="BV81">
        <v>200978</v>
      </c>
    </row>
    <row r="82" spans="1:74" x14ac:dyDescent="0.3">
      <c r="A82" s="155">
        <v>337</v>
      </c>
      <c r="B82" t="s">
        <v>245</v>
      </c>
      <c r="D82">
        <v>1004722</v>
      </c>
      <c r="E82">
        <v>603985652</v>
      </c>
      <c r="G82">
        <v>957378</v>
      </c>
      <c r="H82">
        <v>116900</v>
      </c>
      <c r="I82">
        <v>0</v>
      </c>
      <c r="J82">
        <v>0</v>
      </c>
      <c r="K82">
        <v>0</v>
      </c>
      <c r="L82">
        <v>133984</v>
      </c>
      <c r="M82">
        <v>6256416</v>
      </c>
      <c r="N82">
        <v>0</v>
      </c>
      <c r="O82">
        <v>95225</v>
      </c>
      <c r="Q82">
        <v>0</v>
      </c>
      <c r="R82">
        <v>113271</v>
      </c>
      <c r="S82">
        <v>0</v>
      </c>
      <c r="T82">
        <v>0</v>
      </c>
      <c r="U82">
        <v>1076697</v>
      </c>
      <c r="V82">
        <v>0</v>
      </c>
      <c r="X82">
        <v>6166698</v>
      </c>
      <c r="Y82">
        <v>503577</v>
      </c>
      <c r="Z82">
        <v>44594560</v>
      </c>
      <c r="AA82">
        <v>4342000</v>
      </c>
      <c r="AB82">
        <v>0</v>
      </c>
      <c r="AC82">
        <v>0</v>
      </c>
      <c r="AD82">
        <v>0</v>
      </c>
      <c r="AE82">
        <v>16403</v>
      </c>
      <c r="AF82">
        <v>197080</v>
      </c>
      <c r="AG82">
        <v>71673</v>
      </c>
      <c r="AH82">
        <v>3072385</v>
      </c>
      <c r="AI82">
        <v>0</v>
      </c>
      <c r="AJ82">
        <v>0</v>
      </c>
      <c r="AK82">
        <v>0</v>
      </c>
      <c r="AL82">
        <v>831934</v>
      </c>
      <c r="AM82">
        <v>358156</v>
      </c>
      <c r="AN82">
        <v>0</v>
      </c>
      <c r="AO82">
        <v>7883494</v>
      </c>
      <c r="AP82">
        <v>327870</v>
      </c>
      <c r="AQ82">
        <v>0</v>
      </c>
      <c r="AR82">
        <v>283128</v>
      </c>
      <c r="AS82">
        <v>12432128</v>
      </c>
      <c r="AT82">
        <v>24076</v>
      </c>
      <c r="AU82">
        <v>0</v>
      </c>
      <c r="AV82">
        <v>0</v>
      </c>
      <c r="AW82">
        <v>0</v>
      </c>
      <c r="AX82">
        <v>0</v>
      </c>
      <c r="AY82">
        <v>0</v>
      </c>
      <c r="AZ82">
        <v>1803234</v>
      </c>
      <c r="BA82">
        <v>928125</v>
      </c>
      <c r="BB82">
        <v>0</v>
      </c>
      <c r="BC82">
        <v>0</v>
      </c>
      <c r="BD82">
        <v>4728023</v>
      </c>
      <c r="BE82">
        <v>264678</v>
      </c>
      <c r="BF82">
        <v>15623350</v>
      </c>
      <c r="BH82">
        <v>0</v>
      </c>
      <c r="BI82">
        <v>0</v>
      </c>
      <c r="BJ82">
        <v>7588150</v>
      </c>
      <c r="BK82">
        <v>0</v>
      </c>
      <c r="BL82">
        <v>7940748</v>
      </c>
      <c r="BM82">
        <v>0</v>
      </c>
      <c r="BN82">
        <v>2015301</v>
      </c>
      <c r="BO82">
        <v>0</v>
      </c>
      <c r="BP82">
        <v>0</v>
      </c>
      <c r="BQ82">
        <v>2909150</v>
      </c>
      <c r="BS82">
        <v>0</v>
      </c>
      <c r="BT82">
        <v>600097</v>
      </c>
      <c r="BV82">
        <v>174353</v>
      </c>
    </row>
    <row r="83" spans="1:74" x14ac:dyDescent="0.3">
      <c r="A83" s="155">
        <v>338</v>
      </c>
      <c r="B83" t="s">
        <v>108</v>
      </c>
      <c r="D83">
        <v>5660067</v>
      </c>
      <c r="E83">
        <v>1100790091</v>
      </c>
      <c r="G83">
        <v>5181689</v>
      </c>
      <c r="H83">
        <v>1122626</v>
      </c>
      <c r="I83">
        <v>0</v>
      </c>
      <c r="J83">
        <v>509</v>
      </c>
      <c r="K83">
        <v>74627</v>
      </c>
      <c r="L83">
        <v>5631443</v>
      </c>
      <c r="M83">
        <v>21530790</v>
      </c>
      <c r="N83">
        <v>5950</v>
      </c>
      <c r="O83">
        <v>187090</v>
      </c>
      <c r="Q83">
        <v>7781</v>
      </c>
      <c r="R83">
        <v>663788</v>
      </c>
      <c r="S83">
        <v>726507</v>
      </c>
      <c r="T83">
        <v>28486829</v>
      </c>
      <c r="U83">
        <v>1578486</v>
      </c>
      <c r="V83">
        <v>73764</v>
      </c>
      <c r="X83">
        <v>14768185</v>
      </c>
      <c r="Y83">
        <v>1175449</v>
      </c>
      <c r="Z83">
        <v>127483930</v>
      </c>
      <c r="AA83">
        <v>9501811</v>
      </c>
      <c r="AB83">
        <v>36168</v>
      </c>
      <c r="AC83">
        <v>61095</v>
      </c>
      <c r="AD83">
        <v>916024</v>
      </c>
      <c r="AE83">
        <v>130191</v>
      </c>
      <c r="AF83">
        <v>222006</v>
      </c>
      <c r="AG83">
        <v>1170860</v>
      </c>
      <c r="AH83">
        <v>8885536</v>
      </c>
      <c r="AI83">
        <v>4759</v>
      </c>
      <c r="AJ83">
        <v>2968642</v>
      </c>
      <c r="AK83">
        <v>5902</v>
      </c>
      <c r="AL83">
        <v>1059833</v>
      </c>
      <c r="AM83">
        <v>2394466</v>
      </c>
      <c r="AN83">
        <v>66053</v>
      </c>
      <c r="AO83">
        <v>37479965</v>
      </c>
      <c r="AP83">
        <v>592123</v>
      </c>
      <c r="AQ83">
        <v>340</v>
      </c>
      <c r="AR83">
        <v>287518</v>
      </c>
      <c r="AS83">
        <v>75990919</v>
      </c>
      <c r="AT83">
        <v>26769</v>
      </c>
      <c r="AU83">
        <v>274226</v>
      </c>
      <c r="AV83">
        <v>526106</v>
      </c>
      <c r="AW83">
        <v>293028</v>
      </c>
      <c r="AX83">
        <v>214445</v>
      </c>
      <c r="AY83">
        <v>12795</v>
      </c>
      <c r="AZ83">
        <v>11441772</v>
      </c>
      <c r="BA83">
        <v>1618269</v>
      </c>
      <c r="BB83">
        <v>4007</v>
      </c>
      <c r="BC83">
        <v>69190</v>
      </c>
      <c r="BD83">
        <v>5471554</v>
      </c>
      <c r="BE83">
        <v>799350</v>
      </c>
      <c r="BF83">
        <v>44343148</v>
      </c>
      <c r="BH83">
        <v>23041</v>
      </c>
      <c r="BI83">
        <v>6131</v>
      </c>
      <c r="BJ83">
        <v>26086464</v>
      </c>
      <c r="BK83">
        <v>550912</v>
      </c>
      <c r="BL83">
        <v>16701658</v>
      </c>
      <c r="BM83">
        <v>4405935</v>
      </c>
      <c r="BN83">
        <v>9210946</v>
      </c>
      <c r="BO83">
        <v>283114</v>
      </c>
      <c r="BP83">
        <v>3235</v>
      </c>
      <c r="BQ83">
        <v>3883416</v>
      </c>
      <c r="BS83">
        <v>3872622</v>
      </c>
      <c r="BT83">
        <v>1240117</v>
      </c>
      <c r="BV83">
        <v>1492440</v>
      </c>
    </row>
    <row r="84" spans="1:74" x14ac:dyDescent="0.3">
      <c r="A84" s="155">
        <v>339</v>
      </c>
      <c r="B84" t="s">
        <v>181</v>
      </c>
      <c r="D84">
        <v>669554</v>
      </c>
      <c r="E84">
        <v>39294669</v>
      </c>
      <c r="G84">
        <v>456707</v>
      </c>
      <c r="H84">
        <v>221104</v>
      </c>
      <c r="I84">
        <v>0</v>
      </c>
      <c r="J84">
        <v>0</v>
      </c>
      <c r="K84">
        <v>57839</v>
      </c>
      <c r="L84">
        <v>407634</v>
      </c>
      <c r="M84">
        <v>937551</v>
      </c>
      <c r="N84">
        <v>0</v>
      </c>
      <c r="O84">
        <v>39845</v>
      </c>
      <c r="Q84">
        <v>35296</v>
      </c>
      <c r="R84">
        <v>257264</v>
      </c>
      <c r="S84">
        <v>47418</v>
      </c>
      <c r="T84">
        <v>1785058</v>
      </c>
      <c r="U84">
        <v>85968</v>
      </c>
      <c r="V84">
        <v>0</v>
      </c>
      <c r="X84">
        <v>896569</v>
      </c>
      <c r="Y84">
        <v>8930</v>
      </c>
      <c r="Z84">
        <v>14113353</v>
      </c>
      <c r="AA84">
        <v>2629179</v>
      </c>
      <c r="AB84">
        <v>3150</v>
      </c>
      <c r="AC84">
        <v>61716</v>
      </c>
      <c r="AD84">
        <v>30590</v>
      </c>
      <c r="AE84">
        <v>113934</v>
      </c>
      <c r="AF84">
        <v>134865</v>
      </c>
      <c r="AG84">
        <v>160110</v>
      </c>
      <c r="AH84">
        <v>733114</v>
      </c>
      <c r="AI84">
        <v>11049</v>
      </c>
      <c r="AJ84">
        <v>217663</v>
      </c>
      <c r="AK84">
        <v>26176</v>
      </c>
      <c r="AL84">
        <v>10845</v>
      </c>
      <c r="AM84">
        <v>216923</v>
      </c>
      <c r="AN84">
        <v>68228</v>
      </c>
      <c r="AO84">
        <v>4724141</v>
      </c>
      <c r="AP84">
        <v>135922</v>
      </c>
      <c r="AQ84">
        <v>2480</v>
      </c>
      <c r="AR84">
        <v>90</v>
      </c>
      <c r="AS84">
        <v>4762194</v>
      </c>
      <c r="AT84">
        <v>39918</v>
      </c>
      <c r="AU84">
        <v>281124</v>
      </c>
      <c r="AV84">
        <v>246567</v>
      </c>
      <c r="AW84">
        <v>10200</v>
      </c>
      <c r="AX84">
        <v>30941</v>
      </c>
      <c r="AY84">
        <v>0</v>
      </c>
      <c r="AZ84">
        <v>1118879</v>
      </c>
      <c r="BA84">
        <v>26824</v>
      </c>
      <c r="BB84">
        <v>0</v>
      </c>
      <c r="BC84">
        <v>22000</v>
      </c>
      <c r="BD84">
        <v>930475</v>
      </c>
      <c r="BE84">
        <v>310444</v>
      </c>
      <c r="BF84">
        <v>2956600</v>
      </c>
      <c r="BH84">
        <v>36565</v>
      </c>
      <c r="BI84">
        <v>45448</v>
      </c>
      <c r="BJ84">
        <v>2123907</v>
      </c>
      <c r="BK84">
        <v>273031</v>
      </c>
      <c r="BL84">
        <v>2953943</v>
      </c>
      <c r="BM84">
        <v>0</v>
      </c>
      <c r="BN84">
        <v>2367052</v>
      </c>
      <c r="BO84">
        <v>120270</v>
      </c>
      <c r="BP84">
        <v>0</v>
      </c>
      <c r="BQ84">
        <v>138825</v>
      </c>
      <c r="BS84">
        <v>300093</v>
      </c>
      <c r="BT84">
        <v>187865</v>
      </c>
      <c r="BV84">
        <v>25551</v>
      </c>
    </row>
    <row r="85" spans="1:74" x14ac:dyDescent="0.3">
      <c r="A85" s="155">
        <v>341</v>
      </c>
      <c r="B85" t="s">
        <v>922</v>
      </c>
      <c r="D85">
        <v>4717358</v>
      </c>
      <c r="E85">
        <v>491070705</v>
      </c>
      <c r="G85">
        <v>5646071</v>
      </c>
      <c r="H85">
        <v>1991259</v>
      </c>
      <c r="I85">
        <v>32789</v>
      </c>
      <c r="J85">
        <v>384695</v>
      </c>
      <c r="K85">
        <v>1143984</v>
      </c>
      <c r="L85">
        <v>2782880</v>
      </c>
      <c r="M85">
        <v>15557044</v>
      </c>
      <c r="N85">
        <v>137497</v>
      </c>
      <c r="O85">
        <v>625827</v>
      </c>
      <c r="Q85">
        <v>428722</v>
      </c>
      <c r="R85">
        <v>1308968</v>
      </c>
      <c r="S85">
        <v>1433586</v>
      </c>
      <c r="T85">
        <v>13682462</v>
      </c>
      <c r="U85">
        <v>1570293</v>
      </c>
      <c r="V85">
        <v>575678</v>
      </c>
      <c r="X85">
        <v>7982599</v>
      </c>
      <c r="Y85">
        <v>1752358</v>
      </c>
      <c r="Z85">
        <v>55183645</v>
      </c>
      <c r="AA85">
        <v>8527253</v>
      </c>
      <c r="AB85">
        <v>265451</v>
      </c>
      <c r="AC85">
        <v>355713</v>
      </c>
      <c r="AD85">
        <v>1181833</v>
      </c>
      <c r="AE85">
        <v>1102941</v>
      </c>
      <c r="AF85">
        <v>201945</v>
      </c>
      <c r="AG85">
        <v>867934</v>
      </c>
      <c r="AH85">
        <v>8368470</v>
      </c>
      <c r="AI85">
        <v>114611</v>
      </c>
      <c r="AJ85">
        <v>2137716</v>
      </c>
      <c r="AK85">
        <v>151381</v>
      </c>
      <c r="AL85">
        <v>801392</v>
      </c>
      <c r="AM85">
        <v>4018781</v>
      </c>
      <c r="AN85">
        <v>298161</v>
      </c>
      <c r="AO85">
        <v>36217549</v>
      </c>
      <c r="AP85">
        <v>1182560</v>
      </c>
      <c r="AQ85">
        <v>162255</v>
      </c>
      <c r="AR85">
        <v>219521</v>
      </c>
      <c r="AS85">
        <v>28549159</v>
      </c>
      <c r="AT85">
        <v>226880</v>
      </c>
      <c r="AU85">
        <v>2173884</v>
      </c>
      <c r="AV85">
        <v>1618978</v>
      </c>
      <c r="AW85">
        <v>383222</v>
      </c>
      <c r="AX85">
        <v>315463</v>
      </c>
      <c r="AY85">
        <v>256966</v>
      </c>
      <c r="AZ85">
        <v>5395566</v>
      </c>
      <c r="BA85">
        <v>2044477</v>
      </c>
      <c r="BB85">
        <v>40468</v>
      </c>
      <c r="BC85">
        <v>383294</v>
      </c>
      <c r="BD85">
        <v>5030796</v>
      </c>
      <c r="BE85">
        <v>935632</v>
      </c>
      <c r="BF85">
        <v>21005278</v>
      </c>
      <c r="BH85">
        <v>271819</v>
      </c>
      <c r="BI85">
        <v>169194</v>
      </c>
      <c r="BJ85">
        <v>12148838</v>
      </c>
      <c r="BK85">
        <v>1415438</v>
      </c>
      <c r="BL85">
        <v>17791152</v>
      </c>
      <c r="BM85">
        <v>0</v>
      </c>
      <c r="BN85">
        <v>5987803</v>
      </c>
      <c r="BO85">
        <v>1594527</v>
      </c>
      <c r="BP85">
        <v>41658</v>
      </c>
      <c r="BQ85">
        <v>3048596</v>
      </c>
      <c r="BS85">
        <v>2645161</v>
      </c>
      <c r="BT85">
        <v>1095248</v>
      </c>
      <c r="BV85">
        <v>2360239</v>
      </c>
    </row>
    <row r="86" spans="1:74" x14ac:dyDescent="0.3">
      <c r="A86" s="155">
        <v>343</v>
      </c>
      <c r="B86" t="s">
        <v>246</v>
      </c>
      <c r="D86">
        <v>265491</v>
      </c>
      <c r="E86">
        <v>55082755</v>
      </c>
      <c r="G86">
        <v>160791</v>
      </c>
      <c r="H86">
        <v>0</v>
      </c>
      <c r="I86">
        <v>0</v>
      </c>
      <c r="J86">
        <v>0</v>
      </c>
      <c r="K86">
        <v>0</v>
      </c>
      <c r="L86">
        <v>577216</v>
      </c>
      <c r="M86">
        <v>232456</v>
      </c>
      <c r="N86">
        <v>0</v>
      </c>
      <c r="O86">
        <v>14302</v>
      </c>
      <c r="Q86">
        <v>0</v>
      </c>
      <c r="R86">
        <v>36106</v>
      </c>
      <c r="S86">
        <v>0</v>
      </c>
      <c r="T86">
        <v>0</v>
      </c>
      <c r="U86">
        <v>89837</v>
      </c>
      <c r="V86">
        <v>0</v>
      </c>
      <c r="X86">
        <v>2818280</v>
      </c>
      <c r="Y86">
        <v>231518</v>
      </c>
      <c r="Z86">
        <v>4233899</v>
      </c>
      <c r="AA86">
        <v>332500</v>
      </c>
      <c r="AB86">
        <v>0</v>
      </c>
      <c r="AC86">
        <v>0</v>
      </c>
      <c r="AD86">
        <v>0</v>
      </c>
      <c r="AE86">
        <v>32301</v>
      </c>
      <c r="AF86">
        <v>9596</v>
      </c>
      <c r="AG86">
        <v>27070</v>
      </c>
      <c r="AH86">
        <v>311337</v>
      </c>
      <c r="AI86">
        <v>0</v>
      </c>
      <c r="AJ86">
        <v>0</v>
      </c>
      <c r="AK86">
        <v>0</v>
      </c>
      <c r="AL86">
        <v>16012</v>
      </c>
      <c r="AM86">
        <v>188258</v>
      </c>
      <c r="AN86">
        <v>0</v>
      </c>
      <c r="AO86">
        <v>1340504</v>
      </c>
      <c r="AP86">
        <v>24437</v>
      </c>
      <c r="AQ86">
        <v>3738</v>
      </c>
      <c r="AR86">
        <v>8268</v>
      </c>
      <c r="AS86">
        <v>10700035</v>
      </c>
      <c r="AT86">
        <v>11762</v>
      </c>
      <c r="AU86">
        <v>0</v>
      </c>
      <c r="AV86">
        <v>0</v>
      </c>
      <c r="AW86">
        <v>0</v>
      </c>
      <c r="AX86">
        <v>0</v>
      </c>
      <c r="AY86">
        <v>0</v>
      </c>
      <c r="AZ86">
        <v>235927</v>
      </c>
      <c r="BA86">
        <v>0</v>
      </c>
      <c r="BB86">
        <v>0</v>
      </c>
      <c r="BC86">
        <v>0</v>
      </c>
      <c r="BD86">
        <v>388890</v>
      </c>
      <c r="BE86">
        <v>41234</v>
      </c>
      <c r="BF86">
        <v>2194331</v>
      </c>
      <c r="BH86">
        <v>0</v>
      </c>
      <c r="BI86">
        <v>0</v>
      </c>
      <c r="BJ86">
        <v>784157</v>
      </c>
      <c r="BK86">
        <v>0</v>
      </c>
      <c r="BL86">
        <v>906983</v>
      </c>
      <c r="BM86">
        <v>0</v>
      </c>
      <c r="BN86">
        <v>327975</v>
      </c>
      <c r="BO86">
        <v>0</v>
      </c>
      <c r="BP86">
        <v>0</v>
      </c>
      <c r="BQ86">
        <v>40094</v>
      </c>
      <c r="BS86">
        <v>0</v>
      </c>
      <c r="BT86">
        <v>35115</v>
      </c>
      <c r="BV86">
        <v>60242</v>
      </c>
    </row>
    <row r="87" spans="1:74" x14ac:dyDescent="0.3">
      <c r="A87" s="155">
        <v>344</v>
      </c>
      <c r="B87" t="s">
        <v>179</v>
      </c>
      <c r="D87">
        <v>26115</v>
      </c>
      <c r="E87">
        <v>16381350</v>
      </c>
      <c r="G87">
        <v>7875</v>
      </c>
      <c r="H87">
        <v>0</v>
      </c>
      <c r="I87">
        <v>0</v>
      </c>
      <c r="J87">
        <v>0</v>
      </c>
      <c r="K87">
        <v>0</v>
      </c>
      <c r="L87">
        <v>17476</v>
      </c>
      <c r="M87">
        <v>0</v>
      </c>
      <c r="N87">
        <v>0</v>
      </c>
      <c r="O87">
        <v>3265</v>
      </c>
      <c r="Q87">
        <v>0</v>
      </c>
      <c r="R87">
        <v>5422</v>
      </c>
      <c r="S87">
        <v>0</v>
      </c>
      <c r="T87">
        <v>390660</v>
      </c>
      <c r="U87">
        <v>35820</v>
      </c>
      <c r="V87">
        <v>0</v>
      </c>
      <c r="X87">
        <v>44719</v>
      </c>
      <c r="Y87">
        <v>3498</v>
      </c>
      <c r="Z87">
        <v>2046395</v>
      </c>
      <c r="AA87">
        <v>84292</v>
      </c>
      <c r="AB87">
        <v>0</v>
      </c>
      <c r="AC87">
        <v>0</v>
      </c>
      <c r="AD87">
        <v>6553</v>
      </c>
      <c r="AE87">
        <v>724</v>
      </c>
      <c r="AF87">
        <v>6208</v>
      </c>
      <c r="AG87">
        <v>4415</v>
      </c>
      <c r="AH87">
        <v>243308</v>
      </c>
      <c r="AI87">
        <v>0</v>
      </c>
      <c r="AJ87">
        <v>19240</v>
      </c>
      <c r="AK87">
        <v>0</v>
      </c>
      <c r="AL87">
        <v>37105</v>
      </c>
      <c r="AM87">
        <v>84047</v>
      </c>
      <c r="AN87">
        <v>0</v>
      </c>
      <c r="AO87">
        <v>257029</v>
      </c>
      <c r="AP87">
        <v>12103</v>
      </c>
      <c r="AQ87">
        <v>1</v>
      </c>
      <c r="AR87">
        <v>12384</v>
      </c>
      <c r="AS87">
        <v>302656</v>
      </c>
      <c r="AT87">
        <v>569</v>
      </c>
      <c r="AU87">
        <v>0</v>
      </c>
      <c r="AV87">
        <v>0</v>
      </c>
      <c r="AW87">
        <v>9287</v>
      </c>
      <c r="AX87">
        <v>0</v>
      </c>
      <c r="AY87">
        <v>0</v>
      </c>
      <c r="AZ87">
        <v>69995</v>
      </c>
      <c r="BA87">
        <v>27512</v>
      </c>
      <c r="BB87">
        <v>0</v>
      </c>
      <c r="BC87">
        <v>0</v>
      </c>
      <c r="BD87">
        <v>84591</v>
      </c>
      <c r="BE87">
        <v>6947</v>
      </c>
      <c r="BF87">
        <v>447735</v>
      </c>
      <c r="BH87">
        <v>0</v>
      </c>
      <c r="BI87">
        <v>0</v>
      </c>
      <c r="BJ87">
        <v>228840</v>
      </c>
      <c r="BK87">
        <v>0</v>
      </c>
      <c r="BL87">
        <v>209377</v>
      </c>
      <c r="BM87">
        <v>0</v>
      </c>
      <c r="BN87">
        <v>56432</v>
      </c>
      <c r="BO87">
        <v>0</v>
      </c>
      <c r="BP87">
        <v>0</v>
      </c>
      <c r="BQ87">
        <v>3622</v>
      </c>
      <c r="BS87">
        <v>9579</v>
      </c>
      <c r="BT87">
        <v>25843</v>
      </c>
      <c r="BV87">
        <v>0</v>
      </c>
    </row>
    <row r="88" spans="1:74" x14ac:dyDescent="0.3">
      <c r="A88" s="155">
        <v>349</v>
      </c>
      <c r="B88" t="s">
        <v>114</v>
      </c>
      <c r="D88">
        <v>5785689</v>
      </c>
      <c r="E88">
        <v>905679001</v>
      </c>
      <c r="G88">
        <v>2704514</v>
      </c>
      <c r="H88">
        <v>193544</v>
      </c>
      <c r="I88">
        <v>0</v>
      </c>
      <c r="J88">
        <v>0</v>
      </c>
      <c r="K88">
        <v>0</v>
      </c>
      <c r="L88">
        <v>5035968</v>
      </c>
      <c r="M88">
        <v>22720180</v>
      </c>
      <c r="N88">
        <v>0</v>
      </c>
      <c r="O88">
        <v>206529</v>
      </c>
      <c r="Q88">
        <v>0</v>
      </c>
      <c r="R88">
        <v>0</v>
      </c>
      <c r="S88">
        <v>1677965</v>
      </c>
      <c r="T88">
        <v>0</v>
      </c>
      <c r="U88">
        <v>2732064</v>
      </c>
      <c r="V88">
        <v>2872223</v>
      </c>
      <c r="X88">
        <v>1909670</v>
      </c>
      <c r="Y88">
        <v>0</v>
      </c>
      <c r="Z88">
        <v>16435875</v>
      </c>
      <c r="AA88">
        <v>0</v>
      </c>
      <c r="AB88">
        <v>392705</v>
      </c>
      <c r="AC88">
        <v>982556</v>
      </c>
      <c r="AD88">
        <v>709901</v>
      </c>
      <c r="AE88">
        <v>550819</v>
      </c>
      <c r="AF88">
        <v>249456</v>
      </c>
      <c r="AG88">
        <v>930687</v>
      </c>
      <c r="AH88">
        <v>28109986</v>
      </c>
      <c r="AI88">
        <v>0</v>
      </c>
      <c r="AJ88">
        <v>0</v>
      </c>
      <c r="AK88">
        <v>0</v>
      </c>
      <c r="AL88">
        <v>1526152</v>
      </c>
      <c r="AM88">
        <v>1885476</v>
      </c>
      <c r="AN88">
        <v>141726</v>
      </c>
      <c r="AO88">
        <v>63629805</v>
      </c>
      <c r="AP88">
        <v>2414894</v>
      </c>
      <c r="AQ88">
        <v>0</v>
      </c>
      <c r="AR88">
        <v>16130</v>
      </c>
      <c r="AS88">
        <v>77653989</v>
      </c>
      <c r="AT88">
        <v>1184241</v>
      </c>
      <c r="AU88">
        <v>548552</v>
      </c>
      <c r="AV88">
        <v>429961</v>
      </c>
      <c r="AW88">
        <v>362634</v>
      </c>
      <c r="AX88">
        <v>0</v>
      </c>
      <c r="AY88">
        <v>0</v>
      </c>
      <c r="AZ88">
        <v>4593148</v>
      </c>
      <c r="BA88">
        <v>123437</v>
      </c>
      <c r="BB88">
        <v>26158</v>
      </c>
      <c r="BC88">
        <v>7907</v>
      </c>
      <c r="BD88">
        <v>789173</v>
      </c>
      <c r="BE88">
        <v>2998567</v>
      </c>
      <c r="BF88">
        <v>69535799</v>
      </c>
      <c r="BH88">
        <v>0</v>
      </c>
      <c r="BI88">
        <v>47711</v>
      </c>
      <c r="BJ88">
        <v>5796670</v>
      </c>
      <c r="BK88">
        <v>1111660</v>
      </c>
      <c r="BL88">
        <v>1349551</v>
      </c>
      <c r="BM88">
        <v>0</v>
      </c>
      <c r="BN88">
        <v>2999712</v>
      </c>
      <c r="BO88">
        <v>3783010</v>
      </c>
      <c r="BP88">
        <v>0</v>
      </c>
      <c r="BQ88">
        <v>0</v>
      </c>
      <c r="BS88">
        <v>8372404</v>
      </c>
      <c r="BT88">
        <v>794710</v>
      </c>
      <c r="BV88">
        <v>1341092</v>
      </c>
    </row>
    <row r="89" spans="1:74" x14ac:dyDescent="0.3">
      <c r="A89" s="155">
        <v>350</v>
      </c>
      <c r="B89" t="s">
        <v>923</v>
      </c>
      <c r="D89">
        <v>20762</v>
      </c>
      <c r="E89">
        <v>6131209</v>
      </c>
      <c r="G89">
        <v>0</v>
      </c>
      <c r="H89">
        <v>0</v>
      </c>
      <c r="I89">
        <v>0</v>
      </c>
      <c r="J89">
        <v>0</v>
      </c>
      <c r="K89">
        <v>0</v>
      </c>
      <c r="L89">
        <v>8548</v>
      </c>
      <c r="M89">
        <v>969851</v>
      </c>
      <c r="N89">
        <v>0</v>
      </c>
      <c r="O89">
        <v>1197</v>
      </c>
      <c r="Q89">
        <v>0</v>
      </c>
      <c r="R89">
        <v>0</v>
      </c>
      <c r="S89">
        <v>5365</v>
      </c>
      <c r="T89">
        <v>0</v>
      </c>
      <c r="U89">
        <v>18726</v>
      </c>
      <c r="V89">
        <v>285</v>
      </c>
      <c r="X89">
        <v>217622</v>
      </c>
      <c r="Y89">
        <v>0</v>
      </c>
      <c r="Z89">
        <v>30897</v>
      </c>
      <c r="AA89">
        <v>0</v>
      </c>
      <c r="AB89">
        <v>6430</v>
      </c>
      <c r="AC89">
        <v>0</v>
      </c>
      <c r="AD89">
        <v>18888</v>
      </c>
      <c r="AE89">
        <v>64275</v>
      </c>
      <c r="AF89">
        <v>0</v>
      </c>
      <c r="AG89">
        <v>101280</v>
      </c>
      <c r="AH89">
        <v>7354</v>
      </c>
      <c r="AI89">
        <v>0</v>
      </c>
      <c r="AJ89">
        <v>0</v>
      </c>
      <c r="AK89">
        <v>0</v>
      </c>
      <c r="AL89">
        <v>91</v>
      </c>
      <c r="AM89">
        <v>7316</v>
      </c>
      <c r="AN89">
        <v>44904</v>
      </c>
      <c r="AO89">
        <v>131124</v>
      </c>
      <c r="AP89">
        <v>69</v>
      </c>
      <c r="AQ89">
        <v>0</v>
      </c>
      <c r="AR89">
        <v>475</v>
      </c>
      <c r="AS89">
        <v>614998</v>
      </c>
      <c r="AT89">
        <v>0</v>
      </c>
      <c r="AU89">
        <v>31137</v>
      </c>
      <c r="AV89">
        <v>10000</v>
      </c>
      <c r="AW89">
        <v>1025</v>
      </c>
      <c r="AX89">
        <v>0</v>
      </c>
      <c r="AY89">
        <v>2</v>
      </c>
      <c r="AZ89">
        <v>3651</v>
      </c>
      <c r="BA89">
        <v>13833</v>
      </c>
      <c r="BB89">
        <v>432</v>
      </c>
      <c r="BC89">
        <v>649</v>
      </c>
      <c r="BD89">
        <v>67317</v>
      </c>
      <c r="BE89">
        <v>2377</v>
      </c>
      <c r="BF89">
        <v>60610</v>
      </c>
      <c r="BH89">
        <v>0</v>
      </c>
      <c r="BI89">
        <v>530</v>
      </c>
      <c r="BJ89">
        <v>755712</v>
      </c>
      <c r="BK89">
        <v>10368</v>
      </c>
      <c r="BL89">
        <v>1189500</v>
      </c>
      <c r="BM89">
        <v>0</v>
      </c>
      <c r="BN89">
        <v>83497</v>
      </c>
      <c r="BO89">
        <v>715</v>
      </c>
      <c r="BP89">
        <v>0</v>
      </c>
      <c r="BQ89">
        <v>0</v>
      </c>
      <c r="BS89">
        <v>71799</v>
      </c>
      <c r="BT89">
        <v>4655</v>
      </c>
      <c r="BV89">
        <v>-13291</v>
      </c>
    </row>
    <row r="90" spans="1:74" x14ac:dyDescent="0.3">
      <c r="A90" s="155">
        <v>351</v>
      </c>
      <c r="B90" t="s">
        <v>223</v>
      </c>
      <c r="D90">
        <v>42502</v>
      </c>
      <c r="E90">
        <v>25702863</v>
      </c>
      <c r="G90">
        <v>78980</v>
      </c>
      <c r="H90">
        <v>0</v>
      </c>
      <c r="I90">
        <v>0</v>
      </c>
      <c r="J90">
        <v>0</v>
      </c>
      <c r="K90">
        <v>0</v>
      </c>
      <c r="L90">
        <v>74891</v>
      </c>
      <c r="M90">
        <v>299100</v>
      </c>
      <c r="N90">
        <v>0</v>
      </c>
      <c r="O90">
        <v>0</v>
      </c>
      <c r="Q90">
        <v>0</v>
      </c>
      <c r="R90">
        <v>0</v>
      </c>
      <c r="S90">
        <v>42350</v>
      </c>
      <c r="T90">
        <v>0</v>
      </c>
      <c r="U90">
        <v>11594</v>
      </c>
      <c r="V90">
        <v>65045</v>
      </c>
      <c r="X90">
        <v>0</v>
      </c>
      <c r="Y90">
        <v>0</v>
      </c>
      <c r="Z90">
        <v>143298</v>
      </c>
      <c r="AA90">
        <v>0</v>
      </c>
      <c r="AB90">
        <v>0</v>
      </c>
      <c r="AC90">
        <v>0</v>
      </c>
      <c r="AD90">
        <v>6915</v>
      </c>
      <c r="AE90">
        <v>12420</v>
      </c>
      <c r="AF90">
        <v>0</v>
      </c>
      <c r="AG90">
        <v>29761</v>
      </c>
      <c r="AH90">
        <v>323623</v>
      </c>
      <c r="AI90">
        <v>0</v>
      </c>
      <c r="AJ90">
        <v>0</v>
      </c>
      <c r="AK90">
        <v>0</v>
      </c>
      <c r="AL90">
        <v>63332</v>
      </c>
      <c r="AM90">
        <v>4589</v>
      </c>
      <c r="AN90">
        <v>0</v>
      </c>
      <c r="AO90">
        <v>1528004</v>
      </c>
      <c r="AP90">
        <v>54585</v>
      </c>
      <c r="AQ90">
        <v>0</v>
      </c>
      <c r="AR90">
        <v>0</v>
      </c>
      <c r="AS90">
        <v>1954775</v>
      </c>
      <c r="AT90">
        <v>0</v>
      </c>
      <c r="AU90">
        <v>0</v>
      </c>
      <c r="AV90">
        <v>10782</v>
      </c>
      <c r="AW90">
        <v>25968</v>
      </c>
      <c r="AX90">
        <v>0</v>
      </c>
      <c r="AY90">
        <v>0</v>
      </c>
      <c r="AZ90">
        <v>65260</v>
      </c>
      <c r="BA90">
        <v>3647</v>
      </c>
      <c r="BB90">
        <v>0</v>
      </c>
      <c r="BC90">
        <v>0</v>
      </c>
      <c r="BD90">
        <v>499105</v>
      </c>
      <c r="BE90">
        <v>68669</v>
      </c>
      <c r="BF90">
        <v>905443</v>
      </c>
      <c r="BH90">
        <v>0</v>
      </c>
      <c r="BI90">
        <v>0</v>
      </c>
      <c r="BJ90">
        <v>44233</v>
      </c>
      <c r="BK90">
        <v>2363</v>
      </c>
      <c r="BL90">
        <v>14179</v>
      </c>
      <c r="BM90">
        <v>0</v>
      </c>
      <c r="BN90">
        <v>20157</v>
      </c>
      <c r="BO90">
        <v>0</v>
      </c>
      <c r="BP90">
        <v>0</v>
      </c>
      <c r="BQ90">
        <v>0</v>
      </c>
      <c r="BS90">
        <v>7846</v>
      </c>
      <c r="BT90">
        <v>13036</v>
      </c>
      <c r="BV90">
        <v>0</v>
      </c>
    </row>
    <row r="91" spans="1:74" x14ac:dyDescent="0.3">
      <c r="A91" s="155">
        <v>352</v>
      </c>
      <c r="B91" t="s">
        <v>225</v>
      </c>
      <c r="D91">
        <v>0</v>
      </c>
      <c r="E91">
        <v>90000</v>
      </c>
      <c r="G91">
        <v>0</v>
      </c>
      <c r="H91">
        <v>0</v>
      </c>
      <c r="I91">
        <v>0</v>
      </c>
      <c r="J91">
        <v>0</v>
      </c>
      <c r="K91">
        <v>0</v>
      </c>
      <c r="L91">
        <v>0</v>
      </c>
      <c r="M91">
        <v>364700</v>
      </c>
      <c r="N91">
        <v>0</v>
      </c>
      <c r="O91">
        <v>0</v>
      </c>
      <c r="Q91">
        <v>0</v>
      </c>
      <c r="R91">
        <v>0</v>
      </c>
      <c r="S91">
        <v>0</v>
      </c>
      <c r="T91">
        <v>0</v>
      </c>
      <c r="U91">
        <v>0</v>
      </c>
      <c r="V91">
        <v>0</v>
      </c>
      <c r="X91">
        <v>0</v>
      </c>
      <c r="Y91">
        <v>0</v>
      </c>
      <c r="Z91">
        <v>0</v>
      </c>
      <c r="AA91">
        <v>0</v>
      </c>
      <c r="AB91">
        <v>0</v>
      </c>
      <c r="AC91">
        <v>0</v>
      </c>
      <c r="AD91">
        <v>0</v>
      </c>
      <c r="AE91">
        <v>1625</v>
      </c>
      <c r="AF91">
        <v>0</v>
      </c>
      <c r="AG91">
        <v>0</v>
      </c>
      <c r="AH91">
        <v>0</v>
      </c>
      <c r="AI91">
        <v>0</v>
      </c>
      <c r="AJ91">
        <v>0</v>
      </c>
      <c r="AK91">
        <v>0</v>
      </c>
      <c r="AL91">
        <v>0</v>
      </c>
      <c r="AM91">
        <v>0</v>
      </c>
      <c r="AN91">
        <v>0</v>
      </c>
      <c r="AO91">
        <v>0</v>
      </c>
      <c r="AP91">
        <v>0</v>
      </c>
      <c r="AQ91">
        <v>0</v>
      </c>
      <c r="AR91">
        <v>0</v>
      </c>
      <c r="AS91">
        <v>0</v>
      </c>
      <c r="AT91">
        <v>0</v>
      </c>
      <c r="AU91">
        <v>0</v>
      </c>
      <c r="AV91">
        <v>80000</v>
      </c>
      <c r="AW91">
        <v>5000</v>
      </c>
      <c r="AX91">
        <v>0</v>
      </c>
      <c r="AY91">
        <v>0</v>
      </c>
      <c r="AZ91">
        <v>0</v>
      </c>
      <c r="BA91">
        <v>0</v>
      </c>
      <c r="BB91">
        <v>0</v>
      </c>
      <c r="BC91">
        <v>0</v>
      </c>
      <c r="BD91">
        <v>0</v>
      </c>
      <c r="BE91">
        <v>0</v>
      </c>
      <c r="BF91">
        <v>962610</v>
      </c>
      <c r="BH91">
        <v>0</v>
      </c>
      <c r="BI91">
        <v>0</v>
      </c>
      <c r="BJ91">
        <v>0</v>
      </c>
      <c r="BK91">
        <v>0</v>
      </c>
      <c r="BL91">
        <v>0</v>
      </c>
      <c r="BM91">
        <v>0</v>
      </c>
      <c r="BN91">
        <v>0</v>
      </c>
      <c r="BO91">
        <v>0</v>
      </c>
      <c r="BP91">
        <v>0</v>
      </c>
      <c r="BQ91">
        <v>0</v>
      </c>
      <c r="BS91">
        <v>0</v>
      </c>
      <c r="BT91">
        <v>0</v>
      </c>
      <c r="BV91">
        <v>0</v>
      </c>
    </row>
    <row r="92" spans="1:74" x14ac:dyDescent="0.3">
      <c r="A92" s="155">
        <v>353</v>
      </c>
      <c r="B92" t="s">
        <v>226</v>
      </c>
      <c r="D92">
        <v>0</v>
      </c>
      <c r="E92">
        <v>145000</v>
      </c>
      <c r="G92">
        <v>0</v>
      </c>
      <c r="H92">
        <v>0</v>
      </c>
      <c r="I92">
        <v>0</v>
      </c>
      <c r="J92">
        <v>0</v>
      </c>
      <c r="K92">
        <v>0</v>
      </c>
      <c r="L92">
        <v>355233</v>
      </c>
      <c r="M92">
        <v>364700</v>
      </c>
      <c r="N92">
        <v>0</v>
      </c>
      <c r="O92">
        <v>0</v>
      </c>
      <c r="Q92">
        <v>0</v>
      </c>
      <c r="R92">
        <v>0</v>
      </c>
      <c r="S92">
        <v>0</v>
      </c>
      <c r="T92">
        <v>0</v>
      </c>
      <c r="U92">
        <v>0</v>
      </c>
      <c r="V92">
        <v>0</v>
      </c>
      <c r="X92">
        <v>0</v>
      </c>
      <c r="Y92">
        <v>0</v>
      </c>
      <c r="Z92">
        <v>265000</v>
      </c>
      <c r="AA92">
        <v>0</v>
      </c>
      <c r="AB92">
        <v>0</v>
      </c>
      <c r="AC92">
        <v>0</v>
      </c>
      <c r="AD92">
        <v>0</v>
      </c>
      <c r="AE92">
        <v>0</v>
      </c>
      <c r="AF92">
        <v>0</v>
      </c>
      <c r="AG92">
        <v>0</v>
      </c>
      <c r="AH92">
        <v>0</v>
      </c>
      <c r="AI92">
        <v>0</v>
      </c>
      <c r="AJ92">
        <v>0</v>
      </c>
      <c r="AK92">
        <v>0</v>
      </c>
      <c r="AL92">
        <v>0</v>
      </c>
      <c r="AM92">
        <v>0</v>
      </c>
      <c r="AN92">
        <v>0</v>
      </c>
      <c r="AO92">
        <v>0</v>
      </c>
      <c r="AP92">
        <v>20000</v>
      </c>
      <c r="AQ92">
        <v>0</v>
      </c>
      <c r="AR92">
        <v>0</v>
      </c>
      <c r="AS92">
        <v>0</v>
      </c>
      <c r="AT92">
        <v>0</v>
      </c>
      <c r="AU92">
        <v>0</v>
      </c>
      <c r="AV92">
        <v>0</v>
      </c>
      <c r="AW92">
        <v>0</v>
      </c>
      <c r="AX92">
        <v>0</v>
      </c>
      <c r="AY92">
        <v>0</v>
      </c>
      <c r="AZ92">
        <v>0</v>
      </c>
      <c r="BA92">
        <v>0</v>
      </c>
      <c r="BB92">
        <v>0</v>
      </c>
      <c r="BC92">
        <v>0</v>
      </c>
      <c r="BD92">
        <v>0</v>
      </c>
      <c r="BE92">
        <v>0</v>
      </c>
      <c r="BF92">
        <v>10000</v>
      </c>
      <c r="BH92">
        <v>0</v>
      </c>
      <c r="BI92">
        <v>0</v>
      </c>
      <c r="BJ92">
        <v>0</v>
      </c>
      <c r="BK92">
        <v>0</v>
      </c>
      <c r="BL92">
        <v>0</v>
      </c>
      <c r="BM92">
        <v>0</v>
      </c>
      <c r="BN92">
        <v>0</v>
      </c>
      <c r="BO92">
        <v>27334</v>
      </c>
      <c r="BP92">
        <v>0</v>
      </c>
      <c r="BQ92">
        <v>0</v>
      </c>
      <c r="BS92">
        <v>0</v>
      </c>
      <c r="BT92">
        <v>0</v>
      </c>
      <c r="BV92">
        <v>0</v>
      </c>
    </row>
    <row r="93" spans="1:74" x14ac:dyDescent="0.3">
      <c r="A93" s="155">
        <v>356</v>
      </c>
      <c r="B93" t="s">
        <v>307</v>
      </c>
      <c r="D93">
        <v>0</v>
      </c>
      <c r="E93">
        <v>0</v>
      </c>
      <c r="G93">
        <v>0</v>
      </c>
      <c r="H93">
        <v>0</v>
      </c>
      <c r="I93">
        <v>0</v>
      </c>
      <c r="J93">
        <v>0</v>
      </c>
      <c r="K93">
        <v>0</v>
      </c>
      <c r="L93">
        <v>3904086</v>
      </c>
      <c r="M93">
        <v>0</v>
      </c>
      <c r="N93">
        <v>0</v>
      </c>
      <c r="O93">
        <v>0</v>
      </c>
      <c r="Q93">
        <v>0</v>
      </c>
      <c r="R93">
        <v>0</v>
      </c>
      <c r="S93">
        <v>0</v>
      </c>
      <c r="T93">
        <v>0</v>
      </c>
      <c r="U93">
        <v>0</v>
      </c>
      <c r="V93">
        <v>0</v>
      </c>
      <c r="X93">
        <v>0</v>
      </c>
      <c r="Y93">
        <v>0</v>
      </c>
      <c r="Z93">
        <v>87215010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1952627</v>
      </c>
      <c r="AW93">
        <v>0</v>
      </c>
      <c r="AX93">
        <v>0</v>
      </c>
      <c r="AY93">
        <v>0</v>
      </c>
      <c r="AZ93">
        <v>8463708</v>
      </c>
      <c r="BA93">
        <v>0</v>
      </c>
      <c r="BB93">
        <v>0</v>
      </c>
      <c r="BC93">
        <v>0</v>
      </c>
      <c r="BD93">
        <v>0</v>
      </c>
      <c r="BE93">
        <v>3315463</v>
      </c>
      <c r="BF93">
        <v>34303415</v>
      </c>
      <c r="BH93">
        <v>0</v>
      </c>
      <c r="BI93">
        <v>0</v>
      </c>
      <c r="BJ93">
        <v>17814234</v>
      </c>
      <c r="BK93">
        <v>0</v>
      </c>
      <c r="BL93">
        <v>0</v>
      </c>
      <c r="BM93">
        <v>0</v>
      </c>
      <c r="BN93">
        <v>13440693</v>
      </c>
      <c r="BO93">
        <v>0</v>
      </c>
      <c r="BP93">
        <v>0</v>
      </c>
      <c r="BQ93">
        <v>0</v>
      </c>
      <c r="BS93">
        <v>0</v>
      </c>
      <c r="BT93">
        <v>0</v>
      </c>
      <c r="BV93">
        <v>0</v>
      </c>
    </row>
    <row r="94" spans="1:74" x14ac:dyDescent="0.3">
      <c r="A94" s="155">
        <v>357</v>
      </c>
      <c r="B94" t="s">
        <v>308</v>
      </c>
      <c r="D94">
        <v>0</v>
      </c>
      <c r="E94">
        <v>0</v>
      </c>
      <c r="G94">
        <v>0</v>
      </c>
      <c r="H94">
        <v>0</v>
      </c>
      <c r="I94">
        <v>0</v>
      </c>
      <c r="J94">
        <v>0</v>
      </c>
      <c r="K94">
        <v>0</v>
      </c>
      <c r="L94">
        <v>0</v>
      </c>
      <c r="M94">
        <v>0</v>
      </c>
      <c r="N94">
        <v>0</v>
      </c>
      <c r="O94">
        <v>0</v>
      </c>
      <c r="Q94">
        <v>0</v>
      </c>
      <c r="R94">
        <v>0</v>
      </c>
      <c r="S94">
        <v>0</v>
      </c>
      <c r="T94">
        <v>0</v>
      </c>
      <c r="U94">
        <v>0</v>
      </c>
      <c r="V94">
        <v>0</v>
      </c>
      <c r="X94">
        <v>0</v>
      </c>
      <c r="Y94">
        <v>0</v>
      </c>
      <c r="Z94">
        <v>38972961</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1669314</v>
      </c>
      <c r="AW94">
        <v>0</v>
      </c>
      <c r="AX94">
        <v>0</v>
      </c>
      <c r="AY94">
        <v>0</v>
      </c>
      <c r="AZ94">
        <v>7388946</v>
      </c>
      <c r="BA94">
        <v>0</v>
      </c>
      <c r="BB94">
        <v>0</v>
      </c>
      <c r="BC94">
        <v>0</v>
      </c>
      <c r="BD94">
        <v>0</v>
      </c>
      <c r="BE94">
        <v>2585533</v>
      </c>
      <c r="BF94">
        <v>15278475</v>
      </c>
      <c r="BH94">
        <v>0</v>
      </c>
      <c r="BI94">
        <v>0</v>
      </c>
      <c r="BJ94">
        <v>9844712</v>
      </c>
      <c r="BK94">
        <v>0</v>
      </c>
      <c r="BL94">
        <v>0</v>
      </c>
      <c r="BM94">
        <v>0</v>
      </c>
      <c r="BN94">
        <v>5225505</v>
      </c>
      <c r="BO94">
        <v>0</v>
      </c>
      <c r="BP94">
        <v>0</v>
      </c>
      <c r="BQ94">
        <v>0</v>
      </c>
      <c r="BS94">
        <v>0</v>
      </c>
      <c r="BT94">
        <v>0</v>
      </c>
      <c r="BV94">
        <v>0</v>
      </c>
    </row>
    <row r="95" spans="1:74" x14ac:dyDescent="0.3">
      <c r="A95" s="155">
        <v>359</v>
      </c>
      <c r="B95" t="s">
        <v>247</v>
      </c>
      <c r="D95">
        <v>0</v>
      </c>
      <c r="E95">
        <v>0</v>
      </c>
      <c r="G95">
        <v>0</v>
      </c>
      <c r="H95">
        <v>0</v>
      </c>
      <c r="I95">
        <v>0</v>
      </c>
      <c r="J95">
        <v>0</v>
      </c>
      <c r="K95">
        <v>0</v>
      </c>
      <c r="L95">
        <v>54564</v>
      </c>
      <c r="M95">
        <v>0</v>
      </c>
      <c r="N95">
        <v>0</v>
      </c>
      <c r="O95">
        <v>0</v>
      </c>
      <c r="Q95">
        <v>0</v>
      </c>
      <c r="R95">
        <v>0</v>
      </c>
      <c r="S95">
        <v>0</v>
      </c>
      <c r="T95">
        <v>0</v>
      </c>
      <c r="U95">
        <v>0</v>
      </c>
      <c r="V95">
        <v>0</v>
      </c>
      <c r="X95">
        <v>0</v>
      </c>
      <c r="Y95">
        <v>0</v>
      </c>
      <c r="Z95">
        <v>5324564</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79451</v>
      </c>
      <c r="BA95">
        <v>0</v>
      </c>
      <c r="BB95">
        <v>0</v>
      </c>
      <c r="BC95">
        <v>0</v>
      </c>
      <c r="BD95">
        <v>0</v>
      </c>
      <c r="BE95">
        <v>163178</v>
      </c>
      <c r="BF95">
        <v>2399897</v>
      </c>
      <c r="BH95">
        <v>0</v>
      </c>
      <c r="BI95">
        <v>0</v>
      </c>
      <c r="BJ95">
        <v>2143083</v>
      </c>
      <c r="BK95">
        <v>0</v>
      </c>
      <c r="BL95">
        <v>0</v>
      </c>
      <c r="BM95">
        <v>0</v>
      </c>
      <c r="BN95">
        <v>0</v>
      </c>
      <c r="BO95">
        <v>0</v>
      </c>
      <c r="BP95">
        <v>0</v>
      </c>
      <c r="BQ95">
        <v>0</v>
      </c>
      <c r="BS95">
        <v>0</v>
      </c>
      <c r="BT95">
        <v>0</v>
      </c>
      <c r="BV95">
        <v>0</v>
      </c>
    </row>
    <row r="96" spans="1:74" x14ac:dyDescent="0.3">
      <c r="A96" s="155">
        <v>360</v>
      </c>
      <c r="B96" t="s">
        <v>117</v>
      </c>
      <c r="D96">
        <v>0</v>
      </c>
      <c r="E96">
        <v>0</v>
      </c>
      <c r="G96">
        <v>0</v>
      </c>
      <c r="H96">
        <v>0</v>
      </c>
      <c r="I96">
        <v>0</v>
      </c>
      <c r="J96">
        <v>0</v>
      </c>
      <c r="K96">
        <v>0</v>
      </c>
      <c r="L96">
        <v>1393097</v>
      </c>
      <c r="M96">
        <v>0</v>
      </c>
      <c r="N96">
        <v>0</v>
      </c>
      <c r="O96">
        <v>0</v>
      </c>
      <c r="Q96">
        <v>0</v>
      </c>
      <c r="R96">
        <v>0</v>
      </c>
      <c r="S96">
        <v>0</v>
      </c>
      <c r="T96">
        <v>0</v>
      </c>
      <c r="U96">
        <v>0</v>
      </c>
      <c r="V96">
        <v>0</v>
      </c>
      <c r="X96">
        <v>0</v>
      </c>
      <c r="Y96">
        <v>0</v>
      </c>
      <c r="Z96">
        <v>21068447</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886791</v>
      </c>
      <c r="AW96">
        <v>0</v>
      </c>
      <c r="AX96">
        <v>0</v>
      </c>
      <c r="AY96">
        <v>0</v>
      </c>
      <c r="AZ96">
        <v>3239787</v>
      </c>
      <c r="BA96">
        <v>0</v>
      </c>
      <c r="BB96">
        <v>0</v>
      </c>
      <c r="BC96">
        <v>0</v>
      </c>
      <c r="BD96">
        <v>0</v>
      </c>
      <c r="BE96">
        <v>552415</v>
      </c>
      <c r="BF96">
        <v>5933054</v>
      </c>
      <c r="BH96">
        <v>0</v>
      </c>
      <c r="BI96">
        <v>0</v>
      </c>
      <c r="BJ96">
        <v>6083049</v>
      </c>
      <c r="BK96">
        <v>0</v>
      </c>
      <c r="BL96">
        <v>0</v>
      </c>
      <c r="BM96">
        <v>0</v>
      </c>
      <c r="BN96">
        <v>2182308</v>
      </c>
      <c r="BO96">
        <v>0</v>
      </c>
      <c r="BP96">
        <v>0</v>
      </c>
      <c r="BQ96">
        <v>0</v>
      </c>
      <c r="BS96">
        <v>0</v>
      </c>
      <c r="BT96">
        <v>0</v>
      </c>
      <c r="BV96">
        <v>0</v>
      </c>
    </row>
    <row r="97" spans="1:74" x14ac:dyDescent="0.3">
      <c r="A97" s="155">
        <v>361</v>
      </c>
      <c r="B97" t="s">
        <v>98</v>
      </c>
      <c r="D97">
        <v>0</v>
      </c>
      <c r="E97">
        <v>0</v>
      </c>
      <c r="G97">
        <v>0</v>
      </c>
      <c r="H97">
        <v>0</v>
      </c>
      <c r="I97">
        <v>0</v>
      </c>
      <c r="J97">
        <v>0</v>
      </c>
      <c r="K97">
        <v>0</v>
      </c>
      <c r="L97">
        <v>1126249</v>
      </c>
      <c r="M97">
        <v>0</v>
      </c>
      <c r="N97">
        <v>0</v>
      </c>
      <c r="O97">
        <v>0</v>
      </c>
      <c r="Q97">
        <v>0</v>
      </c>
      <c r="R97">
        <v>0</v>
      </c>
      <c r="S97">
        <v>0</v>
      </c>
      <c r="T97">
        <v>0</v>
      </c>
      <c r="U97">
        <v>0</v>
      </c>
      <c r="V97">
        <v>0</v>
      </c>
      <c r="X97">
        <v>0</v>
      </c>
      <c r="Y97">
        <v>0</v>
      </c>
      <c r="Z97">
        <v>39835951</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1579102</v>
      </c>
      <c r="AW97">
        <v>0</v>
      </c>
      <c r="AX97">
        <v>0</v>
      </c>
      <c r="AY97">
        <v>0</v>
      </c>
      <c r="AZ97">
        <v>955512</v>
      </c>
      <c r="BA97">
        <v>0</v>
      </c>
      <c r="BB97">
        <v>0</v>
      </c>
      <c r="BC97">
        <v>0</v>
      </c>
      <c r="BD97">
        <v>0</v>
      </c>
      <c r="BE97">
        <v>2395989</v>
      </c>
      <c r="BF97">
        <v>14298595</v>
      </c>
      <c r="BH97">
        <v>0</v>
      </c>
      <c r="BI97">
        <v>0</v>
      </c>
      <c r="BJ97">
        <v>11005334</v>
      </c>
      <c r="BK97">
        <v>0</v>
      </c>
      <c r="BL97">
        <v>0</v>
      </c>
      <c r="BM97">
        <v>0</v>
      </c>
      <c r="BN97">
        <v>6335877</v>
      </c>
      <c r="BO97">
        <v>0</v>
      </c>
      <c r="BP97">
        <v>0</v>
      </c>
      <c r="BQ97">
        <v>0</v>
      </c>
      <c r="BS97">
        <v>0</v>
      </c>
      <c r="BT97">
        <v>0</v>
      </c>
      <c r="BV97">
        <v>0</v>
      </c>
    </row>
    <row r="98" spans="1:74" x14ac:dyDescent="0.3">
      <c r="A98" s="155">
        <v>362</v>
      </c>
      <c r="B98" t="s">
        <v>99</v>
      </c>
      <c r="D98">
        <v>0</v>
      </c>
      <c r="E98">
        <v>0</v>
      </c>
      <c r="G98">
        <v>0</v>
      </c>
      <c r="H98">
        <v>0</v>
      </c>
      <c r="I98">
        <v>0</v>
      </c>
      <c r="J98">
        <v>0</v>
      </c>
      <c r="K98">
        <v>0</v>
      </c>
      <c r="L98">
        <v>1544266</v>
      </c>
      <c r="M98">
        <v>0</v>
      </c>
      <c r="N98">
        <v>0</v>
      </c>
      <c r="O98">
        <v>0</v>
      </c>
      <c r="Q98">
        <v>0</v>
      </c>
      <c r="R98">
        <v>0</v>
      </c>
      <c r="S98">
        <v>0</v>
      </c>
      <c r="T98">
        <v>0</v>
      </c>
      <c r="U98">
        <v>0</v>
      </c>
      <c r="V98">
        <v>0</v>
      </c>
      <c r="X98">
        <v>0</v>
      </c>
      <c r="Y98">
        <v>0</v>
      </c>
      <c r="Z98">
        <v>86989251</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1873958</v>
      </c>
      <c r="AW98">
        <v>0</v>
      </c>
      <c r="AX98">
        <v>0</v>
      </c>
      <c r="AY98">
        <v>0</v>
      </c>
      <c r="AZ98">
        <v>2632388</v>
      </c>
      <c r="BA98">
        <v>0</v>
      </c>
      <c r="BB98">
        <v>0</v>
      </c>
      <c r="BC98">
        <v>0</v>
      </c>
      <c r="BD98">
        <v>0</v>
      </c>
      <c r="BE98">
        <v>2962741</v>
      </c>
      <c r="BF98">
        <v>31662039</v>
      </c>
      <c r="BH98">
        <v>0</v>
      </c>
      <c r="BI98">
        <v>0</v>
      </c>
      <c r="BJ98">
        <v>19107952</v>
      </c>
      <c r="BK98">
        <v>0</v>
      </c>
      <c r="BL98">
        <v>0</v>
      </c>
      <c r="BM98">
        <v>0</v>
      </c>
      <c r="BN98">
        <v>17503665</v>
      </c>
      <c r="BO98">
        <v>0</v>
      </c>
      <c r="BP98">
        <v>0</v>
      </c>
      <c r="BQ98">
        <v>0</v>
      </c>
      <c r="BS98">
        <v>0</v>
      </c>
      <c r="BT98">
        <v>0</v>
      </c>
      <c r="BV98">
        <v>0</v>
      </c>
    </row>
    <row r="99" spans="1:74" x14ac:dyDescent="0.3">
      <c r="A99" s="155">
        <v>363</v>
      </c>
      <c r="B99" t="s">
        <v>233</v>
      </c>
      <c r="D99">
        <v>0</v>
      </c>
      <c r="E99">
        <v>0</v>
      </c>
      <c r="G99">
        <v>0</v>
      </c>
      <c r="H99">
        <v>0</v>
      </c>
      <c r="I99">
        <v>0</v>
      </c>
      <c r="J99">
        <v>0</v>
      </c>
      <c r="K99">
        <v>0</v>
      </c>
      <c r="L99">
        <v>14</v>
      </c>
      <c r="M99">
        <v>0</v>
      </c>
      <c r="N99">
        <v>0</v>
      </c>
      <c r="O99">
        <v>0</v>
      </c>
      <c r="Q99">
        <v>0</v>
      </c>
      <c r="R99">
        <v>0</v>
      </c>
      <c r="S99">
        <v>0</v>
      </c>
      <c r="T99">
        <v>0</v>
      </c>
      <c r="U99">
        <v>0</v>
      </c>
      <c r="V99">
        <v>0</v>
      </c>
      <c r="X99">
        <v>0</v>
      </c>
      <c r="Y99">
        <v>0</v>
      </c>
      <c r="Z99">
        <v>114496</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19250</v>
      </c>
      <c r="BA99">
        <v>0</v>
      </c>
      <c r="BB99">
        <v>0</v>
      </c>
      <c r="BC99">
        <v>0</v>
      </c>
      <c r="BD99">
        <v>0</v>
      </c>
      <c r="BE99">
        <v>36052</v>
      </c>
      <c r="BF99">
        <v>1065</v>
      </c>
      <c r="BH99">
        <v>0</v>
      </c>
      <c r="BI99">
        <v>0</v>
      </c>
      <c r="BJ99">
        <v>19391</v>
      </c>
      <c r="BK99">
        <v>0</v>
      </c>
      <c r="BL99">
        <v>0</v>
      </c>
      <c r="BM99">
        <v>0</v>
      </c>
      <c r="BN99">
        <v>1337840</v>
      </c>
      <c r="BO99">
        <v>0</v>
      </c>
      <c r="BP99">
        <v>0</v>
      </c>
      <c r="BQ99">
        <v>0</v>
      </c>
      <c r="BS99">
        <v>0</v>
      </c>
      <c r="BT99">
        <v>0</v>
      </c>
      <c r="BV99">
        <v>0</v>
      </c>
    </row>
    <row r="100" spans="1:74" x14ac:dyDescent="0.3">
      <c r="A100" s="155">
        <v>364</v>
      </c>
      <c r="B100" t="s">
        <v>234</v>
      </c>
      <c r="D100">
        <v>0</v>
      </c>
      <c r="E100">
        <v>0</v>
      </c>
      <c r="G100">
        <v>0</v>
      </c>
      <c r="H100">
        <v>0</v>
      </c>
      <c r="I100">
        <v>0</v>
      </c>
      <c r="J100">
        <v>0</v>
      </c>
      <c r="K100">
        <v>0</v>
      </c>
      <c r="L100">
        <v>40242</v>
      </c>
      <c r="M100">
        <v>0</v>
      </c>
      <c r="N100">
        <v>0</v>
      </c>
      <c r="O100">
        <v>0</v>
      </c>
      <c r="Q100">
        <v>0</v>
      </c>
      <c r="R100">
        <v>0</v>
      </c>
      <c r="S100">
        <v>0</v>
      </c>
      <c r="T100">
        <v>0</v>
      </c>
      <c r="U100">
        <v>0</v>
      </c>
      <c r="V100">
        <v>0</v>
      </c>
      <c r="X100">
        <v>0</v>
      </c>
      <c r="Y100">
        <v>0</v>
      </c>
      <c r="Z100">
        <v>59910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6363</v>
      </c>
      <c r="BA100">
        <v>0</v>
      </c>
      <c r="BB100">
        <v>0</v>
      </c>
      <c r="BC100">
        <v>0</v>
      </c>
      <c r="BD100">
        <v>0</v>
      </c>
      <c r="BE100">
        <v>11809</v>
      </c>
      <c r="BF100">
        <v>62752</v>
      </c>
      <c r="BH100">
        <v>0</v>
      </c>
      <c r="BI100">
        <v>0</v>
      </c>
      <c r="BJ100">
        <v>62623</v>
      </c>
      <c r="BK100">
        <v>0</v>
      </c>
      <c r="BL100">
        <v>0</v>
      </c>
      <c r="BM100">
        <v>0</v>
      </c>
      <c r="BN100">
        <v>0</v>
      </c>
      <c r="BO100">
        <v>0</v>
      </c>
      <c r="BP100">
        <v>0</v>
      </c>
      <c r="BQ100">
        <v>0</v>
      </c>
      <c r="BS100">
        <v>0</v>
      </c>
      <c r="BT100">
        <v>0</v>
      </c>
      <c r="BV100">
        <v>0</v>
      </c>
    </row>
    <row r="101" spans="1:74" x14ac:dyDescent="0.3">
      <c r="A101" s="155">
        <v>365</v>
      </c>
      <c r="B101" t="s">
        <v>236</v>
      </c>
      <c r="D101">
        <v>0</v>
      </c>
      <c r="E101">
        <v>0</v>
      </c>
      <c r="G101">
        <v>0</v>
      </c>
      <c r="H101">
        <v>0</v>
      </c>
      <c r="I101">
        <v>0</v>
      </c>
      <c r="J101">
        <v>0</v>
      </c>
      <c r="K101">
        <v>0</v>
      </c>
      <c r="L101">
        <v>0</v>
      </c>
      <c r="M101">
        <v>0</v>
      </c>
      <c r="N101">
        <v>0</v>
      </c>
      <c r="O101">
        <v>0</v>
      </c>
      <c r="Q101">
        <v>0</v>
      </c>
      <c r="R101">
        <v>0</v>
      </c>
      <c r="S101">
        <v>0</v>
      </c>
      <c r="T101">
        <v>0</v>
      </c>
      <c r="U101">
        <v>0</v>
      </c>
      <c r="V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H101">
        <v>0</v>
      </c>
      <c r="BI101">
        <v>0</v>
      </c>
      <c r="BJ101">
        <v>0</v>
      </c>
      <c r="BK101">
        <v>0</v>
      </c>
      <c r="BL101">
        <v>0</v>
      </c>
      <c r="BM101">
        <v>0</v>
      </c>
      <c r="BN101">
        <v>0</v>
      </c>
      <c r="BO101">
        <v>0</v>
      </c>
      <c r="BP101">
        <v>0</v>
      </c>
      <c r="BQ101">
        <v>0</v>
      </c>
      <c r="BS101">
        <v>0</v>
      </c>
      <c r="BT101">
        <v>0</v>
      </c>
      <c r="BV101">
        <v>0</v>
      </c>
    </row>
    <row r="102" spans="1:74" x14ac:dyDescent="0.3">
      <c r="A102" s="155">
        <v>366</v>
      </c>
      <c r="B102" t="s">
        <v>924</v>
      </c>
      <c r="D102">
        <v>0</v>
      </c>
      <c r="E102">
        <v>0</v>
      </c>
      <c r="G102">
        <v>0</v>
      </c>
      <c r="H102">
        <v>0</v>
      </c>
      <c r="I102">
        <v>0</v>
      </c>
      <c r="J102">
        <v>0</v>
      </c>
      <c r="K102">
        <v>0</v>
      </c>
      <c r="L102">
        <v>162601</v>
      </c>
      <c r="M102">
        <v>0</v>
      </c>
      <c r="N102">
        <v>0</v>
      </c>
      <c r="O102">
        <v>0</v>
      </c>
      <c r="Q102">
        <v>0</v>
      </c>
      <c r="R102">
        <v>0</v>
      </c>
      <c r="S102">
        <v>0</v>
      </c>
      <c r="T102">
        <v>0</v>
      </c>
      <c r="U102">
        <v>0</v>
      </c>
      <c r="V102">
        <v>0</v>
      </c>
      <c r="X102">
        <v>0</v>
      </c>
      <c r="Y102">
        <v>0</v>
      </c>
      <c r="Z102">
        <v>2485000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99357</v>
      </c>
      <c r="AW102">
        <v>0</v>
      </c>
      <c r="AX102">
        <v>0</v>
      </c>
      <c r="AY102">
        <v>0</v>
      </c>
      <c r="AZ102">
        <v>175000</v>
      </c>
      <c r="BA102">
        <v>0</v>
      </c>
      <c r="BB102">
        <v>0</v>
      </c>
      <c r="BC102">
        <v>0</v>
      </c>
      <c r="BD102">
        <v>0</v>
      </c>
      <c r="BE102">
        <v>348222</v>
      </c>
      <c r="BF102">
        <v>1314231</v>
      </c>
      <c r="BH102">
        <v>0</v>
      </c>
      <c r="BI102">
        <v>0</v>
      </c>
      <c r="BJ102">
        <v>0</v>
      </c>
      <c r="BK102">
        <v>0</v>
      </c>
      <c r="BL102">
        <v>0</v>
      </c>
      <c r="BM102">
        <v>0</v>
      </c>
      <c r="BN102">
        <v>0</v>
      </c>
      <c r="BO102">
        <v>0</v>
      </c>
      <c r="BP102">
        <v>0</v>
      </c>
      <c r="BQ102">
        <v>0</v>
      </c>
      <c r="BS102">
        <v>0</v>
      </c>
      <c r="BT102">
        <v>0</v>
      </c>
      <c r="BV102">
        <v>0</v>
      </c>
    </row>
    <row r="103" spans="1:74" x14ac:dyDescent="0.3">
      <c r="A103" s="155">
        <v>368</v>
      </c>
      <c r="B103" t="s">
        <v>191</v>
      </c>
      <c r="D103">
        <v>0</v>
      </c>
      <c r="E103">
        <v>129614</v>
      </c>
      <c r="G103">
        <v>0</v>
      </c>
      <c r="H103">
        <v>0</v>
      </c>
      <c r="I103">
        <v>0</v>
      </c>
      <c r="J103">
        <v>0</v>
      </c>
      <c r="K103">
        <v>0</v>
      </c>
      <c r="L103">
        <v>0</v>
      </c>
      <c r="M103">
        <v>0</v>
      </c>
      <c r="N103">
        <v>0</v>
      </c>
      <c r="O103">
        <v>0</v>
      </c>
      <c r="Q103">
        <v>0</v>
      </c>
      <c r="R103">
        <v>0</v>
      </c>
      <c r="S103">
        <v>0</v>
      </c>
      <c r="T103">
        <v>0</v>
      </c>
      <c r="U103">
        <v>0</v>
      </c>
      <c r="V103">
        <v>0</v>
      </c>
      <c r="X103">
        <v>0</v>
      </c>
      <c r="Y103">
        <v>0</v>
      </c>
      <c r="Z103">
        <v>314329</v>
      </c>
      <c r="AA103">
        <v>0</v>
      </c>
      <c r="AB103">
        <v>0</v>
      </c>
      <c r="AC103">
        <v>0</v>
      </c>
      <c r="AD103">
        <v>0</v>
      </c>
      <c r="AE103">
        <v>0</v>
      </c>
      <c r="AF103">
        <v>0</v>
      </c>
      <c r="AG103">
        <v>0</v>
      </c>
      <c r="AH103">
        <v>27225</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H103">
        <v>0</v>
      </c>
      <c r="BI103">
        <v>0</v>
      </c>
      <c r="BJ103">
        <v>0</v>
      </c>
      <c r="BK103">
        <v>0</v>
      </c>
      <c r="BL103">
        <v>193799</v>
      </c>
      <c r="BM103">
        <v>0</v>
      </c>
      <c r="BN103">
        <v>0</v>
      </c>
      <c r="BO103">
        <v>0</v>
      </c>
      <c r="BP103">
        <v>0</v>
      </c>
      <c r="BQ103">
        <v>0</v>
      </c>
      <c r="BS103">
        <v>0</v>
      </c>
      <c r="BT103">
        <v>0</v>
      </c>
      <c r="BV103">
        <v>0</v>
      </c>
    </row>
    <row r="104" spans="1:74" x14ac:dyDescent="0.3">
      <c r="A104" s="155">
        <v>369</v>
      </c>
      <c r="B104" t="s">
        <v>196</v>
      </c>
      <c r="D104">
        <v>2349049</v>
      </c>
      <c r="E104">
        <v>28687303</v>
      </c>
      <c r="G104">
        <v>2862530</v>
      </c>
      <c r="H104">
        <v>802293</v>
      </c>
      <c r="I104">
        <v>36228</v>
      </c>
      <c r="J104">
        <v>287773</v>
      </c>
      <c r="K104">
        <v>1169403</v>
      </c>
      <c r="L104">
        <v>1624042</v>
      </c>
      <c r="M104">
        <v>2652054</v>
      </c>
      <c r="N104">
        <v>147788</v>
      </c>
      <c r="O104">
        <v>120048</v>
      </c>
      <c r="Q104">
        <v>278874</v>
      </c>
      <c r="R104">
        <v>695324</v>
      </c>
      <c r="S104">
        <v>348249</v>
      </c>
      <c r="T104">
        <v>4828253</v>
      </c>
      <c r="U104">
        <v>854935</v>
      </c>
      <c r="V104">
        <v>267942</v>
      </c>
      <c r="X104">
        <v>4031923</v>
      </c>
      <c r="Y104">
        <v>887218</v>
      </c>
      <c r="Z104">
        <v>24650706</v>
      </c>
      <c r="AA104">
        <v>1160240</v>
      </c>
      <c r="AB104">
        <v>195986</v>
      </c>
      <c r="AC104">
        <v>165120</v>
      </c>
      <c r="AD104">
        <v>715436</v>
      </c>
      <c r="AE104">
        <v>884164</v>
      </c>
      <c r="AF104">
        <v>131235</v>
      </c>
      <c r="AG104">
        <v>91867</v>
      </c>
      <c r="AH104">
        <v>4095376</v>
      </c>
      <c r="AI104">
        <v>76037</v>
      </c>
      <c r="AJ104">
        <v>1466591</v>
      </c>
      <c r="AK104">
        <v>113730</v>
      </c>
      <c r="AL104">
        <v>242981</v>
      </c>
      <c r="AM104">
        <v>2198853</v>
      </c>
      <c r="AN104">
        <v>193162</v>
      </c>
      <c r="AO104">
        <v>16456750</v>
      </c>
      <c r="AP104">
        <v>433693</v>
      </c>
      <c r="AQ104">
        <v>129076</v>
      </c>
      <c r="AR104">
        <v>197003</v>
      </c>
      <c r="AS104">
        <v>4950866</v>
      </c>
      <c r="AT104">
        <v>104742</v>
      </c>
      <c r="AU104">
        <v>313052</v>
      </c>
      <c r="AV104">
        <v>858547</v>
      </c>
      <c r="AW104">
        <v>214789</v>
      </c>
      <c r="AX104">
        <v>111782</v>
      </c>
      <c r="AY104">
        <v>44913</v>
      </c>
      <c r="AZ104">
        <v>1326531</v>
      </c>
      <c r="BA104">
        <v>627674</v>
      </c>
      <c r="BB104">
        <v>20153</v>
      </c>
      <c r="BC104">
        <v>56653</v>
      </c>
      <c r="BD104">
        <v>3420337</v>
      </c>
      <c r="BE104">
        <v>621013</v>
      </c>
      <c r="BF104">
        <v>3582713</v>
      </c>
      <c r="BH104">
        <v>137248</v>
      </c>
      <c r="BI104">
        <v>85454</v>
      </c>
      <c r="BJ104">
        <v>5164269</v>
      </c>
      <c r="BK104">
        <v>723373</v>
      </c>
      <c r="BL104">
        <v>6706065</v>
      </c>
      <c r="BM104">
        <v>922160</v>
      </c>
      <c r="BN104">
        <v>4478881</v>
      </c>
      <c r="BO104">
        <v>1270304</v>
      </c>
      <c r="BP104">
        <v>29308</v>
      </c>
      <c r="BQ104">
        <v>1341835</v>
      </c>
      <c r="BS104">
        <v>581069</v>
      </c>
      <c r="BT104">
        <v>529110</v>
      </c>
      <c r="BV104">
        <v>1202427</v>
      </c>
    </row>
    <row r="105" spans="1:74" x14ac:dyDescent="0.3">
      <c r="A105" s="155">
        <v>370</v>
      </c>
      <c r="B105" t="s">
        <v>198</v>
      </c>
      <c r="D105">
        <v>285818</v>
      </c>
      <c r="E105">
        <v>60393487</v>
      </c>
      <c r="G105">
        <v>168666</v>
      </c>
      <c r="H105">
        <v>0</v>
      </c>
      <c r="I105">
        <v>0</v>
      </c>
      <c r="J105">
        <v>0</v>
      </c>
      <c r="K105">
        <v>0</v>
      </c>
      <c r="L105">
        <v>465798</v>
      </c>
      <c r="M105">
        <v>366602</v>
      </c>
      <c r="N105">
        <v>0</v>
      </c>
      <c r="O105">
        <v>17567</v>
      </c>
      <c r="Q105">
        <v>0</v>
      </c>
      <c r="R105">
        <v>41528</v>
      </c>
      <c r="S105">
        <v>0</v>
      </c>
      <c r="T105">
        <v>1688415</v>
      </c>
      <c r="U105">
        <v>94401</v>
      </c>
      <c r="V105">
        <v>0</v>
      </c>
      <c r="X105">
        <v>133510</v>
      </c>
      <c r="Y105">
        <v>238536</v>
      </c>
      <c r="Z105">
        <v>5349644</v>
      </c>
      <c r="AA105">
        <v>162414</v>
      </c>
      <c r="AB105">
        <v>0</v>
      </c>
      <c r="AC105">
        <v>0</v>
      </c>
      <c r="AD105">
        <v>280568</v>
      </c>
      <c r="AE105">
        <v>33025</v>
      </c>
      <c r="AF105">
        <v>15804</v>
      </c>
      <c r="AG105">
        <v>31485</v>
      </c>
      <c r="AH105">
        <v>531721</v>
      </c>
      <c r="AI105">
        <v>0</v>
      </c>
      <c r="AJ105">
        <v>151354</v>
      </c>
      <c r="AK105">
        <v>0</v>
      </c>
      <c r="AL105">
        <v>53114</v>
      </c>
      <c r="AM105">
        <v>272305</v>
      </c>
      <c r="AN105">
        <v>0</v>
      </c>
      <c r="AO105">
        <v>1570955</v>
      </c>
      <c r="AP105">
        <v>36540</v>
      </c>
      <c r="AQ105">
        <v>3739</v>
      </c>
      <c r="AR105">
        <v>20652</v>
      </c>
      <c r="AS105">
        <v>1377951</v>
      </c>
      <c r="AT105">
        <v>12331</v>
      </c>
      <c r="AU105">
        <v>0</v>
      </c>
      <c r="AV105">
        <v>0</v>
      </c>
      <c r="AW105">
        <v>15070</v>
      </c>
      <c r="AX105">
        <v>0</v>
      </c>
      <c r="AY105">
        <v>0</v>
      </c>
      <c r="AZ105">
        <v>305956</v>
      </c>
      <c r="BA105">
        <v>151697</v>
      </c>
      <c r="BB105">
        <v>0</v>
      </c>
      <c r="BC105">
        <v>0</v>
      </c>
      <c r="BD105">
        <v>475426</v>
      </c>
      <c r="BE105">
        <v>72966</v>
      </c>
      <c r="BF105">
        <v>2596997</v>
      </c>
      <c r="BH105">
        <v>0</v>
      </c>
      <c r="BI105">
        <v>0</v>
      </c>
      <c r="BJ105">
        <v>1023638</v>
      </c>
      <c r="BK105">
        <v>0</v>
      </c>
      <c r="BL105">
        <v>1122222</v>
      </c>
      <c r="BM105">
        <v>0</v>
      </c>
      <c r="BN105">
        <v>391236</v>
      </c>
      <c r="BO105">
        <v>0</v>
      </c>
      <c r="BP105">
        <v>0</v>
      </c>
      <c r="BQ105">
        <v>43716</v>
      </c>
      <c r="BS105">
        <v>0</v>
      </c>
      <c r="BT105">
        <v>60958</v>
      </c>
      <c r="BV105">
        <v>65213</v>
      </c>
    </row>
    <row r="106" spans="1:74" x14ac:dyDescent="0.3">
      <c r="A106" s="155">
        <v>371</v>
      </c>
      <c r="B106" t="s">
        <v>248</v>
      </c>
      <c r="D106">
        <v>0</v>
      </c>
      <c r="E106">
        <v>68132799</v>
      </c>
      <c r="G106">
        <v>0</v>
      </c>
      <c r="H106">
        <v>0</v>
      </c>
      <c r="I106">
        <v>0</v>
      </c>
      <c r="J106">
        <v>0</v>
      </c>
      <c r="K106">
        <v>0</v>
      </c>
      <c r="L106">
        <v>0</v>
      </c>
      <c r="M106">
        <v>0</v>
      </c>
      <c r="N106">
        <v>0</v>
      </c>
      <c r="O106">
        <v>0</v>
      </c>
      <c r="Q106">
        <v>0</v>
      </c>
      <c r="R106">
        <v>0</v>
      </c>
      <c r="S106">
        <v>0</v>
      </c>
      <c r="T106">
        <v>0</v>
      </c>
      <c r="U106">
        <v>0</v>
      </c>
      <c r="V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H106">
        <v>0</v>
      </c>
      <c r="BI106">
        <v>0</v>
      </c>
      <c r="BJ106">
        <v>0</v>
      </c>
      <c r="BK106">
        <v>0</v>
      </c>
      <c r="BL106">
        <v>0</v>
      </c>
      <c r="BM106">
        <v>0</v>
      </c>
      <c r="BN106">
        <v>0</v>
      </c>
      <c r="BO106">
        <v>0</v>
      </c>
      <c r="BP106">
        <v>0</v>
      </c>
      <c r="BQ106">
        <v>0</v>
      </c>
      <c r="BS106">
        <v>0</v>
      </c>
      <c r="BT106">
        <v>0</v>
      </c>
      <c r="BV106">
        <v>0</v>
      </c>
    </row>
    <row r="107" spans="1:74" x14ac:dyDescent="0.3">
      <c r="A107" s="155">
        <v>373</v>
      </c>
      <c r="B107" t="s">
        <v>304</v>
      </c>
      <c r="D107">
        <v>6002534</v>
      </c>
      <c r="E107">
        <v>1018153783</v>
      </c>
      <c r="G107">
        <v>10410097</v>
      </c>
      <c r="H107">
        <v>2906363</v>
      </c>
      <c r="I107">
        <v>11570</v>
      </c>
      <c r="J107">
        <v>102675</v>
      </c>
      <c r="K107">
        <v>1732357</v>
      </c>
      <c r="L107">
        <v>4080831</v>
      </c>
      <c r="M107">
        <v>53023863</v>
      </c>
      <c r="N107">
        <v>81816</v>
      </c>
      <c r="O107">
        <v>671714</v>
      </c>
      <c r="Q107">
        <v>425258</v>
      </c>
      <c r="R107">
        <v>792444</v>
      </c>
      <c r="S107">
        <v>2341518</v>
      </c>
      <c r="T107">
        <v>18902406</v>
      </c>
      <c r="U107">
        <v>2987081</v>
      </c>
      <c r="V107">
        <v>453371</v>
      </c>
      <c r="X107">
        <v>12689655</v>
      </c>
      <c r="Y107">
        <v>2005223</v>
      </c>
      <c r="Z107">
        <v>107259548</v>
      </c>
      <c r="AA107">
        <v>13046198</v>
      </c>
      <c r="AB107">
        <v>91672</v>
      </c>
      <c r="AC107">
        <v>677415</v>
      </c>
      <c r="AD107">
        <v>2907301</v>
      </c>
      <c r="AE107">
        <v>1984629</v>
      </c>
      <c r="AF107">
        <v>375374</v>
      </c>
      <c r="AG107">
        <v>1615630</v>
      </c>
      <c r="AH107">
        <v>13118193</v>
      </c>
      <c r="AI107">
        <v>59769</v>
      </c>
      <c r="AJ107">
        <v>5670766</v>
      </c>
      <c r="AK107">
        <v>98395</v>
      </c>
      <c r="AL107">
        <v>878792</v>
      </c>
      <c r="AM107">
        <v>7691496</v>
      </c>
      <c r="AN107">
        <v>503346</v>
      </c>
      <c r="AO107">
        <v>63341009</v>
      </c>
      <c r="AP107">
        <v>1545262</v>
      </c>
      <c r="AQ107">
        <v>364910</v>
      </c>
      <c r="AR107">
        <v>145065</v>
      </c>
      <c r="AS107">
        <v>54332948</v>
      </c>
      <c r="AT107">
        <v>294888</v>
      </c>
      <c r="AU107">
        <v>3407515</v>
      </c>
      <c r="AV107">
        <v>4367596</v>
      </c>
      <c r="AW107">
        <v>257780</v>
      </c>
      <c r="AX107">
        <v>466133</v>
      </c>
      <c r="AY107">
        <v>211081</v>
      </c>
      <c r="AZ107">
        <v>10619851</v>
      </c>
      <c r="BA107">
        <v>2526993</v>
      </c>
      <c r="BB107">
        <v>196963</v>
      </c>
      <c r="BC107">
        <v>231459</v>
      </c>
      <c r="BD107">
        <v>5180285</v>
      </c>
      <c r="BE107">
        <v>996359</v>
      </c>
      <c r="BF107">
        <v>36283453</v>
      </c>
      <c r="BH107">
        <v>359566</v>
      </c>
      <c r="BI107">
        <v>72331</v>
      </c>
      <c r="BJ107">
        <v>58944180</v>
      </c>
      <c r="BK107">
        <v>1200873</v>
      </c>
      <c r="BL107">
        <v>25914766</v>
      </c>
      <c r="BM107">
        <v>0</v>
      </c>
      <c r="BN107">
        <v>9164319</v>
      </c>
      <c r="BO107">
        <v>1249059</v>
      </c>
      <c r="BP107">
        <v>11692</v>
      </c>
      <c r="BQ107">
        <v>4819329</v>
      </c>
      <c r="BS107">
        <v>3765932</v>
      </c>
      <c r="BT107">
        <v>1151134</v>
      </c>
      <c r="BV107">
        <v>2967243</v>
      </c>
    </row>
    <row r="108" spans="1:74" x14ac:dyDescent="0.3">
      <c r="A108" s="155">
        <v>375</v>
      </c>
      <c r="B108" t="s">
        <v>213</v>
      </c>
      <c r="D108">
        <v>5482369</v>
      </c>
      <c r="E108">
        <v>436169728</v>
      </c>
      <c r="G108">
        <v>2022504</v>
      </c>
      <c r="H108">
        <v>905864</v>
      </c>
      <c r="I108">
        <v>0</v>
      </c>
      <c r="J108">
        <v>0</v>
      </c>
      <c r="K108">
        <v>0</v>
      </c>
      <c r="L108">
        <v>182277</v>
      </c>
      <c r="M108">
        <v>8208226</v>
      </c>
      <c r="N108">
        <v>0</v>
      </c>
      <c r="O108">
        <v>477512</v>
      </c>
      <c r="Q108">
        <v>0</v>
      </c>
      <c r="R108">
        <v>0</v>
      </c>
      <c r="S108">
        <v>2271596</v>
      </c>
      <c r="T108">
        <v>0</v>
      </c>
      <c r="U108">
        <v>729719</v>
      </c>
      <c r="V108">
        <v>357446</v>
      </c>
      <c r="X108">
        <v>2492656</v>
      </c>
      <c r="Y108">
        <v>0</v>
      </c>
      <c r="Z108">
        <v>13593547</v>
      </c>
      <c r="AA108">
        <v>0</v>
      </c>
      <c r="AB108">
        <v>78456</v>
      </c>
      <c r="AC108">
        <v>417654</v>
      </c>
      <c r="AD108">
        <v>501621</v>
      </c>
      <c r="AE108">
        <v>327086</v>
      </c>
      <c r="AF108">
        <v>272412</v>
      </c>
      <c r="AG108">
        <v>-46703</v>
      </c>
      <c r="AH108">
        <v>2367646</v>
      </c>
      <c r="AI108">
        <v>0</v>
      </c>
      <c r="AJ108">
        <v>0</v>
      </c>
      <c r="AK108">
        <v>0</v>
      </c>
      <c r="AL108">
        <v>959589</v>
      </c>
      <c r="AM108">
        <v>962173</v>
      </c>
      <c r="AN108">
        <v>470815</v>
      </c>
      <c r="AO108">
        <v>0</v>
      </c>
      <c r="AP108">
        <v>738798</v>
      </c>
      <c r="AQ108">
        <v>0</v>
      </c>
      <c r="AR108">
        <v>59600</v>
      </c>
      <c r="AS108">
        <v>4312926</v>
      </c>
      <c r="AT108">
        <v>658782</v>
      </c>
      <c r="AU108">
        <v>4938529</v>
      </c>
      <c r="AV108">
        <v>211586</v>
      </c>
      <c r="AW108">
        <v>753314</v>
      </c>
      <c r="AX108">
        <v>0</v>
      </c>
      <c r="AY108">
        <v>0</v>
      </c>
      <c r="AZ108">
        <v>3223727</v>
      </c>
      <c r="BA108">
        <v>347548</v>
      </c>
      <c r="BB108">
        <v>608014</v>
      </c>
      <c r="BC108">
        <v>573385</v>
      </c>
      <c r="BD108">
        <v>5307790</v>
      </c>
      <c r="BE108">
        <v>331765</v>
      </c>
      <c r="BF108">
        <v>7994600</v>
      </c>
      <c r="BH108">
        <v>0</v>
      </c>
      <c r="BI108">
        <v>754232</v>
      </c>
      <c r="BJ108">
        <v>10692127</v>
      </c>
      <c r="BK108">
        <v>1125303</v>
      </c>
      <c r="BL108">
        <v>16326589</v>
      </c>
      <c r="BM108">
        <v>0</v>
      </c>
      <c r="BN108">
        <v>789451</v>
      </c>
      <c r="BO108">
        <v>1060025</v>
      </c>
      <c r="BP108">
        <v>0</v>
      </c>
      <c r="BQ108">
        <v>0</v>
      </c>
      <c r="BS108">
        <v>1105576</v>
      </c>
      <c r="BT108">
        <v>506042</v>
      </c>
      <c r="BV108">
        <v>-79225</v>
      </c>
    </row>
    <row r="109" spans="1:74" x14ac:dyDescent="0.3">
      <c r="A109" s="155">
        <v>376</v>
      </c>
      <c r="B109" t="s">
        <v>100</v>
      </c>
      <c r="D109">
        <v>-1</v>
      </c>
      <c r="E109">
        <v>0</v>
      </c>
      <c r="G109">
        <v>0</v>
      </c>
      <c r="H109">
        <v>2</v>
      </c>
      <c r="I109">
        <v>0</v>
      </c>
      <c r="J109">
        <v>0</v>
      </c>
      <c r="K109">
        <v>0</v>
      </c>
      <c r="L109">
        <v>-223024</v>
      </c>
      <c r="M109">
        <v>0</v>
      </c>
      <c r="N109">
        <v>0</v>
      </c>
      <c r="O109">
        <v>0</v>
      </c>
      <c r="Q109">
        <v>0</v>
      </c>
      <c r="R109">
        <v>0</v>
      </c>
      <c r="S109">
        <v>0</v>
      </c>
      <c r="T109">
        <v>0</v>
      </c>
      <c r="U109">
        <v>0</v>
      </c>
      <c r="V109">
        <v>0</v>
      </c>
      <c r="X109">
        <v>-936663</v>
      </c>
      <c r="Y109">
        <v>0</v>
      </c>
      <c r="Z109">
        <v>0</v>
      </c>
      <c r="AA109">
        <v>0</v>
      </c>
      <c r="AB109">
        <v>0</v>
      </c>
      <c r="AC109">
        <v>0</v>
      </c>
      <c r="AD109">
        <v>0</v>
      </c>
      <c r="AE109">
        <v>0</v>
      </c>
      <c r="AF109">
        <v>0</v>
      </c>
      <c r="AG109">
        <v>0</v>
      </c>
      <c r="AH109">
        <v>0</v>
      </c>
      <c r="AI109">
        <v>0</v>
      </c>
      <c r="AJ109">
        <v>3</v>
      </c>
      <c r="AK109">
        <v>0</v>
      </c>
      <c r="AL109">
        <v>0</v>
      </c>
      <c r="AM109">
        <v>0</v>
      </c>
      <c r="AN109">
        <v>0</v>
      </c>
      <c r="AO109">
        <v>0</v>
      </c>
      <c r="AP109">
        <v>0</v>
      </c>
      <c r="AQ109">
        <v>0</v>
      </c>
      <c r="AR109">
        <v>0</v>
      </c>
      <c r="AS109">
        <v>77936</v>
      </c>
      <c r="AT109">
        <v>0</v>
      </c>
      <c r="AU109">
        <v>0</v>
      </c>
      <c r="AV109">
        <v>0</v>
      </c>
      <c r="AW109">
        <v>-1</v>
      </c>
      <c r="AX109">
        <v>0</v>
      </c>
      <c r="AY109">
        <v>3</v>
      </c>
      <c r="AZ109">
        <v>0</v>
      </c>
      <c r="BA109">
        <v>0</v>
      </c>
      <c r="BB109">
        <v>0</v>
      </c>
      <c r="BC109">
        <v>0</v>
      </c>
      <c r="BD109">
        <v>0</v>
      </c>
      <c r="BE109">
        <v>0</v>
      </c>
      <c r="BF109">
        <v>0</v>
      </c>
      <c r="BH109">
        <v>0</v>
      </c>
      <c r="BI109">
        <v>0</v>
      </c>
      <c r="BJ109">
        <v>0</v>
      </c>
      <c r="BK109">
        <v>0</v>
      </c>
      <c r="BL109">
        <v>0</v>
      </c>
      <c r="BM109">
        <v>0</v>
      </c>
      <c r="BN109">
        <v>0</v>
      </c>
      <c r="BO109">
        <v>0</v>
      </c>
      <c r="BP109">
        <v>0</v>
      </c>
      <c r="BQ109">
        <v>0</v>
      </c>
      <c r="BS109">
        <v>0</v>
      </c>
      <c r="BT109">
        <v>0</v>
      </c>
      <c r="BV109">
        <v>0</v>
      </c>
    </row>
    <row r="110" spans="1:74" x14ac:dyDescent="0.3">
      <c r="A110" s="155">
        <v>377</v>
      </c>
      <c r="B110" t="s">
        <v>101</v>
      </c>
      <c r="D110">
        <v>0</v>
      </c>
      <c r="E110">
        <v>0</v>
      </c>
      <c r="G110">
        <v>0</v>
      </c>
      <c r="H110">
        <v>0</v>
      </c>
      <c r="I110">
        <v>0</v>
      </c>
      <c r="J110">
        <v>0</v>
      </c>
      <c r="K110">
        <v>0</v>
      </c>
      <c r="L110">
        <v>0</v>
      </c>
      <c r="M110">
        <v>0</v>
      </c>
      <c r="N110">
        <v>0</v>
      </c>
      <c r="O110">
        <v>0</v>
      </c>
      <c r="Q110">
        <v>0</v>
      </c>
      <c r="R110">
        <v>0</v>
      </c>
      <c r="S110">
        <v>0</v>
      </c>
      <c r="T110">
        <v>0</v>
      </c>
      <c r="U110">
        <v>0</v>
      </c>
      <c r="V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-1</v>
      </c>
      <c r="AV110">
        <v>0</v>
      </c>
      <c r="AW110">
        <v>0</v>
      </c>
      <c r="AX110">
        <v>0</v>
      </c>
      <c r="AY110">
        <v>0</v>
      </c>
      <c r="AZ110">
        <v>0</v>
      </c>
      <c r="BA110">
        <v>0</v>
      </c>
      <c r="BB110">
        <v>0</v>
      </c>
      <c r="BC110">
        <v>-1</v>
      </c>
      <c r="BD110">
        <v>-177300</v>
      </c>
      <c r="BE110">
        <v>-319843</v>
      </c>
      <c r="BF110">
        <v>0</v>
      </c>
      <c r="BH110">
        <v>0</v>
      </c>
      <c r="BI110">
        <v>0</v>
      </c>
      <c r="BJ110">
        <v>0</v>
      </c>
      <c r="BK110">
        <v>0</v>
      </c>
      <c r="BL110">
        <v>0</v>
      </c>
      <c r="BM110">
        <v>0</v>
      </c>
      <c r="BN110">
        <v>0</v>
      </c>
      <c r="BO110">
        <v>0</v>
      </c>
      <c r="BP110">
        <v>0</v>
      </c>
      <c r="BQ110">
        <v>0</v>
      </c>
      <c r="BS110">
        <v>0</v>
      </c>
      <c r="BT110">
        <v>0</v>
      </c>
      <c r="BV110">
        <v>0</v>
      </c>
    </row>
    <row r="111" spans="1:74" x14ac:dyDescent="0.3">
      <c r="A111" s="155">
        <v>378</v>
      </c>
      <c r="B111" t="s">
        <v>102</v>
      </c>
      <c r="D111">
        <v>0</v>
      </c>
      <c r="E111">
        <v>0</v>
      </c>
      <c r="G111">
        <v>0</v>
      </c>
      <c r="H111">
        <v>0</v>
      </c>
      <c r="I111">
        <v>0</v>
      </c>
      <c r="J111">
        <v>0</v>
      </c>
      <c r="K111">
        <v>0</v>
      </c>
      <c r="L111">
        <v>0</v>
      </c>
      <c r="M111">
        <v>0</v>
      </c>
      <c r="N111">
        <v>0</v>
      </c>
      <c r="O111">
        <v>0</v>
      </c>
      <c r="Q111">
        <v>0</v>
      </c>
      <c r="R111">
        <v>0</v>
      </c>
      <c r="S111">
        <v>0</v>
      </c>
      <c r="T111">
        <v>0</v>
      </c>
      <c r="U111">
        <v>0</v>
      </c>
      <c r="V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-276759</v>
      </c>
      <c r="BF111">
        <v>0</v>
      </c>
      <c r="BH111">
        <v>0</v>
      </c>
      <c r="BI111">
        <v>0</v>
      </c>
      <c r="BJ111">
        <v>0</v>
      </c>
      <c r="BK111">
        <v>0</v>
      </c>
      <c r="BL111">
        <v>0</v>
      </c>
      <c r="BM111">
        <v>0</v>
      </c>
      <c r="BN111">
        <v>0</v>
      </c>
      <c r="BO111">
        <v>0</v>
      </c>
      <c r="BP111">
        <v>0</v>
      </c>
      <c r="BQ111">
        <v>0</v>
      </c>
      <c r="BS111">
        <v>0</v>
      </c>
      <c r="BT111">
        <v>0</v>
      </c>
      <c r="BV111">
        <v>0</v>
      </c>
    </row>
    <row r="112" spans="1:74" x14ac:dyDescent="0.3">
      <c r="A112" s="155">
        <v>379</v>
      </c>
      <c r="B112" t="s">
        <v>110</v>
      </c>
      <c r="D112">
        <v>9636701</v>
      </c>
      <c r="E112">
        <v>426532511</v>
      </c>
      <c r="G112">
        <v>6594891</v>
      </c>
      <c r="H112">
        <v>1408858</v>
      </c>
      <c r="I112">
        <v>74079</v>
      </c>
      <c r="J112">
        <v>1507866</v>
      </c>
      <c r="K112">
        <v>7821310</v>
      </c>
      <c r="L112">
        <v>3292626</v>
      </c>
      <c r="M112">
        <v>15629020</v>
      </c>
      <c r="N112">
        <v>833090</v>
      </c>
      <c r="O112">
        <v>1081051</v>
      </c>
      <c r="Q112">
        <v>748197</v>
      </c>
      <c r="R112">
        <v>1208258</v>
      </c>
      <c r="S112">
        <v>1347272</v>
      </c>
      <c r="T112">
        <v>6185243</v>
      </c>
      <c r="U112">
        <v>1207300</v>
      </c>
      <c r="V112">
        <v>1178950</v>
      </c>
      <c r="X112">
        <v>6103140</v>
      </c>
      <c r="Y112">
        <v>1930931</v>
      </c>
      <c r="Z112">
        <v>70399202</v>
      </c>
      <c r="AA112">
        <v>10463601</v>
      </c>
      <c r="AB112">
        <v>361347</v>
      </c>
      <c r="AC112">
        <v>560903</v>
      </c>
      <c r="AD112">
        <v>1151695</v>
      </c>
      <c r="AE112">
        <v>2488545</v>
      </c>
      <c r="AF112">
        <v>491338</v>
      </c>
      <c r="AG112">
        <v>692417</v>
      </c>
      <c r="AH112">
        <v>3836219</v>
      </c>
      <c r="AI112">
        <v>303947</v>
      </c>
      <c r="AJ112">
        <v>3854007</v>
      </c>
      <c r="AK112">
        <v>655291</v>
      </c>
      <c r="AL112">
        <v>1099758</v>
      </c>
      <c r="AM112">
        <v>2802220</v>
      </c>
      <c r="AN112">
        <v>706665</v>
      </c>
      <c r="AO112">
        <v>27346224</v>
      </c>
      <c r="AP112">
        <v>1381561</v>
      </c>
      <c r="AQ112">
        <v>668283</v>
      </c>
      <c r="AR112">
        <v>717717</v>
      </c>
      <c r="AS112">
        <v>26154502</v>
      </c>
      <c r="AT112">
        <v>518859</v>
      </c>
      <c r="AU112">
        <v>7034955</v>
      </c>
      <c r="AV112">
        <v>852985</v>
      </c>
      <c r="AW112">
        <v>578069</v>
      </c>
      <c r="AX112">
        <v>292592</v>
      </c>
      <c r="AY112">
        <v>591488</v>
      </c>
      <c r="AZ112">
        <v>5216962</v>
      </c>
      <c r="BA112">
        <v>1379388</v>
      </c>
      <c r="BB112">
        <v>243048</v>
      </c>
      <c r="BC112">
        <v>1422324</v>
      </c>
      <c r="BD112">
        <v>8301285</v>
      </c>
      <c r="BE112">
        <v>1617810</v>
      </c>
      <c r="BF112">
        <v>13544842</v>
      </c>
      <c r="BH112">
        <v>303072</v>
      </c>
      <c r="BI112">
        <v>540501</v>
      </c>
      <c r="BJ112">
        <v>16311619</v>
      </c>
      <c r="BK112">
        <v>1641232</v>
      </c>
      <c r="BL112">
        <v>14625936</v>
      </c>
      <c r="BM112">
        <v>9181711</v>
      </c>
      <c r="BN112">
        <v>5380448</v>
      </c>
      <c r="BO112">
        <v>2733674</v>
      </c>
      <c r="BP112">
        <v>64982</v>
      </c>
      <c r="BQ112">
        <v>2848454</v>
      </c>
      <c r="BS112">
        <v>3380072</v>
      </c>
      <c r="BT112">
        <v>1655666</v>
      </c>
      <c r="BV112">
        <v>4017590</v>
      </c>
    </row>
    <row r="113" spans="1:74" x14ac:dyDescent="0.3">
      <c r="A113" s="155">
        <v>380</v>
      </c>
      <c r="B113" t="s">
        <v>113</v>
      </c>
      <c r="D113">
        <v>132366</v>
      </c>
      <c r="E113">
        <v>910549</v>
      </c>
      <c r="G113">
        <v>98019</v>
      </c>
      <c r="H113">
        <v>53812</v>
      </c>
      <c r="I113">
        <v>1181</v>
      </c>
      <c r="J113">
        <v>8280</v>
      </c>
      <c r="K113">
        <v>0</v>
      </c>
      <c r="L113">
        <v>807775</v>
      </c>
      <c r="M113">
        <v>1229637</v>
      </c>
      <c r="N113">
        <v>3876</v>
      </c>
      <c r="O113">
        <v>12889</v>
      </c>
      <c r="Q113">
        <v>5661</v>
      </c>
      <c r="R113">
        <v>35886</v>
      </c>
      <c r="S113">
        <v>3682</v>
      </c>
      <c r="T113">
        <v>272509</v>
      </c>
      <c r="U113">
        <v>11422</v>
      </c>
      <c r="V113">
        <v>12995</v>
      </c>
      <c r="X113">
        <v>57172</v>
      </c>
      <c r="Y113">
        <v>27471</v>
      </c>
      <c r="Z113">
        <v>12234158</v>
      </c>
      <c r="AA113">
        <v>55800</v>
      </c>
      <c r="AB113">
        <v>5388</v>
      </c>
      <c r="AC113">
        <v>90912</v>
      </c>
      <c r="AD113">
        <v>0</v>
      </c>
      <c r="AE113">
        <v>61708</v>
      </c>
      <c r="AF113">
        <v>826</v>
      </c>
      <c r="AG113">
        <v>136030</v>
      </c>
      <c r="AH113">
        <v>82699</v>
      </c>
      <c r="AI113">
        <v>3215</v>
      </c>
      <c r="AJ113">
        <v>8604</v>
      </c>
      <c r="AK113">
        <v>4376</v>
      </c>
      <c r="AL113">
        <v>3088</v>
      </c>
      <c r="AM113">
        <v>48804</v>
      </c>
      <c r="AN113">
        <v>997</v>
      </c>
      <c r="AO113">
        <v>1136532</v>
      </c>
      <c r="AP113">
        <v>12214</v>
      </c>
      <c r="AQ113">
        <v>2679</v>
      </c>
      <c r="AR113">
        <v>4509</v>
      </c>
      <c r="AS113">
        <v>469205</v>
      </c>
      <c r="AT113">
        <v>33664</v>
      </c>
      <c r="AU113">
        <v>55722</v>
      </c>
      <c r="AV113">
        <v>113447</v>
      </c>
      <c r="AW113">
        <v>83545</v>
      </c>
      <c r="AX113">
        <v>722</v>
      </c>
      <c r="AY113">
        <v>15784</v>
      </c>
      <c r="AZ113">
        <v>40875</v>
      </c>
      <c r="BA113">
        <v>21925</v>
      </c>
      <c r="BB113">
        <v>2654</v>
      </c>
      <c r="BC113">
        <v>5698</v>
      </c>
      <c r="BD113">
        <v>104686</v>
      </c>
      <c r="BE113">
        <v>64704</v>
      </c>
      <c r="BF113">
        <v>428825</v>
      </c>
      <c r="BH113">
        <v>6843</v>
      </c>
      <c r="BI113">
        <v>845</v>
      </c>
      <c r="BJ113">
        <v>23902</v>
      </c>
      <c r="BK113">
        <v>36328</v>
      </c>
      <c r="BL113">
        <v>133045</v>
      </c>
      <c r="BM113">
        <v>40850</v>
      </c>
      <c r="BN113">
        <v>54217</v>
      </c>
      <c r="BO113">
        <v>3766</v>
      </c>
      <c r="BP113">
        <v>15021</v>
      </c>
      <c r="BQ113">
        <v>116301</v>
      </c>
      <c r="BS113">
        <v>155220</v>
      </c>
      <c r="BT113">
        <v>13062</v>
      </c>
      <c r="BV113">
        <v>382055</v>
      </c>
    </row>
    <row r="114" spans="1:74" x14ac:dyDescent="0.3">
      <c r="A114" s="155">
        <v>381</v>
      </c>
      <c r="B114" t="s">
        <v>105</v>
      </c>
      <c r="D114">
        <v>20282518</v>
      </c>
      <c r="E114">
        <v>2299510057</v>
      </c>
      <c r="G114">
        <v>10144051</v>
      </c>
      <c r="H114">
        <v>5785928</v>
      </c>
      <c r="I114">
        <v>0</v>
      </c>
      <c r="J114">
        <v>0</v>
      </c>
      <c r="K114">
        <v>0</v>
      </c>
      <c r="L114">
        <v>16457986</v>
      </c>
      <c r="M114">
        <v>67480819</v>
      </c>
      <c r="N114">
        <v>133712</v>
      </c>
      <c r="O114">
        <v>5518933</v>
      </c>
      <c r="Q114">
        <v>0</v>
      </c>
      <c r="R114">
        <v>0</v>
      </c>
      <c r="S114">
        <v>3965248</v>
      </c>
      <c r="T114">
        <v>0</v>
      </c>
      <c r="U114">
        <v>9042788</v>
      </c>
      <c r="V114">
        <v>15426649</v>
      </c>
      <c r="X114">
        <v>17865598</v>
      </c>
      <c r="Y114">
        <v>0</v>
      </c>
      <c r="Z114">
        <v>105869631</v>
      </c>
      <c r="AA114">
        <v>0</v>
      </c>
      <c r="AB114">
        <v>1703207</v>
      </c>
      <c r="AC114">
        <v>6341321</v>
      </c>
      <c r="AD114">
        <v>8797002</v>
      </c>
      <c r="AE114">
        <v>3123681</v>
      </c>
      <c r="AF114">
        <v>4971718</v>
      </c>
      <c r="AG114">
        <v>3980579</v>
      </c>
      <c r="AH114">
        <v>47643599</v>
      </c>
      <c r="AI114">
        <v>0</v>
      </c>
      <c r="AJ114">
        <v>0</v>
      </c>
      <c r="AK114">
        <v>0</v>
      </c>
      <c r="AL114">
        <v>4298500</v>
      </c>
      <c r="AM114">
        <v>9521601</v>
      </c>
      <c r="AN114">
        <v>1745518</v>
      </c>
      <c r="AO114">
        <v>188365157</v>
      </c>
      <c r="AP114">
        <v>5710581</v>
      </c>
      <c r="AQ114">
        <v>0</v>
      </c>
      <c r="AR114">
        <v>1107244</v>
      </c>
      <c r="AS114">
        <v>203609052</v>
      </c>
      <c r="AT114">
        <v>6062925</v>
      </c>
      <c r="AU114">
        <v>10594011</v>
      </c>
      <c r="AV114">
        <v>7165011</v>
      </c>
      <c r="AW114">
        <v>7392964</v>
      </c>
      <c r="AX114">
        <v>0</v>
      </c>
      <c r="AY114">
        <v>15682</v>
      </c>
      <c r="AZ114">
        <v>14392370</v>
      </c>
      <c r="BA114">
        <v>2523148</v>
      </c>
      <c r="BB114">
        <v>3169636</v>
      </c>
      <c r="BC114">
        <v>1278010</v>
      </c>
      <c r="BD114">
        <v>16964187</v>
      </c>
      <c r="BE114">
        <v>9747528</v>
      </c>
      <c r="BF114">
        <v>145423442</v>
      </c>
      <c r="BH114">
        <v>0</v>
      </c>
      <c r="BI114">
        <v>2342568</v>
      </c>
      <c r="BJ114">
        <v>29381591</v>
      </c>
      <c r="BK114">
        <v>7112627</v>
      </c>
      <c r="BL114">
        <v>58805902</v>
      </c>
      <c r="BM114">
        <v>0</v>
      </c>
      <c r="BN114">
        <v>21576036</v>
      </c>
      <c r="BO114">
        <v>10834092</v>
      </c>
      <c r="BP114">
        <v>0</v>
      </c>
      <c r="BQ114">
        <v>0</v>
      </c>
      <c r="BS114">
        <v>16716341</v>
      </c>
      <c r="BT114">
        <v>3844919</v>
      </c>
      <c r="BV114">
        <v>15368966</v>
      </c>
    </row>
    <row r="115" spans="1:74" x14ac:dyDescent="0.3">
      <c r="A115" s="155">
        <v>382</v>
      </c>
      <c r="B115" t="s">
        <v>106</v>
      </c>
      <c r="D115">
        <v>0</v>
      </c>
      <c r="E115">
        <v>0</v>
      </c>
      <c r="G115">
        <v>0</v>
      </c>
      <c r="H115">
        <v>0</v>
      </c>
      <c r="I115">
        <v>0</v>
      </c>
      <c r="J115">
        <v>0</v>
      </c>
      <c r="K115">
        <v>0</v>
      </c>
      <c r="L115">
        <v>2937363</v>
      </c>
      <c r="M115">
        <v>0</v>
      </c>
      <c r="N115">
        <v>0</v>
      </c>
      <c r="O115">
        <v>0</v>
      </c>
      <c r="Q115">
        <v>0</v>
      </c>
      <c r="R115">
        <v>0</v>
      </c>
      <c r="S115">
        <v>0</v>
      </c>
      <c r="T115">
        <v>0</v>
      </c>
      <c r="U115">
        <v>0</v>
      </c>
      <c r="V115">
        <v>0</v>
      </c>
      <c r="X115">
        <v>0</v>
      </c>
      <c r="Y115">
        <v>0</v>
      </c>
      <c r="Z115">
        <v>108057698</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2760749</v>
      </c>
      <c r="AW115">
        <v>0</v>
      </c>
      <c r="AX115">
        <v>0</v>
      </c>
      <c r="AY115">
        <v>0</v>
      </c>
      <c r="AZ115">
        <v>5872175</v>
      </c>
      <c r="BA115">
        <v>0</v>
      </c>
      <c r="BB115">
        <v>0</v>
      </c>
      <c r="BC115">
        <v>0</v>
      </c>
      <c r="BD115">
        <v>0</v>
      </c>
      <c r="BE115">
        <v>3515156</v>
      </c>
      <c r="BF115">
        <v>37595093</v>
      </c>
      <c r="BH115">
        <v>0</v>
      </c>
      <c r="BI115">
        <v>0</v>
      </c>
      <c r="BJ115">
        <v>25191001</v>
      </c>
      <c r="BK115">
        <v>0</v>
      </c>
      <c r="BL115">
        <v>0</v>
      </c>
      <c r="BM115">
        <v>0</v>
      </c>
      <c r="BN115">
        <v>19685973</v>
      </c>
      <c r="BO115">
        <v>0</v>
      </c>
      <c r="BP115">
        <v>0</v>
      </c>
      <c r="BQ115">
        <v>0</v>
      </c>
      <c r="BS115">
        <v>0</v>
      </c>
      <c r="BT115">
        <v>0</v>
      </c>
      <c r="BV115">
        <v>0</v>
      </c>
    </row>
    <row r="116" spans="1:74" x14ac:dyDescent="0.3">
      <c r="A116" s="155">
        <v>383</v>
      </c>
      <c r="B116" t="s">
        <v>212</v>
      </c>
      <c r="D116">
        <v>0</v>
      </c>
      <c r="E116">
        <v>0</v>
      </c>
      <c r="G116">
        <v>0</v>
      </c>
      <c r="H116">
        <v>0</v>
      </c>
      <c r="I116">
        <v>0</v>
      </c>
      <c r="J116">
        <v>0</v>
      </c>
      <c r="K116">
        <v>0</v>
      </c>
      <c r="L116">
        <v>0</v>
      </c>
      <c r="M116">
        <v>0</v>
      </c>
      <c r="N116">
        <v>0</v>
      </c>
      <c r="O116">
        <v>0</v>
      </c>
      <c r="Q116">
        <v>0</v>
      </c>
      <c r="R116">
        <v>0</v>
      </c>
      <c r="S116">
        <v>0</v>
      </c>
      <c r="T116">
        <v>0</v>
      </c>
      <c r="U116">
        <v>0</v>
      </c>
      <c r="V116">
        <v>0</v>
      </c>
      <c r="X116">
        <v>0</v>
      </c>
      <c r="Y116">
        <v>0</v>
      </c>
      <c r="Z116">
        <v>0</v>
      </c>
      <c r="AA116">
        <v>0</v>
      </c>
      <c r="AB116">
        <v>0</v>
      </c>
      <c r="AC116">
        <v>0</v>
      </c>
      <c r="AD116">
        <v>0</v>
      </c>
      <c r="AE116">
        <v>2658</v>
      </c>
      <c r="AF116">
        <v>0</v>
      </c>
      <c r="AG116">
        <v>0</v>
      </c>
      <c r="AH116">
        <v>0</v>
      </c>
      <c r="AI116">
        <v>0</v>
      </c>
      <c r="AJ116">
        <v>0</v>
      </c>
      <c r="AK116">
        <v>0</v>
      </c>
      <c r="AL116">
        <v>0</v>
      </c>
      <c r="AM116">
        <v>0</v>
      </c>
      <c r="AN116">
        <v>11124</v>
      </c>
      <c r="AO116">
        <v>0</v>
      </c>
      <c r="AP116">
        <v>0</v>
      </c>
      <c r="AQ116">
        <v>0</v>
      </c>
      <c r="AR116">
        <v>16130</v>
      </c>
      <c r="AS116">
        <v>0</v>
      </c>
      <c r="AT116">
        <v>0</v>
      </c>
      <c r="AU116">
        <v>0</v>
      </c>
      <c r="AV116">
        <v>0</v>
      </c>
      <c r="AW116">
        <v>0</v>
      </c>
      <c r="AX116">
        <v>0</v>
      </c>
      <c r="AY116">
        <v>0</v>
      </c>
      <c r="AZ116">
        <v>0</v>
      </c>
      <c r="BA116">
        <v>0</v>
      </c>
      <c r="BB116">
        <v>0</v>
      </c>
      <c r="BC116">
        <v>0</v>
      </c>
      <c r="BD116">
        <v>0</v>
      </c>
      <c r="BE116">
        <v>0</v>
      </c>
      <c r="BF116">
        <v>0</v>
      </c>
      <c r="BH116">
        <v>0</v>
      </c>
      <c r="BI116">
        <v>0</v>
      </c>
      <c r="BJ116">
        <v>0</v>
      </c>
      <c r="BK116">
        <v>0</v>
      </c>
      <c r="BL116">
        <v>0</v>
      </c>
      <c r="BM116">
        <v>0</v>
      </c>
      <c r="BN116">
        <v>0</v>
      </c>
      <c r="BO116">
        <v>0</v>
      </c>
      <c r="BP116">
        <v>0</v>
      </c>
      <c r="BQ116">
        <v>0</v>
      </c>
      <c r="BS116">
        <v>0</v>
      </c>
      <c r="BT116">
        <v>0</v>
      </c>
      <c r="BV116">
        <v>0</v>
      </c>
    </row>
    <row r="117" spans="1:74" x14ac:dyDescent="0.3">
      <c r="A117" s="155">
        <v>384</v>
      </c>
      <c r="B117" t="s">
        <v>116</v>
      </c>
      <c r="D117">
        <v>0</v>
      </c>
      <c r="E117">
        <v>0</v>
      </c>
      <c r="G117">
        <v>0</v>
      </c>
      <c r="H117">
        <v>0</v>
      </c>
      <c r="I117">
        <v>0</v>
      </c>
      <c r="J117">
        <v>0</v>
      </c>
      <c r="K117">
        <v>0</v>
      </c>
      <c r="L117">
        <v>0</v>
      </c>
      <c r="M117">
        <v>0</v>
      </c>
      <c r="N117">
        <v>0</v>
      </c>
      <c r="O117">
        <v>0</v>
      </c>
      <c r="Q117">
        <v>0</v>
      </c>
      <c r="R117">
        <v>0</v>
      </c>
      <c r="S117">
        <v>0</v>
      </c>
      <c r="T117">
        <v>0</v>
      </c>
      <c r="U117">
        <v>0</v>
      </c>
      <c r="V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25792</v>
      </c>
      <c r="BH117">
        <v>0</v>
      </c>
      <c r="BI117">
        <v>0</v>
      </c>
      <c r="BJ117">
        <v>0</v>
      </c>
      <c r="BK117">
        <v>0</v>
      </c>
      <c r="BL117">
        <v>0</v>
      </c>
      <c r="BM117">
        <v>0</v>
      </c>
      <c r="BN117">
        <v>0</v>
      </c>
      <c r="BO117">
        <v>0</v>
      </c>
      <c r="BP117">
        <v>0</v>
      </c>
      <c r="BQ117">
        <v>0</v>
      </c>
      <c r="BS117">
        <v>0</v>
      </c>
      <c r="BT117">
        <v>0</v>
      </c>
      <c r="BV117">
        <v>0</v>
      </c>
    </row>
    <row r="118" spans="1:74" x14ac:dyDescent="0.3">
      <c r="A118" s="155">
        <v>385</v>
      </c>
      <c r="B118" t="s">
        <v>107</v>
      </c>
      <c r="D118">
        <v>15702314</v>
      </c>
      <c r="E118">
        <v>2272168807</v>
      </c>
      <c r="G118">
        <v>17549624</v>
      </c>
      <c r="H118">
        <v>4267193</v>
      </c>
      <c r="I118">
        <v>81928</v>
      </c>
      <c r="J118">
        <v>2500498</v>
      </c>
      <c r="K118">
        <v>11869828</v>
      </c>
      <c r="L118">
        <v>8264274</v>
      </c>
      <c r="M118">
        <v>48870281</v>
      </c>
      <c r="N118">
        <v>897770</v>
      </c>
      <c r="O118">
        <v>1811625</v>
      </c>
      <c r="Q118">
        <v>1491995</v>
      </c>
      <c r="R118">
        <v>2571871</v>
      </c>
      <c r="S118">
        <v>6077053</v>
      </c>
      <c r="T118">
        <v>29773829</v>
      </c>
      <c r="U118">
        <v>4159356</v>
      </c>
      <c r="V118">
        <v>1338792</v>
      </c>
      <c r="X118">
        <v>38172515</v>
      </c>
      <c r="Y118">
        <v>4835766</v>
      </c>
      <c r="Z118">
        <v>236884804</v>
      </c>
      <c r="AA118">
        <v>59341878</v>
      </c>
      <c r="AB118">
        <v>440735</v>
      </c>
      <c r="AC118">
        <v>1408228</v>
      </c>
      <c r="AD118">
        <v>2416912</v>
      </c>
      <c r="AE118">
        <v>3488267</v>
      </c>
      <c r="AF118">
        <v>1308546</v>
      </c>
      <c r="AG118">
        <v>1220570</v>
      </c>
      <c r="AH118">
        <v>13945756</v>
      </c>
      <c r="AI118">
        <v>663704</v>
      </c>
      <c r="AJ118">
        <v>9128617</v>
      </c>
      <c r="AK118">
        <v>755805</v>
      </c>
      <c r="AL118">
        <v>2577888</v>
      </c>
      <c r="AM118">
        <v>8524587</v>
      </c>
      <c r="AN118">
        <v>1270672</v>
      </c>
      <c r="AO118">
        <v>91968914</v>
      </c>
      <c r="AP118">
        <v>3168770</v>
      </c>
      <c r="AQ118">
        <v>725363</v>
      </c>
      <c r="AR118">
        <v>1224555</v>
      </c>
      <c r="AS118">
        <v>86583154</v>
      </c>
      <c r="AT118">
        <v>1096315</v>
      </c>
      <c r="AU118">
        <v>10333245</v>
      </c>
      <c r="AV118">
        <v>4013374</v>
      </c>
      <c r="AW118">
        <v>1127646</v>
      </c>
      <c r="AX118">
        <v>3090441</v>
      </c>
      <c r="AY118">
        <v>724725</v>
      </c>
      <c r="AZ118">
        <v>16746064</v>
      </c>
      <c r="BA118">
        <v>4377780</v>
      </c>
      <c r="BB118">
        <v>255334</v>
      </c>
      <c r="BC118">
        <v>1577059</v>
      </c>
      <c r="BD118">
        <v>26444244</v>
      </c>
      <c r="BE118">
        <v>2455570</v>
      </c>
      <c r="BF118">
        <v>96225158</v>
      </c>
      <c r="BH118">
        <v>375840</v>
      </c>
      <c r="BI118">
        <v>818109</v>
      </c>
      <c r="BJ118">
        <v>52959221</v>
      </c>
      <c r="BK118">
        <v>3444121</v>
      </c>
      <c r="BL118">
        <v>65306314</v>
      </c>
      <c r="BM118">
        <v>21529217</v>
      </c>
      <c r="BN118">
        <v>22003977</v>
      </c>
      <c r="BO118">
        <v>4616168</v>
      </c>
      <c r="BP118">
        <v>92295</v>
      </c>
      <c r="BQ118">
        <v>11248685</v>
      </c>
      <c r="BS118">
        <v>8031256</v>
      </c>
      <c r="BT118">
        <v>3719482</v>
      </c>
      <c r="BV118">
        <v>7920796</v>
      </c>
    </row>
    <row r="119" spans="1:74" x14ac:dyDescent="0.3">
      <c r="A119" s="155">
        <v>386</v>
      </c>
      <c r="B119" t="s">
        <v>185</v>
      </c>
      <c r="D119">
        <v>0</v>
      </c>
      <c r="E119">
        <v>18074664</v>
      </c>
      <c r="G119">
        <v>0</v>
      </c>
      <c r="H119">
        <v>0</v>
      </c>
      <c r="I119">
        <v>0</v>
      </c>
      <c r="J119">
        <v>0</v>
      </c>
      <c r="K119">
        <v>0</v>
      </c>
      <c r="L119">
        <v>517834</v>
      </c>
      <c r="M119">
        <v>0</v>
      </c>
      <c r="N119">
        <v>0</v>
      </c>
      <c r="O119">
        <v>0</v>
      </c>
      <c r="Q119">
        <v>0</v>
      </c>
      <c r="R119">
        <v>0</v>
      </c>
      <c r="S119">
        <v>0</v>
      </c>
      <c r="T119">
        <v>0</v>
      </c>
      <c r="U119">
        <v>0</v>
      </c>
      <c r="V119">
        <v>0</v>
      </c>
      <c r="X119">
        <v>0</v>
      </c>
      <c r="Y119">
        <v>0</v>
      </c>
      <c r="Z119">
        <v>6974755</v>
      </c>
      <c r="AA119">
        <v>0</v>
      </c>
      <c r="AB119">
        <v>0</v>
      </c>
      <c r="AC119">
        <v>0</v>
      </c>
      <c r="AD119">
        <v>0</v>
      </c>
      <c r="AE119">
        <v>0</v>
      </c>
      <c r="AF119">
        <v>0</v>
      </c>
      <c r="AG119">
        <v>0</v>
      </c>
      <c r="AH119">
        <v>0</v>
      </c>
      <c r="AI119">
        <v>0</v>
      </c>
      <c r="AJ119">
        <v>0</v>
      </c>
      <c r="AK119">
        <v>0</v>
      </c>
      <c r="AL119">
        <v>0</v>
      </c>
      <c r="AM119">
        <v>0</v>
      </c>
      <c r="AN119">
        <v>0</v>
      </c>
      <c r="AO119">
        <v>0</v>
      </c>
      <c r="AP119">
        <v>20000</v>
      </c>
      <c r="AQ119">
        <v>0</v>
      </c>
      <c r="AR119">
        <v>0</v>
      </c>
      <c r="AS119">
        <v>0</v>
      </c>
      <c r="AT119">
        <v>0</v>
      </c>
      <c r="AU119">
        <v>0</v>
      </c>
      <c r="AV119">
        <v>19357</v>
      </c>
      <c r="AW119">
        <v>0</v>
      </c>
      <c r="AX119">
        <v>0</v>
      </c>
      <c r="AY119">
        <v>0</v>
      </c>
      <c r="AZ119">
        <v>175000</v>
      </c>
      <c r="BA119">
        <v>0</v>
      </c>
      <c r="BB119">
        <v>0</v>
      </c>
      <c r="BC119">
        <v>0</v>
      </c>
      <c r="BD119">
        <v>0</v>
      </c>
      <c r="BE119">
        <v>348222</v>
      </c>
      <c r="BF119">
        <v>3390412</v>
      </c>
      <c r="BH119">
        <v>0</v>
      </c>
      <c r="BI119">
        <v>0</v>
      </c>
      <c r="BJ119">
        <v>1009400</v>
      </c>
      <c r="BK119">
        <v>0</v>
      </c>
      <c r="BL119">
        <v>0</v>
      </c>
      <c r="BM119">
        <v>0</v>
      </c>
      <c r="BN119">
        <v>0</v>
      </c>
      <c r="BO119">
        <v>27334</v>
      </c>
      <c r="BP119">
        <v>0</v>
      </c>
      <c r="BQ119">
        <v>0</v>
      </c>
      <c r="BS119">
        <v>0</v>
      </c>
      <c r="BT119">
        <v>0</v>
      </c>
      <c r="BV119">
        <v>0</v>
      </c>
    </row>
    <row r="120" spans="1:74" x14ac:dyDescent="0.3">
      <c r="A120" s="155">
        <v>387</v>
      </c>
      <c r="B120" t="s">
        <v>186</v>
      </c>
      <c r="D120">
        <v>0</v>
      </c>
      <c r="E120">
        <v>74826447</v>
      </c>
      <c r="G120">
        <v>0</v>
      </c>
      <c r="H120">
        <v>0</v>
      </c>
      <c r="I120">
        <v>0</v>
      </c>
      <c r="J120">
        <v>0</v>
      </c>
      <c r="K120">
        <v>0</v>
      </c>
      <c r="L120">
        <v>0</v>
      </c>
      <c r="M120">
        <v>0</v>
      </c>
      <c r="N120">
        <v>0</v>
      </c>
      <c r="O120">
        <v>0</v>
      </c>
      <c r="Q120">
        <v>0</v>
      </c>
      <c r="R120">
        <v>0</v>
      </c>
      <c r="S120">
        <v>0</v>
      </c>
      <c r="T120">
        <v>0</v>
      </c>
      <c r="U120">
        <v>0</v>
      </c>
      <c r="V120">
        <v>0</v>
      </c>
      <c r="X120">
        <v>0</v>
      </c>
      <c r="Y120">
        <v>0</v>
      </c>
      <c r="Z120">
        <v>4299755</v>
      </c>
      <c r="AA120">
        <v>0</v>
      </c>
      <c r="AB120">
        <v>0</v>
      </c>
      <c r="AC120">
        <v>0</v>
      </c>
      <c r="AD120">
        <v>0</v>
      </c>
      <c r="AE120">
        <v>0</v>
      </c>
      <c r="AF120">
        <v>0</v>
      </c>
      <c r="AG120">
        <v>0</v>
      </c>
      <c r="AH120">
        <v>0</v>
      </c>
      <c r="AI120">
        <v>0</v>
      </c>
      <c r="AJ120">
        <v>0</v>
      </c>
      <c r="AK120">
        <v>0</v>
      </c>
      <c r="AL120">
        <v>0</v>
      </c>
      <c r="AM120">
        <v>0</v>
      </c>
      <c r="AN120">
        <v>0</v>
      </c>
      <c r="AO120">
        <v>3211611</v>
      </c>
      <c r="AP120">
        <v>0</v>
      </c>
      <c r="AQ120">
        <v>0</v>
      </c>
      <c r="AR120">
        <v>0</v>
      </c>
      <c r="AS120">
        <v>0</v>
      </c>
      <c r="AT120">
        <v>0</v>
      </c>
      <c r="AU120">
        <v>0</v>
      </c>
      <c r="AV120">
        <v>0</v>
      </c>
      <c r="AW120">
        <v>0</v>
      </c>
      <c r="AX120">
        <v>0</v>
      </c>
      <c r="AY120">
        <v>0</v>
      </c>
      <c r="AZ120">
        <v>0</v>
      </c>
      <c r="BA120">
        <v>0</v>
      </c>
      <c r="BB120">
        <v>0</v>
      </c>
      <c r="BC120">
        <v>0</v>
      </c>
      <c r="BD120">
        <v>0</v>
      </c>
      <c r="BE120">
        <v>0</v>
      </c>
      <c r="BF120">
        <v>0</v>
      </c>
      <c r="BH120">
        <v>0</v>
      </c>
      <c r="BI120">
        <v>0</v>
      </c>
      <c r="BJ120">
        <v>1009400</v>
      </c>
      <c r="BK120">
        <v>0</v>
      </c>
      <c r="BL120">
        <v>0</v>
      </c>
      <c r="BM120">
        <v>0</v>
      </c>
      <c r="BN120">
        <v>0</v>
      </c>
      <c r="BO120">
        <v>0</v>
      </c>
      <c r="BP120">
        <v>0</v>
      </c>
      <c r="BQ120">
        <v>0</v>
      </c>
      <c r="BS120">
        <v>0</v>
      </c>
      <c r="BT120">
        <v>0</v>
      </c>
      <c r="BV120">
        <v>0</v>
      </c>
    </row>
    <row r="121" spans="1:74" x14ac:dyDescent="0.3">
      <c r="A121" s="155">
        <v>388</v>
      </c>
      <c r="B121" t="s">
        <v>180</v>
      </c>
      <c r="D121">
        <v>5419005</v>
      </c>
      <c r="E121">
        <v>464166102</v>
      </c>
      <c r="G121">
        <v>6220992</v>
      </c>
      <c r="H121">
        <v>2456625</v>
      </c>
      <c r="I121">
        <v>26808</v>
      </c>
      <c r="J121">
        <v>352145</v>
      </c>
      <c r="K121">
        <v>761030</v>
      </c>
      <c r="L121">
        <v>4202256</v>
      </c>
      <c r="M121">
        <v>16875539</v>
      </c>
      <c r="N121">
        <v>68759</v>
      </c>
      <c r="O121">
        <v>563224</v>
      </c>
      <c r="Q121">
        <v>335377</v>
      </c>
      <c r="R121">
        <v>1490359</v>
      </c>
      <c r="S121">
        <v>1960153</v>
      </c>
      <c r="T121">
        <v>14459125</v>
      </c>
      <c r="U121">
        <v>1687319</v>
      </c>
      <c r="V121">
        <v>492026</v>
      </c>
      <c r="X121">
        <v>9378939</v>
      </c>
      <c r="Y121">
        <v>1658323</v>
      </c>
      <c r="Z121">
        <v>72141387</v>
      </c>
      <c r="AA121">
        <v>9923376</v>
      </c>
      <c r="AB121">
        <v>299725</v>
      </c>
      <c r="AC121">
        <v>339179</v>
      </c>
      <c r="AD121">
        <v>1396095</v>
      </c>
      <c r="AE121">
        <v>1237150</v>
      </c>
      <c r="AF121">
        <v>359216</v>
      </c>
      <c r="AG121">
        <v>1095939</v>
      </c>
      <c r="AH121">
        <v>11833983</v>
      </c>
      <c r="AI121">
        <v>117884</v>
      </c>
      <c r="AJ121">
        <v>3072643</v>
      </c>
      <c r="AK121">
        <v>191342</v>
      </c>
      <c r="AL121">
        <v>798262</v>
      </c>
      <c r="AM121">
        <v>4665330</v>
      </c>
      <c r="AN121">
        <v>392440</v>
      </c>
      <c r="AO121">
        <v>36792510</v>
      </c>
      <c r="AP121">
        <v>1201586</v>
      </c>
      <c r="AQ121">
        <v>93817</v>
      </c>
      <c r="AR121">
        <v>167879</v>
      </c>
      <c r="AS121">
        <v>37390830</v>
      </c>
      <c r="AT121">
        <v>285341</v>
      </c>
      <c r="AU121">
        <v>1875821</v>
      </c>
      <c r="AV121">
        <v>2060706</v>
      </c>
      <c r="AW121">
        <v>300717</v>
      </c>
      <c r="AX121">
        <v>403385</v>
      </c>
      <c r="AY121">
        <v>231169</v>
      </c>
      <c r="AZ121">
        <v>6215757</v>
      </c>
      <c r="BA121">
        <v>2069025</v>
      </c>
      <c r="BB121">
        <v>51035</v>
      </c>
      <c r="BC121">
        <v>358882</v>
      </c>
      <c r="BD121">
        <v>5282496</v>
      </c>
      <c r="BE121">
        <v>1391442</v>
      </c>
      <c r="BF121">
        <v>26746064</v>
      </c>
      <c r="BH121">
        <v>304364</v>
      </c>
      <c r="BI121">
        <v>202981</v>
      </c>
      <c r="BJ121">
        <v>14073435</v>
      </c>
      <c r="BK121">
        <v>1574657</v>
      </c>
      <c r="BL121">
        <v>19907136</v>
      </c>
      <c r="BM121">
        <v>0</v>
      </c>
      <c r="BN121">
        <v>8079367</v>
      </c>
      <c r="BO121">
        <v>1457097</v>
      </c>
      <c r="BP121">
        <v>37364</v>
      </c>
      <c r="BQ121">
        <v>3204722</v>
      </c>
      <c r="BS121">
        <v>3361937</v>
      </c>
      <c r="BT121">
        <v>1457848</v>
      </c>
      <c r="BV121">
        <v>2433219</v>
      </c>
    </row>
    <row r="122" spans="1:74" x14ac:dyDescent="0.3">
      <c r="A122" s="155">
        <v>389</v>
      </c>
      <c r="B122" t="s">
        <v>187</v>
      </c>
      <c r="D122">
        <v>0</v>
      </c>
      <c r="E122">
        <v>0</v>
      </c>
      <c r="G122">
        <v>0</v>
      </c>
      <c r="H122">
        <v>0</v>
      </c>
      <c r="I122">
        <v>0</v>
      </c>
      <c r="J122">
        <v>0</v>
      </c>
      <c r="K122">
        <v>0</v>
      </c>
      <c r="L122">
        <v>0</v>
      </c>
      <c r="M122">
        <v>0</v>
      </c>
      <c r="N122">
        <v>0</v>
      </c>
      <c r="O122">
        <v>0</v>
      </c>
      <c r="Q122">
        <v>0</v>
      </c>
      <c r="R122">
        <v>0</v>
      </c>
      <c r="S122">
        <v>0</v>
      </c>
      <c r="T122">
        <v>0</v>
      </c>
      <c r="U122">
        <v>0</v>
      </c>
      <c r="V122">
        <v>0</v>
      </c>
      <c r="X122">
        <v>0</v>
      </c>
      <c r="Y122">
        <v>0</v>
      </c>
      <c r="Z122">
        <v>0</v>
      </c>
      <c r="AA122">
        <v>0</v>
      </c>
      <c r="AB122">
        <v>0</v>
      </c>
      <c r="AC122">
        <v>0</v>
      </c>
      <c r="AD122">
        <v>0</v>
      </c>
      <c r="AE122">
        <v>0</v>
      </c>
      <c r="AF122">
        <v>0</v>
      </c>
      <c r="AG122">
        <v>0</v>
      </c>
      <c r="AH122">
        <v>73787</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H122">
        <v>0</v>
      </c>
      <c r="BI122">
        <v>0</v>
      </c>
      <c r="BJ122">
        <v>0</v>
      </c>
      <c r="BK122">
        <v>0</v>
      </c>
      <c r="BL122">
        <v>0</v>
      </c>
      <c r="BM122">
        <v>0</v>
      </c>
      <c r="BN122">
        <v>0</v>
      </c>
      <c r="BO122">
        <v>0</v>
      </c>
      <c r="BP122">
        <v>0</v>
      </c>
      <c r="BQ122">
        <v>0</v>
      </c>
      <c r="BS122">
        <v>0</v>
      </c>
      <c r="BT122">
        <v>0</v>
      </c>
      <c r="BV122">
        <v>0</v>
      </c>
    </row>
    <row r="123" spans="1:74" x14ac:dyDescent="0.3">
      <c r="A123" s="155">
        <v>391</v>
      </c>
      <c r="B123" t="s">
        <v>192</v>
      </c>
      <c r="D123">
        <v>628891</v>
      </c>
      <c r="E123">
        <v>63349343</v>
      </c>
      <c r="G123">
        <v>846238</v>
      </c>
      <c r="H123">
        <v>163709</v>
      </c>
      <c r="I123">
        <v>0</v>
      </c>
      <c r="J123">
        <v>58198</v>
      </c>
      <c r="K123">
        <v>203664</v>
      </c>
      <c r="L123">
        <v>339567</v>
      </c>
      <c r="M123">
        <v>4766523</v>
      </c>
      <c r="N123">
        <v>0</v>
      </c>
      <c r="O123">
        <v>62809</v>
      </c>
      <c r="Q123">
        <v>48212</v>
      </c>
      <c r="R123">
        <v>98185</v>
      </c>
      <c r="S123">
        <v>156054</v>
      </c>
      <c r="T123">
        <v>1226046</v>
      </c>
      <c r="U123">
        <v>104385</v>
      </c>
      <c r="V123">
        <v>66985</v>
      </c>
      <c r="X123">
        <v>1415134</v>
      </c>
      <c r="Y123">
        <v>224993</v>
      </c>
      <c r="Z123">
        <v>7421384</v>
      </c>
      <c r="AA123">
        <v>720446</v>
      </c>
      <c r="AB123">
        <v>46244</v>
      </c>
      <c r="AC123">
        <v>29318</v>
      </c>
      <c r="AD123">
        <v>131128</v>
      </c>
      <c r="AE123">
        <v>387769</v>
      </c>
      <c r="AF123">
        <v>32762</v>
      </c>
      <c r="AG123">
        <v>103892</v>
      </c>
      <c r="AH123">
        <v>962926</v>
      </c>
      <c r="AI123">
        <v>8244</v>
      </c>
      <c r="AJ123">
        <v>116870</v>
      </c>
      <c r="AK123">
        <v>11823</v>
      </c>
      <c r="AL123">
        <v>70647</v>
      </c>
      <c r="AM123">
        <v>588046</v>
      </c>
      <c r="AN123">
        <v>37172</v>
      </c>
      <c r="AO123">
        <v>6260723</v>
      </c>
      <c r="AP123">
        <v>121899</v>
      </c>
      <c r="AQ123">
        <v>22772</v>
      </c>
      <c r="AR123">
        <v>24929</v>
      </c>
      <c r="AS123">
        <v>4318895</v>
      </c>
      <c r="AT123">
        <v>24715</v>
      </c>
      <c r="AU123">
        <v>225874</v>
      </c>
      <c r="AV123">
        <v>105535</v>
      </c>
      <c r="AW123">
        <v>34683</v>
      </c>
      <c r="AX123">
        <v>27545</v>
      </c>
      <c r="AY123">
        <v>24800</v>
      </c>
      <c r="AZ123">
        <v>642663</v>
      </c>
      <c r="BA123">
        <v>129125</v>
      </c>
      <c r="BB123">
        <v>13537</v>
      </c>
      <c r="BC123">
        <v>14375</v>
      </c>
      <c r="BD123">
        <v>601313</v>
      </c>
      <c r="BE123">
        <v>311645</v>
      </c>
      <c r="BF123">
        <v>4307083</v>
      </c>
      <c r="BH123">
        <v>23338</v>
      </c>
      <c r="BI123">
        <v>38459</v>
      </c>
      <c r="BJ123">
        <v>2763791</v>
      </c>
      <c r="BK123">
        <v>119802</v>
      </c>
      <c r="BL123">
        <v>2045909</v>
      </c>
      <c r="BM123">
        <v>1082331</v>
      </c>
      <c r="BN123">
        <v>1408544</v>
      </c>
      <c r="BO123">
        <v>340054</v>
      </c>
      <c r="BP123">
        <v>3925</v>
      </c>
      <c r="BQ123">
        <v>303480</v>
      </c>
      <c r="BS123">
        <v>891839</v>
      </c>
      <c r="BT123">
        <v>108352</v>
      </c>
      <c r="BV123">
        <v>36022</v>
      </c>
    </row>
    <row r="124" spans="1:74" x14ac:dyDescent="0.3">
      <c r="A124" s="155">
        <v>500</v>
      </c>
      <c r="B124" t="s">
        <v>175</v>
      </c>
      <c r="D124">
        <v>830823</v>
      </c>
      <c r="E124">
        <v>104398678</v>
      </c>
      <c r="G124">
        <v>774552</v>
      </c>
      <c r="H124">
        <v>409114</v>
      </c>
      <c r="I124">
        <v>1040</v>
      </c>
      <c r="J124">
        <v>33009</v>
      </c>
      <c r="K124">
        <v>0</v>
      </c>
      <c r="L124">
        <v>12755</v>
      </c>
      <c r="M124">
        <v>45594</v>
      </c>
      <c r="N124">
        <v>64781</v>
      </c>
      <c r="O124">
        <v>32647</v>
      </c>
      <c r="Q124">
        <v>116463</v>
      </c>
      <c r="R124">
        <v>24197</v>
      </c>
      <c r="S124">
        <v>129108</v>
      </c>
      <c r="T124">
        <v>251997</v>
      </c>
      <c r="U124">
        <v>192810</v>
      </c>
      <c r="V124">
        <v>579</v>
      </c>
      <c r="X124">
        <v>360786</v>
      </c>
      <c r="Y124">
        <v>189801</v>
      </c>
      <c r="Z124">
        <v>8616011</v>
      </c>
      <c r="AA124">
        <v>789696</v>
      </c>
      <c r="AB124">
        <v>36283</v>
      </c>
      <c r="AC124">
        <v>68861</v>
      </c>
      <c r="AD124">
        <v>0</v>
      </c>
      <c r="AE124">
        <v>244338</v>
      </c>
      <c r="AF124">
        <v>47048</v>
      </c>
      <c r="AG124">
        <v>0</v>
      </c>
      <c r="AH124">
        <v>192129</v>
      </c>
      <c r="AI124">
        <v>8244</v>
      </c>
      <c r="AJ124">
        <v>183829</v>
      </c>
      <c r="AK124">
        <v>17290</v>
      </c>
      <c r="AL124">
        <v>0</v>
      </c>
      <c r="AM124">
        <v>215854</v>
      </c>
      <c r="AN124">
        <v>73179</v>
      </c>
      <c r="AO124">
        <v>1935078</v>
      </c>
      <c r="AP124">
        <v>16241</v>
      </c>
      <c r="AQ124">
        <v>19075</v>
      </c>
      <c r="AR124">
        <v>89250</v>
      </c>
      <c r="AS124">
        <v>2946819</v>
      </c>
      <c r="AT124">
        <v>61966</v>
      </c>
      <c r="AU124">
        <v>452265</v>
      </c>
      <c r="AV124">
        <v>203019</v>
      </c>
      <c r="AW124">
        <v>56242</v>
      </c>
      <c r="AX124">
        <v>34081</v>
      </c>
      <c r="AY124">
        <v>109700</v>
      </c>
      <c r="AZ124">
        <v>695366</v>
      </c>
      <c r="BA124">
        <v>0</v>
      </c>
      <c r="BB124">
        <v>37554</v>
      </c>
      <c r="BC124">
        <v>40266</v>
      </c>
      <c r="BD124">
        <v>327383</v>
      </c>
      <c r="BE124">
        <v>46013</v>
      </c>
      <c r="BF124">
        <v>2391901</v>
      </c>
      <c r="BH124">
        <v>177</v>
      </c>
      <c r="BI124">
        <v>43953</v>
      </c>
      <c r="BJ124">
        <v>1417167</v>
      </c>
      <c r="BK124">
        <v>116822</v>
      </c>
      <c r="BL124">
        <v>193799</v>
      </c>
      <c r="BM124">
        <v>466941</v>
      </c>
      <c r="BN124">
        <v>77419</v>
      </c>
      <c r="BO124">
        <v>70094</v>
      </c>
      <c r="BP124">
        <v>2605</v>
      </c>
      <c r="BQ124">
        <v>295916</v>
      </c>
      <c r="BS124">
        <v>33280</v>
      </c>
      <c r="BT124">
        <v>464406</v>
      </c>
      <c r="BV124">
        <v>9847</v>
      </c>
    </row>
    <row r="125" spans="1:74" x14ac:dyDescent="0.3">
      <c r="A125" s="155">
        <v>502</v>
      </c>
      <c r="B125" t="s">
        <v>177</v>
      </c>
      <c r="D125">
        <v>5549316</v>
      </c>
      <c r="E125">
        <v>575625367</v>
      </c>
      <c r="G125">
        <v>3017216</v>
      </c>
      <c r="H125">
        <v>659427</v>
      </c>
      <c r="I125">
        <v>0</v>
      </c>
      <c r="J125">
        <v>0</v>
      </c>
      <c r="K125">
        <v>0</v>
      </c>
      <c r="L125">
        <v>732365</v>
      </c>
      <c r="M125">
        <v>8182045</v>
      </c>
      <c r="N125">
        <v>0</v>
      </c>
      <c r="O125">
        <v>448041</v>
      </c>
      <c r="Q125">
        <v>0</v>
      </c>
      <c r="R125">
        <v>0</v>
      </c>
      <c r="S125">
        <v>2170014</v>
      </c>
      <c r="T125">
        <v>0</v>
      </c>
      <c r="U125">
        <v>537566</v>
      </c>
      <c r="V125">
        <v>401391</v>
      </c>
      <c r="X125">
        <v>3148148</v>
      </c>
      <c r="Y125">
        <v>0</v>
      </c>
      <c r="Z125">
        <v>77518357</v>
      </c>
      <c r="AA125">
        <v>0</v>
      </c>
      <c r="AB125">
        <v>38884</v>
      </c>
      <c r="AC125">
        <v>78949</v>
      </c>
      <c r="AD125">
        <v>818775</v>
      </c>
      <c r="AE125">
        <v>344112</v>
      </c>
      <c r="AF125">
        <v>237459</v>
      </c>
      <c r="AG125">
        <v>85837</v>
      </c>
      <c r="AH125">
        <v>1806998</v>
      </c>
      <c r="AI125">
        <v>0</v>
      </c>
      <c r="AJ125">
        <v>0</v>
      </c>
      <c r="AK125">
        <v>0</v>
      </c>
      <c r="AL125">
        <v>940271</v>
      </c>
      <c r="AM125">
        <v>837714</v>
      </c>
      <c r="AN125">
        <v>511556</v>
      </c>
      <c r="AO125">
        <v>36205249</v>
      </c>
      <c r="AP125">
        <v>0</v>
      </c>
      <c r="AQ125">
        <v>0</v>
      </c>
      <c r="AR125">
        <v>57378</v>
      </c>
      <c r="AS125">
        <v>15721304</v>
      </c>
      <c r="AT125">
        <v>648759</v>
      </c>
      <c r="AU125">
        <v>4722320</v>
      </c>
      <c r="AV125">
        <v>1771153</v>
      </c>
      <c r="AW125">
        <v>633305</v>
      </c>
      <c r="AX125">
        <v>0</v>
      </c>
      <c r="AY125">
        <v>15682</v>
      </c>
      <c r="AZ125">
        <v>6406244</v>
      </c>
      <c r="BA125">
        <v>334497</v>
      </c>
      <c r="BB125">
        <v>549898</v>
      </c>
      <c r="BC125">
        <v>560956</v>
      </c>
      <c r="BD125">
        <v>4810265</v>
      </c>
      <c r="BE125">
        <v>2309260</v>
      </c>
      <c r="BF125">
        <v>32258531</v>
      </c>
      <c r="BH125">
        <v>0</v>
      </c>
      <c r="BI125">
        <v>775930</v>
      </c>
      <c r="BJ125">
        <v>24113303</v>
      </c>
      <c r="BK125">
        <v>670297</v>
      </c>
      <c r="BL125">
        <v>14148154</v>
      </c>
      <c r="BM125">
        <v>0</v>
      </c>
      <c r="BN125">
        <v>8356784</v>
      </c>
      <c r="BO125">
        <v>1232423</v>
      </c>
      <c r="BP125">
        <v>0</v>
      </c>
      <c r="BQ125">
        <v>0</v>
      </c>
      <c r="BS125">
        <v>1544786</v>
      </c>
      <c r="BT125">
        <v>328970</v>
      </c>
      <c r="BV125">
        <v>95541</v>
      </c>
    </row>
    <row r="126" spans="1:74" x14ac:dyDescent="0.3">
      <c r="A126" s="155">
        <v>503</v>
      </c>
      <c r="B126" t="s">
        <v>178</v>
      </c>
      <c r="D126">
        <v>59611</v>
      </c>
      <c r="E126">
        <v>53186778</v>
      </c>
      <c r="G126">
        <v>0</v>
      </c>
      <c r="H126">
        <v>926226</v>
      </c>
      <c r="I126">
        <v>0</v>
      </c>
      <c r="J126">
        <v>0</v>
      </c>
      <c r="K126">
        <v>0</v>
      </c>
      <c r="L126">
        <v>406553</v>
      </c>
      <c r="M126">
        <v>2672160</v>
      </c>
      <c r="N126">
        <v>0</v>
      </c>
      <c r="O126">
        <v>22950</v>
      </c>
      <c r="Q126">
        <v>0</v>
      </c>
      <c r="R126">
        <v>0</v>
      </c>
      <c r="S126">
        <v>22221</v>
      </c>
      <c r="T126">
        <v>0</v>
      </c>
      <c r="U126">
        <v>1046391</v>
      </c>
      <c r="V126">
        <v>71425</v>
      </c>
      <c r="X126">
        <v>0</v>
      </c>
      <c r="Y126">
        <v>0</v>
      </c>
      <c r="Z126">
        <v>10585968</v>
      </c>
      <c r="AA126">
        <v>0</v>
      </c>
      <c r="AB126">
        <v>13950</v>
      </c>
      <c r="AC126">
        <v>72137</v>
      </c>
      <c r="AD126">
        <v>102529</v>
      </c>
      <c r="AE126">
        <v>76447</v>
      </c>
      <c r="AF126">
        <v>71830</v>
      </c>
      <c r="AG126">
        <v>0</v>
      </c>
      <c r="AH126">
        <v>4324109</v>
      </c>
      <c r="AI126">
        <v>0</v>
      </c>
      <c r="AJ126">
        <v>0</v>
      </c>
      <c r="AK126">
        <v>0</v>
      </c>
      <c r="AL126">
        <v>0</v>
      </c>
      <c r="AM126">
        <v>0</v>
      </c>
      <c r="AN126">
        <v>16090</v>
      </c>
      <c r="AO126">
        <v>20099282</v>
      </c>
      <c r="AP126">
        <v>0</v>
      </c>
      <c r="AQ126">
        <v>0</v>
      </c>
      <c r="AR126">
        <v>16130</v>
      </c>
      <c r="AS126">
        <v>1095250</v>
      </c>
      <c r="AT126">
        <v>44337</v>
      </c>
      <c r="AU126">
        <v>92050</v>
      </c>
      <c r="AV126">
        <v>106476</v>
      </c>
      <c r="AW126">
        <v>0</v>
      </c>
      <c r="AX126">
        <v>0</v>
      </c>
      <c r="AY126">
        <v>0</v>
      </c>
      <c r="AZ126">
        <v>118741</v>
      </c>
      <c r="BA126">
        <v>0</v>
      </c>
      <c r="BB126">
        <v>2500</v>
      </c>
      <c r="BC126">
        <v>5525</v>
      </c>
      <c r="BD126">
        <v>149435</v>
      </c>
      <c r="BE126">
        <v>314467</v>
      </c>
      <c r="BF126">
        <v>617293</v>
      </c>
      <c r="BH126">
        <v>0</v>
      </c>
      <c r="BI126">
        <v>22102</v>
      </c>
      <c r="BJ126">
        <v>714721</v>
      </c>
      <c r="BK126">
        <v>118821</v>
      </c>
      <c r="BL126">
        <v>1251764</v>
      </c>
      <c r="BM126">
        <v>0</v>
      </c>
      <c r="BN126">
        <v>2411887</v>
      </c>
      <c r="BO126">
        <v>42317</v>
      </c>
      <c r="BP126">
        <v>0</v>
      </c>
      <c r="BQ126">
        <v>0</v>
      </c>
      <c r="BS126">
        <v>0</v>
      </c>
      <c r="BT126">
        <v>135762</v>
      </c>
      <c r="BV126">
        <v>54078</v>
      </c>
    </row>
    <row r="127" spans="1:74" x14ac:dyDescent="0.3">
      <c r="A127" s="155">
        <v>504</v>
      </c>
      <c r="B127" t="s">
        <v>182</v>
      </c>
      <c r="D127">
        <v>1274076</v>
      </c>
      <c r="E127">
        <v>37949909</v>
      </c>
      <c r="G127">
        <v>125286</v>
      </c>
      <c r="H127">
        <v>109387</v>
      </c>
      <c r="I127">
        <v>4985</v>
      </c>
      <c r="J127">
        <v>0</v>
      </c>
      <c r="K127">
        <v>0</v>
      </c>
      <c r="L127">
        <v>515906</v>
      </c>
      <c r="M127">
        <v>844673</v>
      </c>
      <c r="N127">
        <v>22802</v>
      </c>
      <c r="O127">
        <v>79688</v>
      </c>
      <c r="Q127">
        <v>23336</v>
      </c>
      <c r="R127">
        <v>81340</v>
      </c>
      <c r="S127">
        <v>237252</v>
      </c>
      <c r="T127">
        <v>564402</v>
      </c>
      <c r="U127">
        <v>43587</v>
      </c>
      <c r="V127">
        <v>16474</v>
      </c>
      <c r="X127">
        <v>692822</v>
      </c>
      <c r="Y127">
        <v>140007</v>
      </c>
      <c r="Z127">
        <v>8181445</v>
      </c>
      <c r="AA127">
        <v>293979</v>
      </c>
      <c r="AB127">
        <v>38796</v>
      </c>
      <c r="AC127">
        <v>17996</v>
      </c>
      <c r="AD127">
        <v>108889</v>
      </c>
      <c r="AE127">
        <v>430166</v>
      </c>
      <c r="AF127">
        <v>64027</v>
      </c>
      <c r="AG127">
        <v>76383</v>
      </c>
      <c r="AH127">
        <v>1087451</v>
      </c>
      <c r="AI127">
        <v>8421</v>
      </c>
      <c r="AJ127">
        <v>740921</v>
      </c>
      <c r="AK127">
        <v>29717</v>
      </c>
      <c r="AL127">
        <v>52417</v>
      </c>
      <c r="AM127">
        <v>804132</v>
      </c>
      <c r="AN127">
        <v>15906</v>
      </c>
      <c r="AO127">
        <v>2581392</v>
      </c>
      <c r="AP127">
        <v>92191</v>
      </c>
      <c r="AQ127">
        <v>15254</v>
      </c>
      <c r="AR127">
        <v>50861</v>
      </c>
      <c r="AS127">
        <v>4161882</v>
      </c>
      <c r="AT127">
        <v>12721</v>
      </c>
      <c r="AU127">
        <v>171218</v>
      </c>
      <c r="AV127">
        <v>361448</v>
      </c>
      <c r="AW127">
        <v>40857</v>
      </c>
      <c r="AX127">
        <v>117174</v>
      </c>
      <c r="AY127">
        <v>0</v>
      </c>
      <c r="AZ127">
        <v>321596</v>
      </c>
      <c r="BA127">
        <v>206758</v>
      </c>
      <c r="BB127">
        <v>4116</v>
      </c>
      <c r="BC127">
        <v>8269</v>
      </c>
      <c r="BD127">
        <v>245607</v>
      </c>
      <c r="BE127">
        <v>108215</v>
      </c>
      <c r="BF127">
        <v>1932462</v>
      </c>
      <c r="BH127">
        <v>12421</v>
      </c>
      <c r="BI127">
        <v>8445</v>
      </c>
      <c r="BJ127">
        <v>917760</v>
      </c>
      <c r="BK127">
        <v>43918</v>
      </c>
      <c r="BL127">
        <v>775770</v>
      </c>
      <c r="BM127">
        <v>0</v>
      </c>
      <c r="BN127">
        <v>1064447</v>
      </c>
      <c r="BO127">
        <v>229419</v>
      </c>
      <c r="BP127">
        <v>2930</v>
      </c>
      <c r="BQ127">
        <v>110417</v>
      </c>
      <c r="BS127">
        <v>188487</v>
      </c>
      <c r="BT127">
        <v>74327</v>
      </c>
      <c r="BV127">
        <v>279994</v>
      </c>
    </row>
    <row r="128" spans="1:74" x14ac:dyDescent="0.3">
      <c r="A128" s="155">
        <v>505</v>
      </c>
      <c r="B128" t="s">
        <v>183</v>
      </c>
      <c r="D128">
        <v>0</v>
      </c>
      <c r="E128">
        <v>18283234</v>
      </c>
      <c r="G128">
        <v>0</v>
      </c>
      <c r="H128">
        <v>0</v>
      </c>
      <c r="I128">
        <v>0</v>
      </c>
      <c r="J128">
        <v>15003</v>
      </c>
      <c r="K128">
        <v>61900</v>
      </c>
      <c r="L128">
        <v>0</v>
      </c>
      <c r="M128">
        <v>230898</v>
      </c>
      <c r="N128">
        <v>0</v>
      </c>
      <c r="O128">
        <v>0</v>
      </c>
      <c r="Q128">
        <v>0</v>
      </c>
      <c r="R128">
        <v>1230</v>
      </c>
      <c r="S128">
        <v>0</v>
      </c>
      <c r="T128">
        <v>0</v>
      </c>
      <c r="U128">
        <v>32980</v>
      </c>
      <c r="V128">
        <v>0</v>
      </c>
      <c r="X128">
        <v>4150000</v>
      </c>
      <c r="Y128">
        <v>0</v>
      </c>
      <c r="Z128">
        <v>1189785</v>
      </c>
      <c r="AA128">
        <v>4177863</v>
      </c>
      <c r="AB128">
        <v>0</v>
      </c>
      <c r="AC128">
        <v>0</v>
      </c>
      <c r="AD128">
        <v>0</v>
      </c>
      <c r="AE128">
        <v>0</v>
      </c>
      <c r="AF128">
        <v>0</v>
      </c>
      <c r="AG128">
        <v>0</v>
      </c>
      <c r="AH128">
        <v>0</v>
      </c>
      <c r="AI128">
        <v>0</v>
      </c>
      <c r="AJ128">
        <v>0</v>
      </c>
      <c r="AK128">
        <v>0</v>
      </c>
      <c r="AL128">
        <v>0</v>
      </c>
      <c r="AM128">
        <v>0</v>
      </c>
      <c r="AN128">
        <v>73314</v>
      </c>
      <c r="AO128">
        <v>885213</v>
      </c>
      <c r="AP128">
        <v>0</v>
      </c>
      <c r="AQ128">
        <v>0</v>
      </c>
      <c r="AR128">
        <v>0</v>
      </c>
      <c r="AS128">
        <v>1874673</v>
      </c>
      <c r="AT128">
        <v>33829</v>
      </c>
      <c r="AU128">
        <v>0</v>
      </c>
      <c r="AV128">
        <v>0</v>
      </c>
      <c r="AW128">
        <v>0</v>
      </c>
      <c r="AX128">
        <v>0</v>
      </c>
      <c r="AY128">
        <v>0</v>
      </c>
      <c r="AZ128">
        <v>224437</v>
      </c>
      <c r="BA128">
        <v>0</v>
      </c>
      <c r="BB128">
        <v>0</v>
      </c>
      <c r="BC128">
        <v>0</v>
      </c>
      <c r="BD128">
        <v>0</v>
      </c>
      <c r="BE128">
        <v>0</v>
      </c>
      <c r="BF128">
        <v>1436537</v>
      </c>
      <c r="BH128">
        <v>0</v>
      </c>
      <c r="BI128">
        <v>15000</v>
      </c>
      <c r="BJ128">
        <v>103034</v>
      </c>
      <c r="BK128">
        <v>0</v>
      </c>
      <c r="BL128">
        <v>888156</v>
      </c>
      <c r="BM128">
        <v>0</v>
      </c>
      <c r="BN128">
        <v>0</v>
      </c>
      <c r="BO128">
        <v>152100</v>
      </c>
      <c r="BP128">
        <v>0</v>
      </c>
      <c r="BQ128">
        <v>213249</v>
      </c>
      <c r="BS128">
        <v>276094</v>
      </c>
      <c r="BT128">
        <v>177369</v>
      </c>
      <c r="BV128">
        <v>0</v>
      </c>
    </row>
    <row r="129" spans="1:74" x14ac:dyDescent="0.3">
      <c r="A129" s="155">
        <v>506</v>
      </c>
      <c r="B129" t="s">
        <v>189</v>
      </c>
      <c r="D129">
        <v>8044621</v>
      </c>
      <c r="E129">
        <v>337289989</v>
      </c>
      <c r="G129">
        <v>5251457</v>
      </c>
      <c r="H129">
        <v>782223</v>
      </c>
      <c r="I129">
        <v>71858</v>
      </c>
      <c r="J129">
        <v>1408379</v>
      </c>
      <c r="K129">
        <v>7607748</v>
      </c>
      <c r="L129">
        <v>2132587</v>
      </c>
      <c r="M129">
        <v>11940726</v>
      </c>
      <c r="N129">
        <v>764433</v>
      </c>
      <c r="O129">
        <v>972706</v>
      </c>
      <c r="Q129">
        <v>577861</v>
      </c>
      <c r="R129">
        <v>1049991</v>
      </c>
      <c r="S129">
        <v>1061105</v>
      </c>
      <c r="T129">
        <v>4371954</v>
      </c>
      <c r="U129">
        <v>898683</v>
      </c>
      <c r="V129">
        <v>1098391</v>
      </c>
      <c r="X129">
        <v>4254929</v>
      </c>
      <c r="Y129">
        <v>1561760</v>
      </c>
      <c r="Z129">
        <v>31953702</v>
      </c>
      <c r="AA129">
        <v>8953459</v>
      </c>
      <c r="AB129">
        <v>273432</v>
      </c>
      <c r="AC129">
        <v>405944</v>
      </c>
      <c r="AD129">
        <v>987141</v>
      </c>
      <c r="AE129">
        <v>2281557</v>
      </c>
      <c r="AF129">
        <v>407702</v>
      </c>
      <c r="AG129">
        <v>452495</v>
      </c>
      <c r="AH129">
        <v>2574283</v>
      </c>
      <c r="AI129">
        <v>280858</v>
      </c>
      <c r="AJ129">
        <v>3546807</v>
      </c>
      <c r="AK129">
        <v>621802</v>
      </c>
      <c r="AL129">
        <v>1026023</v>
      </c>
      <c r="AM129">
        <v>1949516</v>
      </c>
      <c r="AN129">
        <v>595317</v>
      </c>
      <c r="AO129">
        <v>18024866</v>
      </c>
      <c r="AP129">
        <v>1231207</v>
      </c>
      <c r="AQ129">
        <v>623757</v>
      </c>
      <c r="AR129">
        <v>599029</v>
      </c>
      <c r="AS129">
        <v>19882994</v>
      </c>
      <c r="AT129">
        <v>398514</v>
      </c>
      <c r="AU129">
        <v>6291094</v>
      </c>
      <c r="AV129">
        <v>419785</v>
      </c>
      <c r="AW129">
        <v>403912</v>
      </c>
      <c r="AX129">
        <v>244532</v>
      </c>
      <c r="AY129">
        <v>438772</v>
      </c>
      <c r="AZ129">
        <v>3740156</v>
      </c>
      <c r="BA129">
        <v>1228338</v>
      </c>
      <c r="BB129">
        <v>189303</v>
      </c>
      <c r="BC129">
        <v>1361985</v>
      </c>
      <c r="BD129">
        <v>7255437</v>
      </c>
      <c r="BE129">
        <v>1195448</v>
      </c>
      <c r="BF129">
        <v>7338012</v>
      </c>
      <c r="BH129">
        <v>272714</v>
      </c>
      <c r="BI129">
        <v>457244</v>
      </c>
      <c r="BJ129">
        <v>13611131</v>
      </c>
      <c r="BK129">
        <v>1368280</v>
      </c>
      <c r="BL129">
        <v>12093408</v>
      </c>
      <c r="BM129">
        <v>7832994</v>
      </c>
      <c r="BN129">
        <v>3963389</v>
      </c>
      <c r="BO129">
        <v>2319760</v>
      </c>
      <c r="BP129">
        <v>43431</v>
      </c>
      <c r="BQ129">
        <v>2132757</v>
      </c>
      <c r="BS129">
        <v>2212242</v>
      </c>
      <c r="BT129">
        <v>1107035</v>
      </c>
      <c r="BV129">
        <v>3549248</v>
      </c>
    </row>
    <row r="130" spans="1:74" x14ac:dyDescent="0.3">
      <c r="A130" s="155">
        <v>507</v>
      </c>
      <c r="B130" t="s">
        <v>925</v>
      </c>
      <c r="D130">
        <v>-1</v>
      </c>
      <c r="E130">
        <v>0</v>
      </c>
      <c r="G130">
        <v>0</v>
      </c>
      <c r="H130">
        <v>0</v>
      </c>
      <c r="I130">
        <v>0</v>
      </c>
      <c r="J130">
        <v>0</v>
      </c>
      <c r="K130">
        <v>0</v>
      </c>
      <c r="L130">
        <v>-223024</v>
      </c>
      <c r="M130">
        <v>-11630</v>
      </c>
      <c r="N130">
        <v>0</v>
      </c>
      <c r="O130">
        <v>0</v>
      </c>
      <c r="Q130">
        <v>0</v>
      </c>
      <c r="R130">
        <v>0</v>
      </c>
      <c r="S130">
        <v>-135087</v>
      </c>
      <c r="T130">
        <v>0</v>
      </c>
      <c r="U130">
        <v>0</v>
      </c>
      <c r="V130">
        <v>0</v>
      </c>
      <c r="X130">
        <v>0</v>
      </c>
      <c r="Y130">
        <v>0</v>
      </c>
      <c r="Z130">
        <v>0</v>
      </c>
      <c r="AA130">
        <v>0</v>
      </c>
      <c r="AB130">
        <v>0</v>
      </c>
      <c r="AC130">
        <v>0</v>
      </c>
      <c r="AD130">
        <v>0</v>
      </c>
      <c r="AE130">
        <v>0</v>
      </c>
      <c r="AF130">
        <v>0</v>
      </c>
      <c r="AG130">
        <v>0</v>
      </c>
      <c r="AH130">
        <v>0</v>
      </c>
      <c r="AI130">
        <v>1</v>
      </c>
      <c r="AJ130">
        <v>0</v>
      </c>
      <c r="AK130">
        <v>0</v>
      </c>
      <c r="AL130">
        <v>0</v>
      </c>
      <c r="AM130">
        <v>0</v>
      </c>
      <c r="AN130">
        <v>0</v>
      </c>
      <c r="AO130">
        <v>0</v>
      </c>
      <c r="AP130">
        <v>0</v>
      </c>
      <c r="AQ130">
        <v>0</v>
      </c>
      <c r="AR130">
        <v>0</v>
      </c>
      <c r="AS130">
        <v>0</v>
      </c>
      <c r="AT130">
        <v>0</v>
      </c>
      <c r="AU130">
        <v>0</v>
      </c>
      <c r="AV130">
        <v>0</v>
      </c>
      <c r="AW130">
        <v>0</v>
      </c>
      <c r="AX130">
        <v>0</v>
      </c>
      <c r="AY130">
        <v>3</v>
      </c>
      <c r="AZ130">
        <v>0</v>
      </c>
      <c r="BA130">
        <v>0</v>
      </c>
      <c r="BB130">
        <v>0</v>
      </c>
      <c r="BC130">
        <v>0</v>
      </c>
      <c r="BD130">
        <v>0</v>
      </c>
      <c r="BE130">
        <v>0</v>
      </c>
      <c r="BF130">
        <v>0</v>
      </c>
      <c r="BH130">
        <v>0</v>
      </c>
      <c r="BI130">
        <v>0</v>
      </c>
      <c r="BJ130">
        <v>0</v>
      </c>
      <c r="BK130">
        <v>0</v>
      </c>
      <c r="BL130">
        <v>0</v>
      </c>
      <c r="BM130">
        <v>0</v>
      </c>
      <c r="BN130">
        <v>0</v>
      </c>
      <c r="BO130">
        <v>0</v>
      </c>
      <c r="BP130">
        <v>0</v>
      </c>
      <c r="BQ130">
        <v>-206300</v>
      </c>
      <c r="BS130">
        <v>0</v>
      </c>
      <c r="BT130">
        <v>0</v>
      </c>
      <c r="BV130">
        <v>0</v>
      </c>
    </row>
    <row r="131" spans="1:74" x14ac:dyDescent="0.3">
      <c r="A131" s="155">
        <v>508</v>
      </c>
      <c r="B131" t="s">
        <v>204</v>
      </c>
      <c r="D131">
        <v>0</v>
      </c>
      <c r="E131">
        <v>0</v>
      </c>
      <c r="G131">
        <v>0</v>
      </c>
      <c r="H131">
        <v>0</v>
      </c>
      <c r="I131">
        <v>0</v>
      </c>
      <c r="J131">
        <v>0</v>
      </c>
      <c r="K131">
        <v>0</v>
      </c>
      <c r="L131">
        <v>0</v>
      </c>
      <c r="M131">
        <v>0</v>
      </c>
      <c r="N131">
        <v>0</v>
      </c>
      <c r="O131">
        <v>0</v>
      </c>
      <c r="Q131">
        <v>0</v>
      </c>
      <c r="R131">
        <v>0</v>
      </c>
      <c r="S131">
        <v>0</v>
      </c>
      <c r="T131">
        <v>0</v>
      </c>
      <c r="U131">
        <v>0</v>
      </c>
      <c r="V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H131">
        <v>0</v>
      </c>
      <c r="BI131">
        <v>0</v>
      </c>
      <c r="BJ131">
        <v>0</v>
      </c>
      <c r="BK131">
        <v>0</v>
      </c>
      <c r="BL131">
        <v>0</v>
      </c>
      <c r="BM131">
        <v>0</v>
      </c>
      <c r="BN131">
        <v>0</v>
      </c>
      <c r="BO131">
        <v>0</v>
      </c>
      <c r="BP131">
        <v>0</v>
      </c>
      <c r="BQ131">
        <v>0</v>
      </c>
      <c r="BS131">
        <v>0</v>
      </c>
      <c r="BT131">
        <v>0</v>
      </c>
      <c r="BV131">
        <v>0</v>
      </c>
    </row>
    <row r="132" spans="1:74" x14ac:dyDescent="0.3">
      <c r="A132" s="155">
        <v>509</v>
      </c>
      <c r="B132" t="s">
        <v>205</v>
      </c>
      <c r="D132">
        <v>0</v>
      </c>
      <c r="E132">
        <v>0</v>
      </c>
      <c r="G132">
        <v>0</v>
      </c>
      <c r="H132">
        <v>0</v>
      </c>
      <c r="I132">
        <v>0</v>
      </c>
      <c r="J132">
        <v>0</v>
      </c>
      <c r="K132">
        <v>0</v>
      </c>
      <c r="L132">
        <v>0</v>
      </c>
      <c r="M132">
        <v>0</v>
      </c>
      <c r="N132">
        <v>0</v>
      </c>
      <c r="O132">
        <v>0</v>
      </c>
      <c r="Q132">
        <v>0</v>
      </c>
      <c r="R132">
        <v>0</v>
      </c>
      <c r="S132">
        <v>0</v>
      </c>
      <c r="T132">
        <v>0</v>
      </c>
      <c r="U132">
        <v>0</v>
      </c>
      <c r="V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H132">
        <v>0</v>
      </c>
      <c r="BI132">
        <v>0</v>
      </c>
      <c r="BJ132">
        <v>0</v>
      </c>
      <c r="BK132">
        <v>0</v>
      </c>
      <c r="BL132">
        <v>0</v>
      </c>
      <c r="BM132">
        <v>0</v>
      </c>
      <c r="BN132">
        <v>0</v>
      </c>
      <c r="BO132">
        <v>0</v>
      </c>
      <c r="BP132">
        <v>0</v>
      </c>
      <c r="BQ132">
        <v>0</v>
      </c>
      <c r="BS132">
        <v>0</v>
      </c>
      <c r="BT132">
        <v>0</v>
      </c>
      <c r="BV132">
        <v>0</v>
      </c>
    </row>
    <row r="133" spans="1:74" x14ac:dyDescent="0.3">
      <c r="A133" s="155">
        <v>510</v>
      </c>
      <c r="B133" t="s">
        <v>211</v>
      </c>
      <c r="D133">
        <v>14633</v>
      </c>
      <c r="E133">
        <v>9729294</v>
      </c>
      <c r="G133">
        <v>103376</v>
      </c>
      <c r="H133">
        <v>0</v>
      </c>
      <c r="I133">
        <v>0</v>
      </c>
      <c r="J133">
        <v>0</v>
      </c>
      <c r="K133">
        <v>0</v>
      </c>
      <c r="L133">
        <v>164442</v>
      </c>
      <c r="M133">
        <v>192330</v>
      </c>
      <c r="N133">
        <v>0</v>
      </c>
      <c r="O133">
        <v>0</v>
      </c>
      <c r="Q133">
        <v>0</v>
      </c>
      <c r="R133">
        <v>0</v>
      </c>
      <c r="S133">
        <v>0</v>
      </c>
      <c r="T133">
        <v>0</v>
      </c>
      <c r="U133">
        <v>0</v>
      </c>
      <c r="V133">
        <v>0</v>
      </c>
      <c r="X133">
        <v>166435</v>
      </c>
      <c r="Y133">
        <v>0</v>
      </c>
      <c r="Z133">
        <v>94755</v>
      </c>
      <c r="AA133">
        <v>0</v>
      </c>
      <c r="AB133">
        <v>0</v>
      </c>
      <c r="AC133">
        <v>0</v>
      </c>
      <c r="AD133">
        <v>0</v>
      </c>
      <c r="AE133">
        <v>0</v>
      </c>
      <c r="AF133">
        <v>0</v>
      </c>
      <c r="AG133">
        <v>4750</v>
      </c>
      <c r="AH133">
        <v>0</v>
      </c>
      <c r="AI133">
        <v>0</v>
      </c>
      <c r="AJ133">
        <v>0</v>
      </c>
      <c r="AK133">
        <v>0</v>
      </c>
      <c r="AL133">
        <v>0</v>
      </c>
      <c r="AM133">
        <v>0</v>
      </c>
      <c r="AN133">
        <v>0</v>
      </c>
      <c r="AO133">
        <v>588396</v>
      </c>
      <c r="AP133">
        <v>0</v>
      </c>
      <c r="AQ133">
        <v>0</v>
      </c>
      <c r="AR133">
        <v>0</v>
      </c>
      <c r="AS133">
        <v>165659</v>
      </c>
      <c r="AT133">
        <v>0</v>
      </c>
      <c r="AU133">
        <v>133071</v>
      </c>
      <c r="AV133">
        <v>22940</v>
      </c>
      <c r="AW133">
        <v>0</v>
      </c>
      <c r="AX133">
        <v>0</v>
      </c>
      <c r="AY133">
        <v>0</v>
      </c>
      <c r="AZ133">
        <v>90847</v>
      </c>
      <c r="BA133">
        <v>0</v>
      </c>
      <c r="BB133">
        <v>0</v>
      </c>
      <c r="BC133">
        <v>0</v>
      </c>
      <c r="BD133">
        <v>98951</v>
      </c>
      <c r="BE133">
        <v>30713</v>
      </c>
      <c r="BF133">
        <v>649706</v>
      </c>
      <c r="BH133">
        <v>0</v>
      </c>
      <c r="BI133">
        <v>0</v>
      </c>
      <c r="BJ133">
        <v>272022</v>
      </c>
      <c r="BK133">
        <v>32046</v>
      </c>
      <c r="BL133">
        <v>0</v>
      </c>
      <c r="BM133">
        <v>0</v>
      </c>
      <c r="BN133">
        <v>0</v>
      </c>
      <c r="BO133">
        <v>34588</v>
      </c>
      <c r="BP133">
        <v>0</v>
      </c>
      <c r="BQ133">
        <v>0</v>
      </c>
      <c r="BS133">
        <v>0</v>
      </c>
      <c r="BT133">
        <v>500</v>
      </c>
      <c r="BV133">
        <v>0</v>
      </c>
    </row>
    <row r="134" spans="1:74" x14ac:dyDescent="0.3">
      <c r="A134" s="155">
        <v>511</v>
      </c>
      <c r="B134" t="s">
        <v>216</v>
      </c>
      <c r="D134">
        <v>0</v>
      </c>
      <c r="E134">
        <v>0</v>
      </c>
      <c r="G134">
        <v>0</v>
      </c>
      <c r="H134">
        <v>0</v>
      </c>
      <c r="I134">
        <v>0</v>
      </c>
      <c r="J134">
        <v>0</v>
      </c>
      <c r="K134">
        <v>0</v>
      </c>
      <c r="L134">
        <v>494449</v>
      </c>
      <c r="M134">
        <v>0</v>
      </c>
      <c r="N134">
        <v>0</v>
      </c>
      <c r="O134">
        <v>0</v>
      </c>
      <c r="Q134">
        <v>0</v>
      </c>
      <c r="R134">
        <v>0</v>
      </c>
      <c r="S134">
        <v>0</v>
      </c>
      <c r="T134">
        <v>0</v>
      </c>
      <c r="U134">
        <v>0</v>
      </c>
      <c r="V134">
        <v>0</v>
      </c>
      <c r="X134">
        <v>0</v>
      </c>
      <c r="Y134">
        <v>0</v>
      </c>
      <c r="Z134">
        <v>1304843</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216644</v>
      </c>
      <c r="AW134">
        <v>0</v>
      </c>
      <c r="AX134">
        <v>0</v>
      </c>
      <c r="AY134">
        <v>0</v>
      </c>
      <c r="AZ134">
        <v>355368</v>
      </c>
      <c r="BA134">
        <v>0</v>
      </c>
      <c r="BB134">
        <v>0</v>
      </c>
      <c r="BC134">
        <v>0</v>
      </c>
      <c r="BD134">
        <v>0</v>
      </c>
      <c r="BE134">
        <v>54865</v>
      </c>
      <c r="BF134">
        <v>911143</v>
      </c>
      <c r="BH134">
        <v>0</v>
      </c>
      <c r="BI134">
        <v>0</v>
      </c>
      <c r="BJ134">
        <v>1226104</v>
      </c>
      <c r="BK134">
        <v>0</v>
      </c>
      <c r="BL134">
        <v>0</v>
      </c>
      <c r="BM134">
        <v>0</v>
      </c>
      <c r="BN134">
        <v>0</v>
      </c>
      <c r="BO134">
        <v>0</v>
      </c>
      <c r="BP134">
        <v>0</v>
      </c>
      <c r="BQ134">
        <v>0</v>
      </c>
      <c r="BS134">
        <v>0</v>
      </c>
      <c r="BT134">
        <v>0</v>
      </c>
      <c r="BV134">
        <v>0</v>
      </c>
    </row>
    <row r="135" spans="1:74" x14ac:dyDescent="0.3">
      <c r="A135" s="155">
        <v>512</v>
      </c>
      <c r="B135" t="s">
        <v>243</v>
      </c>
      <c r="D135">
        <v>0</v>
      </c>
      <c r="E135">
        <v>164744792</v>
      </c>
      <c r="G135">
        <v>126005</v>
      </c>
      <c r="H135">
        <v>0</v>
      </c>
      <c r="I135">
        <v>0</v>
      </c>
      <c r="J135">
        <v>0</v>
      </c>
      <c r="K135">
        <v>0</v>
      </c>
      <c r="L135">
        <v>0</v>
      </c>
      <c r="M135">
        <v>0</v>
      </c>
      <c r="N135">
        <v>0</v>
      </c>
      <c r="O135">
        <v>0</v>
      </c>
      <c r="Q135">
        <v>0</v>
      </c>
      <c r="R135">
        <v>0</v>
      </c>
      <c r="S135">
        <v>0</v>
      </c>
      <c r="T135">
        <v>0</v>
      </c>
      <c r="U135">
        <v>0</v>
      </c>
      <c r="V135">
        <v>0</v>
      </c>
      <c r="X135">
        <v>0</v>
      </c>
      <c r="Y135">
        <v>0</v>
      </c>
      <c r="Z135">
        <v>225465</v>
      </c>
      <c r="AA135">
        <v>0</v>
      </c>
      <c r="AB135">
        <v>0</v>
      </c>
      <c r="AC135">
        <v>0</v>
      </c>
      <c r="AD135">
        <v>0</v>
      </c>
      <c r="AE135">
        <v>0</v>
      </c>
      <c r="AF135">
        <v>0</v>
      </c>
      <c r="AG135">
        <v>0</v>
      </c>
      <c r="AH135">
        <v>78099</v>
      </c>
      <c r="AI135">
        <v>0</v>
      </c>
      <c r="AJ135">
        <v>0</v>
      </c>
      <c r="AK135">
        <v>0</v>
      </c>
      <c r="AL135">
        <v>0</v>
      </c>
      <c r="AM135">
        <v>0</v>
      </c>
      <c r="AN135">
        <v>0</v>
      </c>
      <c r="AO135">
        <v>220842</v>
      </c>
      <c r="AP135">
        <v>0</v>
      </c>
      <c r="AQ135">
        <v>0</v>
      </c>
      <c r="AR135">
        <v>0</v>
      </c>
      <c r="AS135">
        <v>4491279</v>
      </c>
      <c r="AT135">
        <v>0</v>
      </c>
      <c r="AU135">
        <v>0</v>
      </c>
      <c r="AV135">
        <v>0</v>
      </c>
      <c r="AW135">
        <v>0</v>
      </c>
      <c r="AX135">
        <v>0</v>
      </c>
      <c r="AY135">
        <v>0</v>
      </c>
      <c r="AZ135">
        <v>0</v>
      </c>
      <c r="BA135">
        <v>0</v>
      </c>
      <c r="BB135">
        <v>0</v>
      </c>
      <c r="BC135">
        <v>0</v>
      </c>
      <c r="BD135">
        <v>0</v>
      </c>
      <c r="BE135">
        <v>0</v>
      </c>
      <c r="BF135">
        <v>0</v>
      </c>
      <c r="BH135">
        <v>0</v>
      </c>
      <c r="BI135">
        <v>0</v>
      </c>
      <c r="BJ135">
        <v>231235</v>
      </c>
      <c r="BK135">
        <v>0</v>
      </c>
      <c r="BL135">
        <v>26518</v>
      </c>
      <c r="BM135">
        <v>0</v>
      </c>
      <c r="BN135">
        <v>85755</v>
      </c>
      <c r="BO135">
        <v>0</v>
      </c>
      <c r="BP135">
        <v>0</v>
      </c>
      <c r="BQ135">
        <v>0</v>
      </c>
      <c r="BS135">
        <v>0</v>
      </c>
      <c r="BT135">
        <v>0</v>
      </c>
      <c r="BV135">
        <v>0</v>
      </c>
    </row>
    <row r="136" spans="1:74" x14ac:dyDescent="0.3">
      <c r="A136" s="155">
        <v>513</v>
      </c>
      <c r="B136" t="s">
        <v>249</v>
      </c>
      <c r="D136">
        <v>0</v>
      </c>
      <c r="E136">
        <v>0</v>
      </c>
      <c r="G136">
        <v>0</v>
      </c>
      <c r="H136">
        <v>0</v>
      </c>
      <c r="I136">
        <v>0</v>
      </c>
      <c r="J136">
        <v>0</v>
      </c>
      <c r="K136">
        <v>0</v>
      </c>
      <c r="L136">
        <v>35382</v>
      </c>
      <c r="M136">
        <v>0</v>
      </c>
      <c r="N136">
        <v>0</v>
      </c>
      <c r="O136">
        <v>0</v>
      </c>
      <c r="Q136">
        <v>0</v>
      </c>
      <c r="R136">
        <v>0</v>
      </c>
      <c r="S136">
        <v>0</v>
      </c>
      <c r="T136">
        <v>0</v>
      </c>
      <c r="U136">
        <v>0</v>
      </c>
      <c r="V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H136">
        <v>0</v>
      </c>
      <c r="BI136">
        <v>0</v>
      </c>
      <c r="BJ136">
        <v>0</v>
      </c>
      <c r="BK136">
        <v>0</v>
      </c>
      <c r="BL136">
        <v>0</v>
      </c>
      <c r="BM136">
        <v>0</v>
      </c>
      <c r="BN136">
        <v>0</v>
      </c>
      <c r="BO136">
        <v>0</v>
      </c>
      <c r="BP136">
        <v>0</v>
      </c>
      <c r="BQ136">
        <v>0</v>
      </c>
      <c r="BS136">
        <v>0</v>
      </c>
      <c r="BT136">
        <v>0</v>
      </c>
      <c r="BV136">
        <v>0</v>
      </c>
    </row>
    <row r="137" spans="1:74" x14ac:dyDescent="0.3">
      <c r="A137" s="155">
        <v>514</v>
      </c>
      <c r="B137" t="s">
        <v>250</v>
      </c>
      <c r="D137">
        <v>0</v>
      </c>
      <c r="E137">
        <v>0</v>
      </c>
      <c r="G137">
        <v>0</v>
      </c>
      <c r="H137">
        <v>0</v>
      </c>
      <c r="I137">
        <v>0</v>
      </c>
      <c r="J137">
        <v>0</v>
      </c>
      <c r="K137">
        <v>0</v>
      </c>
      <c r="L137">
        <v>164490</v>
      </c>
      <c r="M137">
        <v>0</v>
      </c>
      <c r="N137">
        <v>0</v>
      </c>
      <c r="O137">
        <v>0</v>
      </c>
      <c r="Q137">
        <v>0</v>
      </c>
      <c r="R137">
        <v>0</v>
      </c>
      <c r="S137">
        <v>0</v>
      </c>
      <c r="T137">
        <v>0</v>
      </c>
      <c r="U137">
        <v>0</v>
      </c>
      <c r="V137">
        <v>0</v>
      </c>
      <c r="X137">
        <v>0</v>
      </c>
      <c r="Y137">
        <v>0</v>
      </c>
      <c r="Z137">
        <v>2485000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99357</v>
      </c>
      <c r="AW137">
        <v>0</v>
      </c>
      <c r="AX137">
        <v>0</v>
      </c>
      <c r="AY137">
        <v>0</v>
      </c>
      <c r="AZ137">
        <v>175000</v>
      </c>
      <c r="BA137">
        <v>0</v>
      </c>
      <c r="BB137">
        <v>0</v>
      </c>
      <c r="BC137">
        <v>0</v>
      </c>
      <c r="BD137">
        <v>0</v>
      </c>
      <c r="BE137">
        <v>348222</v>
      </c>
      <c r="BF137">
        <v>900000</v>
      </c>
      <c r="BH137">
        <v>0</v>
      </c>
      <c r="BI137">
        <v>0</v>
      </c>
      <c r="BJ137">
        <v>0</v>
      </c>
      <c r="BK137">
        <v>0</v>
      </c>
      <c r="BL137">
        <v>0</v>
      </c>
      <c r="BM137">
        <v>0</v>
      </c>
      <c r="BN137">
        <v>0</v>
      </c>
      <c r="BO137">
        <v>0</v>
      </c>
      <c r="BP137">
        <v>0</v>
      </c>
      <c r="BQ137">
        <v>0</v>
      </c>
      <c r="BS137">
        <v>0</v>
      </c>
      <c r="BT137">
        <v>0</v>
      </c>
      <c r="BV137">
        <v>0</v>
      </c>
    </row>
    <row r="138" spans="1:74" x14ac:dyDescent="0.3">
      <c r="A138" s="155">
        <v>515</v>
      </c>
      <c r="B138" t="s">
        <v>262</v>
      </c>
      <c r="D138">
        <v>8705</v>
      </c>
      <c r="E138">
        <v>90607911</v>
      </c>
      <c r="G138">
        <v>2309554</v>
      </c>
      <c r="H138">
        <v>8770</v>
      </c>
      <c r="I138">
        <v>0</v>
      </c>
      <c r="J138">
        <v>0</v>
      </c>
      <c r="K138">
        <v>0</v>
      </c>
      <c r="L138">
        <v>0</v>
      </c>
      <c r="M138">
        <v>0</v>
      </c>
      <c r="N138">
        <v>0</v>
      </c>
      <c r="O138">
        <v>0</v>
      </c>
      <c r="Q138">
        <v>0</v>
      </c>
      <c r="R138">
        <v>0</v>
      </c>
      <c r="S138">
        <v>8960</v>
      </c>
      <c r="T138">
        <v>0</v>
      </c>
      <c r="U138">
        <v>0</v>
      </c>
      <c r="V138">
        <v>0</v>
      </c>
      <c r="X138">
        <v>1141203</v>
      </c>
      <c r="Y138">
        <v>0</v>
      </c>
      <c r="Z138">
        <v>52783602</v>
      </c>
      <c r="AA138">
        <v>0</v>
      </c>
      <c r="AB138">
        <v>0</v>
      </c>
      <c r="AC138">
        <v>0</v>
      </c>
      <c r="AD138">
        <v>0</v>
      </c>
      <c r="AE138">
        <v>0</v>
      </c>
      <c r="AF138">
        <v>0</v>
      </c>
      <c r="AG138">
        <v>0</v>
      </c>
      <c r="AH138">
        <v>12829325</v>
      </c>
      <c r="AI138">
        <v>0</v>
      </c>
      <c r="AJ138">
        <v>0</v>
      </c>
      <c r="AK138">
        <v>0</v>
      </c>
      <c r="AL138">
        <v>16731</v>
      </c>
      <c r="AM138">
        <v>0</v>
      </c>
      <c r="AN138">
        <v>0</v>
      </c>
      <c r="AO138">
        <v>20999557</v>
      </c>
      <c r="AP138">
        <v>0</v>
      </c>
      <c r="AQ138">
        <v>0</v>
      </c>
      <c r="AR138">
        <v>0</v>
      </c>
      <c r="AS138">
        <v>514524</v>
      </c>
      <c r="AT138">
        <v>6504</v>
      </c>
      <c r="AU138">
        <v>0</v>
      </c>
      <c r="AV138">
        <v>0</v>
      </c>
      <c r="AW138">
        <v>264433</v>
      </c>
      <c r="AX138">
        <v>0</v>
      </c>
      <c r="AY138">
        <v>0</v>
      </c>
      <c r="AZ138">
        <v>1184728</v>
      </c>
      <c r="BA138">
        <v>0</v>
      </c>
      <c r="BB138">
        <v>0</v>
      </c>
      <c r="BC138">
        <v>949</v>
      </c>
      <c r="BD138">
        <v>0</v>
      </c>
      <c r="BE138">
        <v>0</v>
      </c>
      <c r="BF138">
        <v>30760816</v>
      </c>
      <c r="BH138">
        <v>0</v>
      </c>
      <c r="BI138">
        <v>2863</v>
      </c>
      <c r="BJ138">
        <v>0</v>
      </c>
      <c r="BK138">
        <v>250062</v>
      </c>
      <c r="BL138">
        <v>1424609</v>
      </c>
      <c r="BM138">
        <v>0</v>
      </c>
      <c r="BN138">
        <v>0</v>
      </c>
      <c r="BO138">
        <v>0</v>
      </c>
      <c r="BP138">
        <v>0</v>
      </c>
      <c r="BQ138">
        <v>0</v>
      </c>
      <c r="BS138">
        <v>2459636</v>
      </c>
      <c r="BT138">
        <v>0</v>
      </c>
      <c r="BV138">
        <v>0</v>
      </c>
    </row>
    <row r="139" spans="1:74" x14ac:dyDescent="0.3">
      <c r="A139" s="155">
        <v>516</v>
      </c>
      <c r="B139" t="s">
        <v>263</v>
      </c>
      <c r="D139">
        <v>21260461</v>
      </c>
      <c r="E139">
        <v>1316473328</v>
      </c>
      <c r="G139">
        <v>7412172</v>
      </c>
      <c r="H139">
        <v>6839604</v>
      </c>
      <c r="I139">
        <v>0</v>
      </c>
      <c r="J139">
        <v>0</v>
      </c>
      <c r="K139">
        <v>0</v>
      </c>
      <c r="L139">
        <v>16316591</v>
      </c>
      <c r="M139">
        <v>85985200</v>
      </c>
      <c r="N139">
        <v>0</v>
      </c>
      <c r="O139">
        <v>6484590</v>
      </c>
      <c r="Q139">
        <v>0</v>
      </c>
      <c r="R139">
        <v>0</v>
      </c>
      <c r="S139">
        <v>5818448</v>
      </c>
      <c r="T139">
        <v>0</v>
      </c>
      <c r="U139">
        <v>10323586</v>
      </c>
      <c r="V139">
        <v>21663736</v>
      </c>
      <c r="X139">
        <v>34426295</v>
      </c>
      <c r="Y139">
        <v>0</v>
      </c>
      <c r="Z139">
        <v>0</v>
      </c>
      <c r="AA139">
        <v>0</v>
      </c>
      <c r="AB139">
        <v>2490612</v>
      </c>
      <c r="AC139">
        <v>4363430</v>
      </c>
      <c r="AD139">
        <v>11088548</v>
      </c>
      <c r="AE139">
        <v>6224171</v>
      </c>
      <c r="AF139">
        <v>7090698</v>
      </c>
      <c r="AG139">
        <v>7536225</v>
      </c>
      <c r="AH139">
        <v>23931096</v>
      </c>
      <c r="AI139">
        <v>0</v>
      </c>
      <c r="AJ139">
        <v>0</v>
      </c>
      <c r="AK139">
        <v>0</v>
      </c>
      <c r="AL139">
        <v>5708791</v>
      </c>
      <c r="AM139">
        <v>10746139</v>
      </c>
      <c r="AN139">
        <v>2854752</v>
      </c>
      <c r="AO139">
        <v>186930676</v>
      </c>
      <c r="AP139">
        <v>5598413</v>
      </c>
      <c r="AQ139">
        <v>0</v>
      </c>
      <c r="AR139">
        <v>1289393</v>
      </c>
      <c r="AS139">
        <v>245916315</v>
      </c>
      <c r="AT139">
        <v>6050904</v>
      </c>
      <c r="AU139">
        <v>7130180</v>
      </c>
      <c r="AV139">
        <v>16472210</v>
      </c>
      <c r="AW139">
        <v>8428743</v>
      </c>
      <c r="AX139">
        <v>0</v>
      </c>
      <c r="AY139">
        <v>0</v>
      </c>
      <c r="AZ139">
        <v>19006187</v>
      </c>
      <c r="BA139">
        <v>2988899</v>
      </c>
      <c r="BB139">
        <v>4110738</v>
      </c>
      <c r="BC139">
        <v>1641523</v>
      </c>
      <c r="BD139">
        <v>15608064</v>
      </c>
      <c r="BE139">
        <v>12732207</v>
      </c>
      <c r="BF139">
        <v>84685469</v>
      </c>
      <c r="BH139">
        <v>0</v>
      </c>
      <c r="BI139">
        <v>2523166</v>
      </c>
      <c r="BJ139">
        <v>17851278</v>
      </c>
      <c r="BK139">
        <v>11397760</v>
      </c>
      <c r="BL139">
        <v>59232291</v>
      </c>
      <c r="BM139">
        <v>0</v>
      </c>
      <c r="BN139">
        <v>18559710</v>
      </c>
      <c r="BO139">
        <v>7645211</v>
      </c>
      <c r="BP139">
        <v>0</v>
      </c>
      <c r="BQ139">
        <v>0</v>
      </c>
      <c r="BS139">
        <v>6509513</v>
      </c>
      <c r="BT139">
        <v>4535873</v>
      </c>
      <c r="BV139">
        <v>25290598</v>
      </c>
    </row>
    <row r="140" spans="1:74" x14ac:dyDescent="0.3">
      <c r="A140" s="155">
        <v>517</v>
      </c>
      <c r="B140" t="s">
        <v>264</v>
      </c>
      <c r="D140">
        <v>0</v>
      </c>
      <c r="E140">
        <v>216355589</v>
      </c>
      <c r="G140">
        <v>3405999</v>
      </c>
      <c r="H140">
        <v>0</v>
      </c>
      <c r="I140">
        <v>0</v>
      </c>
      <c r="J140">
        <v>0</v>
      </c>
      <c r="K140">
        <v>0</v>
      </c>
      <c r="L140">
        <v>0</v>
      </c>
      <c r="M140">
        <v>0</v>
      </c>
      <c r="N140">
        <v>0</v>
      </c>
      <c r="O140">
        <v>0</v>
      </c>
      <c r="Q140">
        <v>0</v>
      </c>
      <c r="R140">
        <v>0</v>
      </c>
      <c r="S140">
        <v>0</v>
      </c>
      <c r="T140">
        <v>0</v>
      </c>
      <c r="U140">
        <v>0</v>
      </c>
      <c r="V140">
        <v>0</v>
      </c>
      <c r="X140">
        <v>0</v>
      </c>
      <c r="Y140">
        <v>0</v>
      </c>
      <c r="Z140">
        <v>69064941</v>
      </c>
      <c r="AA140">
        <v>0</v>
      </c>
      <c r="AB140">
        <v>0</v>
      </c>
      <c r="AC140">
        <v>0</v>
      </c>
      <c r="AD140">
        <v>0</v>
      </c>
      <c r="AE140">
        <v>0</v>
      </c>
      <c r="AF140">
        <v>0</v>
      </c>
      <c r="AG140">
        <v>0</v>
      </c>
      <c r="AH140">
        <v>0</v>
      </c>
      <c r="AI140">
        <v>0</v>
      </c>
      <c r="AJ140">
        <v>0</v>
      </c>
      <c r="AK140">
        <v>0</v>
      </c>
      <c r="AL140">
        <v>0</v>
      </c>
      <c r="AM140">
        <v>42284</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H140">
        <v>0</v>
      </c>
      <c r="BI140">
        <v>0</v>
      </c>
      <c r="BJ140">
        <v>0</v>
      </c>
      <c r="BK140">
        <v>26691</v>
      </c>
      <c r="BL140">
        <v>0</v>
      </c>
      <c r="BM140">
        <v>0</v>
      </c>
      <c r="BN140">
        <v>0</v>
      </c>
      <c r="BO140">
        <v>0</v>
      </c>
      <c r="BP140">
        <v>0</v>
      </c>
      <c r="BQ140">
        <v>0</v>
      </c>
      <c r="BS140">
        <v>12826851</v>
      </c>
      <c r="BT140">
        <v>0</v>
      </c>
      <c r="BV140">
        <v>0</v>
      </c>
    </row>
    <row r="141" spans="1:74" x14ac:dyDescent="0.3">
      <c r="A141" s="155">
        <v>518</v>
      </c>
      <c r="B141" t="s">
        <v>265</v>
      </c>
      <c r="D141">
        <v>4737557</v>
      </c>
      <c r="E141">
        <v>31944331</v>
      </c>
      <c r="G141">
        <v>3095134</v>
      </c>
      <c r="H141">
        <v>668388</v>
      </c>
      <c r="I141">
        <v>0</v>
      </c>
      <c r="J141">
        <v>0</v>
      </c>
      <c r="K141">
        <v>0</v>
      </c>
      <c r="L141">
        <v>1142312</v>
      </c>
      <c r="M141">
        <v>3496751</v>
      </c>
      <c r="N141">
        <v>0</v>
      </c>
      <c r="O141">
        <v>98365</v>
      </c>
      <c r="Q141">
        <v>0</v>
      </c>
      <c r="R141">
        <v>0</v>
      </c>
      <c r="S141">
        <v>334670</v>
      </c>
      <c r="T141">
        <v>0</v>
      </c>
      <c r="U141">
        <v>440704</v>
      </c>
      <c r="V141">
        <v>530058</v>
      </c>
      <c r="X141">
        <v>4522692</v>
      </c>
      <c r="Y141">
        <v>0</v>
      </c>
      <c r="Z141">
        <v>47903981</v>
      </c>
      <c r="AA141">
        <v>0</v>
      </c>
      <c r="AB141">
        <v>48945</v>
      </c>
      <c r="AC141">
        <v>31496</v>
      </c>
      <c r="AD141">
        <v>703893</v>
      </c>
      <c r="AE141">
        <v>560827</v>
      </c>
      <c r="AF141">
        <v>253507</v>
      </c>
      <c r="AG141">
        <v>458407</v>
      </c>
      <c r="AH141">
        <v>4952971</v>
      </c>
      <c r="AI141">
        <v>0</v>
      </c>
      <c r="AJ141">
        <v>0</v>
      </c>
      <c r="AK141">
        <v>0</v>
      </c>
      <c r="AL141">
        <v>302440</v>
      </c>
      <c r="AM141">
        <v>652651</v>
      </c>
      <c r="AN141">
        <v>329927</v>
      </c>
      <c r="AO141">
        <v>12877604</v>
      </c>
      <c r="AP141">
        <v>487691</v>
      </c>
      <c r="AQ141">
        <v>0</v>
      </c>
      <c r="AR141">
        <v>3360</v>
      </c>
      <c r="AS141">
        <v>4846221</v>
      </c>
      <c r="AT141">
        <v>98355</v>
      </c>
      <c r="AU141">
        <v>1320690</v>
      </c>
      <c r="AV141">
        <v>587074</v>
      </c>
      <c r="AW141">
        <v>48503</v>
      </c>
      <c r="AX141">
        <v>0</v>
      </c>
      <c r="AY141">
        <v>0</v>
      </c>
      <c r="AZ141">
        <v>1469096</v>
      </c>
      <c r="BA141">
        <v>407814</v>
      </c>
      <c r="BB141">
        <v>88914</v>
      </c>
      <c r="BC141">
        <v>162057</v>
      </c>
      <c r="BD141">
        <v>1266982</v>
      </c>
      <c r="BE141">
        <v>571379</v>
      </c>
      <c r="BF141">
        <v>5127100</v>
      </c>
      <c r="BH141">
        <v>0</v>
      </c>
      <c r="BI141">
        <v>34710</v>
      </c>
      <c r="BJ141">
        <v>3046890</v>
      </c>
      <c r="BK141">
        <v>534445</v>
      </c>
      <c r="BL141">
        <v>4518639</v>
      </c>
      <c r="BM141">
        <v>0</v>
      </c>
      <c r="BN141">
        <v>1650067</v>
      </c>
      <c r="BO141">
        <v>217643</v>
      </c>
      <c r="BP141">
        <v>0</v>
      </c>
      <c r="BQ141">
        <v>0</v>
      </c>
      <c r="BS141">
        <v>1088852</v>
      </c>
      <c r="BT141">
        <v>101460</v>
      </c>
      <c r="BV141">
        <v>584897</v>
      </c>
    </row>
    <row r="142" spans="1:74" x14ac:dyDescent="0.3">
      <c r="A142" s="155">
        <v>519</v>
      </c>
      <c r="B142" t="s">
        <v>266</v>
      </c>
      <c r="D142">
        <v>304</v>
      </c>
      <c r="E142">
        <v>2001541</v>
      </c>
      <c r="G142">
        <v>69121</v>
      </c>
      <c r="H142">
        <v>0</v>
      </c>
      <c r="I142">
        <v>0</v>
      </c>
      <c r="J142">
        <v>0</v>
      </c>
      <c r="K142">
        <v>0</v>
      </c>
      <c r="L142">
        <v>0</v>
      </c>
      <c r="M142">
        <v>0</v>
      </c>
      <c r="N142">
        <v>0</v>
      </c>
      <c r="O142">
        <v>0</v>
      </c>
      <c r="Q142">
        <v>0</v>
      </c>
      <c r="R142">
        <v>0</v>
      </c>
      <c r="S142">
        <v>224</v>
      </c>
      <c r="T142">
        <v>0</v>
      </c>
      <c r="U142">
        <v>0</v>
      </c>
      <c r="V142">
        <v>0</v>
      </c>
      <c r="X142">
        <v>35921</v>
      </c>
      <c r="Y142">
        <v>0</v>
      </c>
      <c r="Z142">
        <v>949959</v>
      </c>
      <c r="AA142">
        <v>0</v>
      </c>
      <c r="AB142">
        <v>0</v>
      </c>
      <c r="AC142">
        <v>0</v>
      </c>
      <c r="AD142">
        <v>0</v>
      </c>
      <c r="AE142">
        <v>0</v>
      </c>
      <c r="AF142">
        <v>0</v>
      </c>
      <c r="AG142">
        <v>0</v>
      </c>
      <c r="AH142">
        <v>200019</v>
      </c>
      <c r="AI142">
        <v>0</v>
      </c>
      <c r="AJ142">
        <v>0</v>
      </c>
      <c r="AK142">
        <v>0</v>
      </c>
      <c r="AL142">
        <v>0</v>
      </c>
      <c r="AM142">
        <v>0</v>
      </c>
      <c r="AN142">
        <v>0</v>
      </c>
      <c r="AO142">
        <v>370319</v>
      </c>
      <c r="AP142">
        <v>0</v>
      </c>
      <c r="AQ142">
        <v>0</v>
      </c>
      <c r="AR142">
        <v>0</v>
      </c>
      <c r="AS142">
        <v>12754</v>
      </c>
      <c r="AT142">
        <v>163</v>
      </c>
      <c r="AU142">
        <v>0</v>
      </c>
      <c r="AV142">
        <v>0</v>
      </c>
      <c r="AW142">
        <v>7565</v>
      </c>
      <c r="AX142">
        <v>0</v>
      </c>
      <c r="AY142">
        <v>0</v>
      </c>
      <c r="AZ142">
        <v>16435</v>
      </c>
      <c r="BA142">
        <v>0</v>
      </c>
      <c r="BB142">
        <v>0</v>
      </c>
      <c r="BC142">
        <v>0</v>
      </c>
      <c r="BD142">
        <v>0</v>
      </c>
      <c r="BE142">
        <v>0</v>
      </c>
      <c r="BF142">
        <v>518702</v>
      </c>
      <c r="BH142">
        <v>0</v>
      </c>
      <c r="BI142">
        <v>143</v>
      </c>
      <c r="BJ142">
        <v>0</v>
      </c>
      <c r="BK142">
        <v>7725</v>
      </c>
      <c r="BL142">
        <v>28492</v>
      </c>
      <c r="BM142">
        <v>0</v>
      </c>
      <c r="BN142">
        <v>0</v>
      </c>
      <c r="BO142">
        <v>0</v>
      </c>
      <c r="BP142">
        <v>0</v>
      </c>
      <c r="BQ142">
        <v>0</v>
      </c>
      <c r="BS142">
        <v>49016</v>
      </c>
      <c r="BT142">
        <v>0</v>
      </c>
      <c r="BV142">
        <v>0</v>
      </c>
    </row>
    <row r="143" spans="1:74" x14ac:dyDescent="0.3">
      <c r="A143" s="155">
        <v>520</v>
      </c>
      <c r="B143" t="s">
        <v>267</v>
      </c>
      <c r="D143">
        <v>527759</v>
      </c>
      <c r="E143">
        <v>27286380</v>
      </c>
      <c r="G143">
        <v>129805</v>
      </c>
      <c r="H143">
        <v>150673</v>
      </c>
      <c r="I143">
        <v>0</v>
      </c>
      <c r="J143">
        <v>0</v>
      </c>
      <c r="K143">
        <v>0</v>
      </c>
      <c r="L143">
        <v>382299</v>
      </c>
      <c r="M143">
        <v>1771729</v>
      </c>
      <c r="N143">
        <v>0</v>
      </c>
      <c r="O143">
        <v>165635</v>
      </c>
      <c r="Q143">
        <v>0</v>
      </c>
      <c r="R143">
        <v>0</v>
      </c>
      <c r="S143">
        <v>193665</v>
      </c>
      <c r="T143">
        <v>0</v>
      </c>
      <c r="U143">
        <v>135454</v>
      </c>
      <c r="V143">
        <v>482089</v>
      </c>
      <c r="X143">
        <v>805871</v>
      </c>
      <c r="Y143">
        <v>0</v>
      </c>
      <c r="Z143">
        <v>0</v>
      </c>
      <c r="AA143">
        <v>0</v>
      </c>
      <c r="AB143">
        <v>62266</v>
      </c>
      <c r="AC143">
        <v>106491</v>
      </c>
      <c r="AD143">
        <v>277214</v>
      </c>
      <c r="AE143">
        <v>152817</v>
      </c>
      <c r="AF143">
        <v>173630</v>
      </c>
      <c r="AG143">
        <v>140019</v>
      </c>
      <c r="AH143">
        <v>445035</v>
      </c>
      <c r="AI143">
        <v>0</v>
      </c>
      <c r="AJ143">
        <v>0</v>
      </c>
      <c r="AK143">
        <v>0</v>
      </c>
      <c r="AL143">
        <v>131141</v>
      </c>
      <c r="AM143">
        <v>277963</v>
      </c>
      <c r="AN143">
        <v>61635</v>
      </c>
      <c r="AO143">
        <v>4325243</v>
      </c>
      <c r="AP143">
        <v>97454</v>
      </c>
      <c r="AQ143">
        <v>0</v>
      </c>
      <c r="AR143">
        <v>25788</v>
      </c>
      <c r="AS143">
        <v>5543883</v>
      </c>
      <c r="AT143">
        <v>137685</v>
      </c>
      <c r="AU143">
        <v>140769</v>
      </c>
      <c r="AV143">
        <v>524114</v>
      </c>
      <c r="AW143">
        <v>95176</v>
      </c>
      <c r="AX143">
        <v>0</v>
      </c>
      <c r="AY143">
        <v>0</v>
      </c>
      <c r="AZ143">
        <v>584533</v>
      </c>
      <c r="BA143">
        <v>61369</v>
      </c>
      <c r="BB143">
        <v>102055</v>
      </c>
      <c r="BC143">
        <v>43692</v>
      </c>
      <c r="BD143">
        <v>416951</v>
      </c>
      <c r="BE143">
        <v>248135</v>
      </c>
      <c r="BF143">
        <v>1791963</v>
      </c>
      <c r="BH143">
        <v>0</v>
      </c>
      <c r="BI143">
        <v>49569</v>
      </c>
      <c r="BJ143">
        <v>466875</v>
      </c>
      <c r="BK143">
        <v>277010</v>
      </c>
      <c r="BL143">
        <v>1271989</v>
      </c>
      <c r="BM143">
        <v>0</v>
      </c>
      <c r="BN143">
        <v>419992</v>
      </c>
      <c r="BO143">
        <v>139813</v>
      </c>
      <c r="BP143">
        <v>0</v>
      </c>
      <c r="BQ143">
        <v>0</v>
      </c>
      <c r="BS143">
        <v>204166</v>
      </c>
      <c r="BT143">
        <v>108939</v>
      </c>
      <c r="BV143">
        <v>588438</v>
      </c>
    </row>
    <row r="144" spans="1:74" x14ac:dyDescent="0.3">
      <c r="A144" s="155">
        <v>521</v>
      </c>
      <c r="B144" t="s">
        <v>268</v>
      </c>
      <c r="D144">
        <v>0</v>
      </c>
      <c r="E144">
        <v>11126635</v>
      </c>
      <c r="G144">
        <v>128269</v>
      </c>
      <c r="H144">
        <v>0</v>
      </c>
      <c r="I144">
        <v>0</v>
      </c>
      <c r="J144">
        <v>0</v>
      </c>
      <c r="K144">
        <v>0</v>
      </c>
      <c r="L144">
        <v>0</v>
      </c>
      <c r="M144">
        <v>0</v>
      </c>
      <c r="N144">
        <v>0</v>
      </c>
      <c r="O144">
        <v>0</v>
      </c>
      <c r="Q144">
        <v>0</v>
      </c>
      <c r="R144">
        <v>0</v>
      </c>
      <c r="S144">
        <v>0</v>
      </c>
      <c r="T144">
        <v>0</v>
      </c>
      <c r="U144">
        <v>0</v>
      </c>
      <c r="V144">
        <v>0</v>
      </c>
      <c r="X144">
        <v>0</v>
      </c>
      <c r="Y144">
        <v>0</v>
      </c>
      <c r="Z144">
        <v>897905</v>
      </c>
      <c r="AA144">
        <v>0</v>
      </c>
      <c r="AB144">
        <v>0</v>
      </c>
      <c r="AC144">
        <v>0</v>
      </c>
      <c r="AD144">
        <v>0</v>
      </c>
      <c r="AE144">
        <v>0</v>
      </c>
      <c r="AF144">
        <v>0</v>
      </c>
      <c r="AG144">
        <v>0</v>
      </c>
      <c r="AH144">
        <v>0</v>
      </c>
      <c r="AI144">
        <v>0</v>
      </c>
      <c r="AJ144">
        <v>0</v>
      </c>
      <c r="AK144">
        <v>0</v>
      </c>
      <c r="AL144">
        <v>0</v>
      </c>
      <c r="AM144">
        <v>1791</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H144">
        <v>0</v>
      </c>
      <c r="BI144">
        <v>0</v>
      </c>
      <c r="BJ144">
        <v>0</v>
      </c>
      <c r="BK144">
        <v>1446</v>
      </c>
      <c r="BL144">
        <v>0</v>
      </c>
      <c r="BM144">
        <v>0</v>
      </c>
      <c r="BN144">
        <v>0</v>
      </c>
      <c r="BO144">
        <v>0</v>
      </c>
      <c r="BP144">
        <v>0</v>
      </c>
      <c r="BQ144">
        <v>0</v>
      </c>
      <c r="BS144">
        <v>267620</v>
      </c>
      <c r="BT144">
        <v>0</v>
      </c>
      <c r="BV144">
        <v>0</v>
      </c>
    </row>
    <row r="145" spans="1:74" x14ac:dyDescent="0.3">
      <c r="A145" s="155">
        <v>522</v>
      </c>
      <c r="B145" t="s">
        <v>269</v>
      </c>
      <c r="D145">
        <v>377946</v>
      </c>
      <c r="E145">
        <v>2166569</v>
      </c>
      <c r="G145">
        <v>112374</v>
      </c>
      <c r="H145">
        <v>45364</v>
      </c>
      <c r="I145">
        <v>0</v>
      </c>
      <c r="J145">
        <v>0</v>
      </c>
      <c r="K145">
        <v>0</v>
      </c>
      <c r="L145">
        <v>98478</v>
      </c>
      <c r="M145">
        <v>177034</v>
      </c>
      <c r="N145">
        <v>0</v>
      </c>
      <c r="O145">
        <v>5616</v>
      </c>
      <c r="Q145">
        <v>0</v>
      </c>
      <c r="R145">
        <v>0</v>
      </c>
      <c r="S145">
        <v>18398</v>
      </c>
      <c r="T145">
        <v>0</v>
      </c>
      <c r="U145">
        <v>26985</v>
      </c>
      <c r="V145">
        <v>18352</v>
      </c>
      <c r="X145">
        <v>297589</v>
      </c>
      <c r="Y145">
        <v>0</v>
      </c>
      <c r="Z145">
        <v>1650021</v>
      </c>
      <c r="AA145">
        <v>0</v>
      </c>
      <c r="AB145">
        <v>2205</v>
      </c>
      <c r="AC145">
        <v>433</v>
      </c>
      <c r="AD145">
        <v>79168</v>
      </c>
      <c r="AE145">
        <v>26873</v>
      </c>
      <c r="AF145">
        <v>33360</v>
      </c>
      <c r="AG145">
        <v>0</v>
      </c>
      <c r="AH145">
        <v>222975</v>
      </c>
      <c r="AI145">
        <v>0</v>
      </c>
      <c r="AJ145">
        <v>0</v>
      </c>
      <c r="AK145">
        <v>0</v>
      </c>
      <c r="AL145">
        <v>10864</v>
      </c>
      <c r="AM145">
        <v>62498</v>
      </c>
      <c r="AN145">
        <v>23134</v>
      </c>
      <c r="AO145">
        <v>478814</v>
      </c>
      <c r="AP145">
        <v>39477</v>
      </c>
      <c r="AQ145">
        <v>0</v>
      </c>
      <c r="AR145">
        <v>28</v>
      </c>
      <c r="AS145">
        <v>386070</v>
      </c>
      <c r="AT145">
        <v>8689</v>
      </c>
      <c r="AU145">
        <v>31246</v>
      </c>
      <c r="AV145">
        <v>12015</v>
      </c>
      <c r="AW145">
        <v>3345</v>
      </c>
      <c r="AX145">
        <v>0</v>
      </c>
      <c r="AY145">
        <v>0</v>
      </c>
      <c r="AZ145">
        <v>60045</v>
      </c>
      <c r="BA145">
        <v>17659</v>
      </c>
      <c r="BB145">
        <v>9790</v>
      </c>
      <c r="BC145">
        <v>4313</v>
      </c>
      <c r="BD145">
        <v>94653</v>
      </c>
      <c r="BE145">
        <v>41747</v>
      </c>
      <c r="BF145">
        <v>144072</v>
      </c>
      <c r="BH145">
        <v>0</v>
      </c>
      <c r="BI145">
        <v>1921</v>
      </c>
      <c r="BJ145">
        <v>161083</v>
      </c>
      <c r="BK145">
        <v>33021</v>
      </c>
      <c r="BL145">
        <v>343116</v>
      </c>
      <c r="BM145">
        <v>0</v>
      </c>
      <c r="BN145">
        <v>21476</v>
      </c>
      <c r="BO145">
        <v>4619</v>
      </c>
      <c r="BP145">
        <v>0</v>
      </c>
      <c r="BQ145">
        <v>0</v>
      </c>
      <c r="BS145">
        <v>40220</v>
      </c>
      <c r="BT145">
        <v>93</v>
      </c>
      <c r="BV145">
        <v>38842</v>
      </c>
    </row>
    <row r="146" spans="1:74" x14ac:dyDescent="0.3">
      <c r="A146" s="155">
        <v>523</v>
      </c>
      <c r="B146" t="s">
        <v>270</v>
      </c>
      <c r="D146">
        <v>1891</v>
      </c>
      <c r="E146">
        <v>52691160</v>
      </c>
      <c r="G146">
        <v>1896296</v>
      </c>
      <c r="H146">
        <v>8770</v>
      </c>
      <c r="I146">
        <v>0</v>
      </c>
      <c r="J146">
        <v>0</v>
      </c>
      <c r="K146">
        <v>0</v>
      </c>
      <c r="L146">
        <v>0</v>
      </c>
      <c r="M146">
        <v>0</v>
      </c>
      <c r="N146">
        <v>0</v>
      </c>
      <c r="O146">
        <v>0</v>
      </c>
      <c r="Q146">
        <v>0</v>
      </c>
      <c r="R146">
        <v>0</v>
      </c>
      <c r="S146">
        <v>2464</v>
      </c>
      <c r="T146">
        <v>0</v>
      </c>
      <c r="U146">
        <v>0</v>
      </c>
      <c r="V146">
        <v>0</v>
      </c>
      <c r="X146">
        <v>923157</v>
      </c>
      <c r="Y146">
        <v>0</v>
      </c>
      <c r="Z146">
        <v>28395552</v>
      </c>
      <c r="AA146">
        <v>0</v>
      </c>
      <c r="AB146">
        <v>0</v>
      </c>
      <c r="AC146">
        <v>0</v>
      </c>
      <c r="AD146">
        <v>0</v>
      </c>
      <c r="AE146">
        <v>0</v>
      </c>
      <c r="AF146">
        <v>0</v>
      </c>
      <c r="AG146">
        <v>0</v>
      </c>
      <c r="AH146">
        <v>7346859</v>
      </c>
      <c r="AI146">
        <v>0</v>
      </c>
      <c r="AJ146">
        <v>0</v>
      </c>
      <c r="AK146">
        <v>0</v>
      </c>
      <c r="AL146">
        <v>16731</v>
      </c>
      <c r="AM146">
        <v>0</v>
      </c>
      <c r="AN146">
        <v>0</v>
      </c>
      <c r="AO146">
        <v>12850434</v>
      </c>
      <c r="AP146">
        <v>0</v>
      </c>
      <c r="AQ146">
        <v>0</v>
      </c>
      <c r="AR146">
        <v>0</v>
      </c>
      <c r="AS146">
        <v>352375</v>
      </c>
      <c r="AT146">
        <v>2114</v>
      </c>
      <c r="AU146">
        <v>0</v>
      </c>
      <c r="AV146">
        <v>0</v>
      </c>
      <c r="AW146">
        <v>75661</v>
      </c>
      <c r="AX146">
        <v>0</v>
      </c>
      <c r="AY146">
        <v>0</v>
      </c>
      <c r="AZ146">
        <v>1016426</v>
      </c>
      <c r="BA146">
        <v>0</v>
      </c>
      <c r="BB146">
        <v>0</v>
      </c>
      <c r="BC146">
        <v>949</v>
      </c>
      <c r="BD146">
        <v>0</v>
      </c>
      <c r="BE146">
        <v>0</v>
      </c>
      <c r="BF146">
        <v>17286776</v>
      </c>
      <c r="BH146">
        <v>0</v>
      </c>
      <c r="BI146">
        <v>2577</v>
      </c>
      <c r="BJ146">
        <v>0</v>
      </c>
      <c r="BK146">
        <v>144494</v>
      </c>
      <c r="BL146">
        <v>458249</v>
      </c>
      <c r="BM146">
        <v>0</v>
      </c>
      <c r="BN146">
        <v>0</v>
      </c>
      <c r="BO146">
        <v>0</v>
      </c>
      <c r="BP146">
        <v>0</v>
      </c>
      <c r="BQ146">
        <v>0</v>
      </c>
      <c r="BS146">
        <v>1822429</v>
      </c>
      <c r="BT146">
        <v>0</v>
      </c>
      <c r="BV146">
        <v>0</v>
      </c>
    </row>
    <row r="147" spans="1:74" x14ac:dyDescent="0.3">
      <c r="A147" s="155">
        <v>524</v>
      </c>
      <c r="B147" t="s">
        <v>271</v>
      </c>
      <c r="D147">
        <v>13546000</v>
      </c>
      <c r="E147">
        <v>509107573</v>
      </c>
      <c r="G147">
        <v>5591078</v>
      </c>
      <c r="H147">
        <v>3533273</v>
      </c>
      <c r="I147">
        <v>0</v>
      </c>
      <c r="J147">
        <v>0</v>
      </c>
      <c r="K147">
        <v>0</v>
      </c>
      <c r="L147">
        <v>9903591</v>
      </c>
      <c r="M147">
        <v>36856870</v>
      </c>
      <c r="N147">
        <v>0</v>
      </c>
      <c r="O147">
        <v>1922297</v>
      </c>
      <c r="Q147">
        <v>0</v>
      </c>
      <c r="R147">
        <v>0</v>
      </c>
      <c r="S147">
        <v>4845367</v>
      </c>
      <c r="T147">
        <v>0</v>
      </c>
      <c r="U147">
        <v>6769122</v>
      </c>
      <c r="V147">
        <v>7316036</v>
      </c>
      <c r="X147">
        <v>23517426</v>
      </c>
      <c r="Y147">
        <v>0</v>
      </c>
      <c r="Z147">
        <v>0</v>
      </c>
      <c r="AA147">
        <v>0</v>
      </c>
      <c r="AB147">
        <v>959111</v>
      </c>
      <c r="AC147">
        <v>2184273</v>
      </c>
      <c r="AD147">
        <v>3705002</v>
      </c>
      <c r="AE147">
        <v>3798009</v>
      </c>
      <c r="AF147">
        <v>2585946</v>
      </c>
      <c r="AG147">
        <v>3810680</v>
      </c>
      <c r="AH147">
        <v>10835369</v>
      </c>
      <c r="AI147">
        <v>0</v>
      </c>
      <c r="AJ147">
        <v>0</v>
      </c>
      <c r="AK147">
        <v>0</v>
      </c>
      <c r="AL147">
        <v>2598605</v>
      </c>
      <c r="AM147">
        <v>5229914</v>
      </c>
      <c r="AN147">
        <v>1943497</v>
      </c>
      <c r="AO147">
        <v>95654807</v>
      </c>
      <c r="AP147">
        <v>1227842</v>
      </c>
      <c r="AQ147">
        <v>0</v>
      </c>
      <c r="AR147">
        <v>257879</v>
      </c>
      <c r="AS147">
        <v>88726132</v>
      </c>
      <c r="AT147">
        <v>1719512</v>
      </c>
      <c r="AU147">
        <v>2658696</v>
      </c>
      <c r="AV147">
        <v>9865000</v>
      </c>
      <c r="AW147">
        <v>2444148</v>
      </c>
      <c r="AX147">
        <v>0</v>
      </c>
      <c r="AY147">
        <v>0</v>
      </c>
      <c r="AZ147">
        <v>10845311</v>
      </c>
      <c r="BA147">
        <v>904679</v>
      </c>
      <c r="BB147">
        <v>1622903</v>
      </c>
      <c r="BC147">
        <v>964218</v>
      </c>
      <c r="BD147">
        <v>5584943</v>
      </c>
      <c r="BE147">
        <v>3837719</v>
      </c>
      <c r="BF147">
        <v>24048469</v>
      </c>
      <c r="BH147">
        <v>0</v>
      </c>
      <c r="BI147">
        <v>1051042</v>
      </c>
      <c r="BJ147">
        <v>10695701</v>
      </c>
      <c r="BK147">
        <v>6779411</v>
      </c>
      <c r="BL147">
        <v>29289167</v>
      </c>
      <c r="BM147">
        <v>0</v>
      </c>
      <c r="BN147">
        <v>7515047</v>
      </c>
      <c r="BO147">
        <v>3599932</v>
      </c>
      <c r="BP147">
        <v>0</v>
      </c>
      <c r="BQ147">
        <v>0</v>
      </c>
      <c r="BS147">
        <v>3031583</v>
      </c>
      <c r="BT147">
        <v>1261020</v>
      </c>
      <c r="BV147">
        <v>11014207</v>
      </c>
    </row>
    <row r="148" spans="1:74" x14ac:dyDescent="0.3">
      <c r="A148" s="155">
        <v>525</v>
      </c>
      <c r="B148" t="s">
        <v>272</v>
      </c>
      <c r="D148">
        <v>0</v>
      </c>
      <c r="E148">
        <v>98283957</v>
      </c>
      <c r="G148">
        <v>1463389</v>
      </c>
      <c r="H148">
        <v>0</v>
      </c>
      <c r="I148">
        <v>0</v>
      </c>
      <c r="J148">
        <v>0</v>
      </c>
      <c r="K148">
        <v>0</v>
      </c>
      <c r="L148">
        <v>0</v>
      </c>
      <c r="M148">
        <v>0</v>
      </c>
      <c r="N148">
        <v>0</v>
      </c>
      <c r="O148">
        <v>0</v>
      </c>
      <c r="Q148">
        <v>0</v>
      </c>
      <c r="R148">
        <v>0</v>
      </c>
      <c r="S148">
        <v>0</v>
      </c>
      <c r="T148">
        <v>0</v>
      </c>
      <c r="U148">
        <v>0</v>
      </c>
      <c r="V148">
        <v>0</v>
      </c>
      <c r="X148">
        <v>0</v>
      </c>
      <c r="Y148">
        <v>0</v>
      </c>
      <c r="Z148">
        <v>24980976</v>
      </c>
      <c r="AA148">
        <v>0</v>
      </c>
      <c r="AB148">
        <v>0</v>
      </c>
      <c r="AC148">
        <v>0</v>
      </c>
      <c r="AD148">
        <v>0</v>
      </c>
      <c r="AE148">
        <v>0</v>
      </c>
      <c r="AF148">
        <v>0</v>
      </c>
      <c r="AG148">
        <v>0</v>
      </c>
      <c r="AH148">
        <v>0</v>
      </c>
      <c r="AI148">
        <v>0</v>
      </c>
      <c r="AJ148">
        <v>0</v>
      </c>
      <c r="AK148">
        <v>0</v>
      </c>
      <c r="AL148">
        <v>0</v>
      </c>
      <c r="AM148">
        <v>10042</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H148">
        <v>0</v>
      </c>
      <c r="BI148">
        <v>0</v>
      </c>
      <c r="BJ148">
        <v>0</v>
      </c>
      <c r="BK148">
        <v>10326</v>
      </c>
      <c r="BL148">
        <v>0</v>
      </c>
      <c r="BM148">
        <v>0</v>
      </c>
      <c r="BN148">
        <v>0</v>
      </c>
      <c r="BO148">
        <v>0</v>
      </c>
      <c r="BP148">
        <v>0</v>
      </c>
      <c r="BQ148">
        <v>0</v>
      </c>
      <c r="BS148">
        <v>2530593</v>
      </c>
      <c r="BT148">
        <v>0</v>
      </c>
      <c r="BV148">
        <v>0</v>
      </c>
    </row>
    <row r="149" spans="1:74" x14ac:dyDescent="0.3">
      <c r="A149" s="155">
        <v>526</v>
      </c>
      <c r="B149" t="s">
        <v>273</v>
      </c>
      <c r="D149">
        <v>2240192</v>
      </c>
      <c r="E149">
        <v>24671827</v>
      </c>
      <c r="G149">
        <v>1375889</v>
      </c>
      <c r="H149">
        <v>352046</v>
      </c>
      <c r="I149">
        <v>0</v>
      </c>
      <c r="J149">
        <v>0</v>
      </c>
      <c r="K149">
        <v>0</v>
      </c>
      <c r="L149">
        <v>533880</v>
      </c>
      <c r="M149">
        <v>2323982</v>
      </c>
      <c r="N149">
        <v>0</v>
      </c>
      <c r="O149">
        <v>65384</v>
      </c>
      <c r="Q149">
        <v>0</v>
      </c>
      <c r="R149">
        <v>0</v>
      </c>
      <c r="S149">
        <v>273686</v>
      </c>
      <c r="T149">
        <v>0</v>
      </c>
      <c r="U149">
        <v>340634</v>
      </c>
      <c r="V149">
        <v>377974</v>
      </c>
      <c r="X149">
        <v>2761127</v>
      </c>
      <c r="Y149">
        <v>0</v>
      </c>
      <c r="Z149">
        <v>36057838</v>
      </c>
      <c r="AA149">
        <v>0</v>
      </c>
      <c r="AB149">
        <v>48945</v>
      </c>
      <c r="AC149">
        <v>30846</v>
      </c>
      <c r="AD149">
        <v>435046</v>
      </c>
      <c r="AE149">
        <v>416024</v>
      </c>
      <c r="AF149">
        <v>161909</v>
      </c>
      <c r="AG149">
        <v>458024</v>
      </c>
      <c r="AH149">
        <v>3774915</v>
      </c>
      <c r="AI149">
        <v>0</v>
      </c>
      <c r="AJ149">
        <v>0</v>
      </c>
      <c r="AK149">
        <v>0</v>
      </c>
      <c r="AL149">
        <v>146886</v>
      </c>
      <c r="AM149">
        <v>406098</v>
      </c>
      <c r="AN149">
        <v>254607</v>
      </c>
      <c r="AO149">
        <v>11603358</v>
      </c>
      <c r="AP149">
        <v>355972</v>
      </c>
      <c r="AQ149">
        <v>0</v>
      </c>
      <c r="AR149">
        <v>3360</v>
      </c>
      <c r="AS149">
        <v>3155311</v>
      </c>
      <c r="AT149">
        <v>67990</v>
      </c>
      <c r="AU149">
        <v>314574</v>
      </c>
      <c r="AV149">
        <v>455320</v>
      </c>
      <c r="AW149">
        <v>21463</v>
      </c>
      <c r="AX149">
        <v>0</v>
      </c>
      <c r="AY149">
        <v>0</v>
      </c>
      <c r="AZ149">
        <v>1098813</v>
      </c>
      <c r="BA149">
        <v>351511</v>
      </c>
      <c r="BB149">
        <v>41285</v>
      </c>
      <c r="BC149">
        <v>142694</v>
      </c>
      <c r="BD149">
        <v>720900</v>
      </c>
      <c r="BE149">
        <v>453523</v>
      </c>
      <c r="BF149">
        <v>4693880</v>
      </c>
      <c r="BH149">
        <v>0</v>
      </c>
      <c r="BI149">
        <v>22229</v>
      </c>
      <c r="BJ149">
        <v>2217020</v>
      </c>
      <c r="BK149">
        <v>463269</v>
      </c>
      <c r="BL149">
        <v>2723029</v>
      </c>
      <c r="BM149">
        <v>0</v>
      </c>
      <c r="BN149">
        <v>1023686</v>
      </c>
      <c r="BO149">
        <v>183427</v>
      </c>
      <c r="BP149">
        <v>0</v>
      </c>
      <c r="BQ149">
        <v>0</v>
      </c>
      <c r="BS149">
        <v>727085</v>
      </c>
      <c r="BT149">
        <v>101459</v>
      </c>
      <c r="BV149">
        <v>456284</v>
      </c>
    </row>
    <row r="150" spans="1:74" x14ac:dyDescent="0.3">
      <c r="A150" s="155">
        <v>527</v>
      </c>
      <c r="B150" t="s">
        <v>274</v>
      </c>
      <c r="D150">
        <v>0</v>
      </c>
      <c r="E150">
        <v>0</v>
      </c>
      <c r="G150">
        <v>0</v>
      </c>
      <c r="H150">
        <v>0</v>
      </c>
      <c r="I150">
        <v>0</v>
      </c>
      <c r="J150">
        <v>0</v>
      </c>
      <c r="K150">
        <v>0</v>
      </c>
      <c r="L150">
        <v>0</v>
      </c>
      <c r="M150">
        <v>0</v>
      </c>
      <c r="N150">
        <v>0</v>
      </c>
      <c r="O150">
        <v>0</v>
      </c>
      <c r="Q150">
        <v>0</v>
      </c>
      <c r="R150">
        <v>0</v>
      </c>
      <c r="S150">
        <v>0</v>
      </c>
      <c r="T150">
        <v>0</v>
      </c>
      <c r="U150">
        <v>0</v>
      </c>
      <c r="V150">
        <v>0</v>
      </c>
      <c r="X150">
        <v>0</v>
      </c>
      <c r="Y150">
        <v>0</v>
      </c>
      <c r="Z150">
        <v>550752</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11543</v>
      </c>
      <c r="AW150">
        <v>0</v>
      </c>
      <c r="AX150">
        <v>0</v>
      </c>
      <c r="AY150">
        <v>0</v>
      </c>
      <c r="AZ150">
        <v>672033</v>
      </c>
      <c r="BA150">
        <v>0</v>
      </c>
      <c r="BB150">
        <v>0</v>
      </c>
      <c r="BC150">
        <v>0</v>
      </c>
      <c r="BD150">
        <v>0</v>
      </c>
      <c r="BE150">
        <v>0</v>
      </c>
      <c r="BF150">
        <v>625594</v>
      </c>
      <c r="BH150">
        <v>0</v>
      </c>
      <c r="BI150">
        <v>0</v>
      </c>
      <c r="BJ150">
        <v>2276179</v>
      </c>
      <c r="BK150">
        <v>0</v>
      </c>
      <c r="BL150">
        <v>0</v>
      </c>
      <c r="BM150">
        <v>0</v>
      </c>
      <c r="BN150">
        <v>1854714</v>
      </c>
      <c r="BO150">
        <v>0</v>
      </c>
      <c r="BP150">
        <v>0</v>
      </c>
      <c r="BQ150">
        <v>0</v>
      </c>
      <c r="BS150">
        <v>0</v>
      </c>
      <c r="BT150">
        <v>0</v>
      </c>
      <c r="BV150">
        <v>0</v>
      </c>
    </row>
    <row r="151" spans="1:74" x14ac:dyDescent="0.3">
      <c r="A151" s="155">
        <v>528</v>
      </c>
      <c r="B151" t="s">
        <v>257</v>
      </c>
      <c r="D151">
        <v>2341051</v>
      </c>
      <c r="E151">
        <v>257331325</v>
      </c>
      <c r="G151">
        <v>2567167</v>
      </c>
      <c r="H151">
        <v>1048399</v>
      </c>
      <c r="I151">
        <v>1249</v>
      </c>
      <c r="J151">
        <v>79682</v>
      </c>
      <c r="K151">
        <v>0</v>
      </c>
      <c r="L151">
        <v>1053689</v>
      </c>
      <c r="M151">
        <v>8174527</v>
      </c>
      <c r="N151">
        <v>9737</v>
      </c>
      <c r="O151">
        <v>212695</v>
      </c>
      <c r="Q151">
        <v>144596</v>
      </c>
      <c r="R151">
        <v>589617</v>
      </c>
      <c r="S151">
        <v>712299</v>
      </c>
      <c r="T151">
        <v>7426178</v>
      </c>
      <c r="U151">
        <v>429112</v>
      </c>
      <c r="V151">
        <v>303064</v>
      </c>
      <c r="X151">
        <v>3643348</v>
      </c>
      <c r="Y151">
        <v>821318</v>
      </c>
      <c r="Z151">
        <v>25633766</v>
      </c>
      <c r="AA151">
        <v>5326348</v>
      </c>
      <c r="AB151">
        <v>60606</v>
      </c>
      <c r="AC151">
        <v>122699</v>
      </c>
      <c r="AD151">
        <v>455706</v>
      </c>
      <c r="AE151">
        <v>491480</v>
      </c>
      <c r="AF151">
        <v>91567</v>
      </c>
      <c r="AG151">
        <v>362220</v>
      </c>
      <c r="AH151">
        <v>4223029</v>
      </c>
      <c r="AI151">
        <v>23227</v>
      </c>
      <c r="AJ151">
        <v>1255353</v>
      </c>
      <c r="AK151">
        <v>82148</v>
      </c>
      <c r="AL151">
        <v>154732</v>
      </c>
      <c r="AM151">
        <v>1958964</v>
      </c>
      <c r="AN151">
        <v>93176</v>
      </c>
      <c r="AO151">
        <v>21029707</v>
      </c>
      <c r="AP151">
        <v>759333</v>
      </c>
      <c r="AQ151">
        <v>35167</v>
      </c>
      <c r="AR151">
        <v>54492</v>
      </c>
      <c r="AS151">
        <v>16118170</v>
      </c>
      <c r="AT151">
        <v>134869</v>
      </c>
      <c r="AU151">
        <v>448360</v>
      </c>
      <c r="AV151">
        <v>578489</v>
      </c>
      <c r="AW151">
        <v>107905</v>
      </c>
      <c r="AX151">
        <v>200134</v>
      </c>
      <c r="AY151">
        <v>131318</v>
      </c>
      <c r="AZ151">
        <v>2910352</v>
      </c>
      <c r="BA151">
        <v>810027</v>
      </c>
      <c r="BB151">
        <v>13425</v>
      </c>
      <c r="BC151">
        <v>210539</v>
      </c>
      <c r="BD151">
        <v>2289189</v>
      </c>
      <c r="BE151">
        <v>317076</v>
      </c>
      <c r="BF151">
        <v>12474365</v>
      </c>
      <c r="BH151">
        <v>97089</v>
      </c>
      <c r="BI151">
        <v>89295</v>
      </c>
      <c r="BJ151">
        <v>6587837</v>
      </c>
      <c r="BK151">
        <v>335954</v>
      </c>
      <c r="BL151">
        <v>10495867</v>
      </c>
      <c r="BM151">
        <v>3094703</v>
      </c>
      <c r="BN151">
        <v>3051750</v>
      </c>
      <c r="BO151">
        <v>627278</v>
      </c>
      <c r="BP151">
        <v>12207</v>
      </c>
      <c r="BQ151">
        <v>1482478</v>
      </c>
      <c r="BS151">
        <v>1256160</v>
      </c>
      <c r="BT151">
        <v>522629</v>
      </c>
      <c r="BV151">
        <v>1310030</v>
      </c>
    </row>
    <row r="152" spans="1:74" x14ac:dyDescent="0.3">
      <c r="A152" s="155">
        <v>529</v>
      </c>
      <c r="B152" t="s">
        <v>258</v>
      </c>
      <c r="D152">
        <v>218816</v>
      </c>
      <c r="E152">
        <v>18222782</v>
      </c>
      <c r="G152">
        <v>250706</v>
      </c>
      <c r="H152">
        <v>158372</v>
      </c>
      <c r="I152">
        <v>220</v>
      </c>
      <c r="J152">
        <v>15748</v>
      </c>
      <c r="K152">
        <v>0</v>
      </c>
      <c r="L152">
        <v>137243</v>
      </c>
      <c r="M152">
        <v>776211</v>
      </c>
      <c r="N152">
        <v>2379</v>
      </c>
      <c r="O152">
        <v>26015</v>
      </c>
      <c r="Q152">
        <v>18938</v>
      </c>
      <c r="R152">
        <v>63957</v>
      </c>
      <c r="S152">
        <v>91517</v>
      </c>
      <c r="T152">
        <v>965003</v>
      </c>
      <c r="U152">
        <v>101573</v>
      </c>
      <c r="V152">
        <v>16690</v>
      </c>
      <c r="X152">
        <v>377465</v>
      </c>
      <c r="Y152">
        <v>98793</v>
      </c>
      <c r="Z152">
        <v>3182160</v>
      </c>
      <c r="AA152">
        <v>605613</v>
      </c>
      <c r="AB152">
        <v>6690</v>
      </c>
      <c r="AC152">
        <v>19277</v>
      </c>
      <c r="AD152">
        <v>100398</v>
      </c>
      <c r="AE152">
        <v>50692</v>
      </c>
      <c r="AF152">
        <v>12138</v>
      </c>
      <c r="AG152">
        <v>37320</v>
      </c>
      <c r="AH152">
        <v>506105</v>
      </c>
      <c r="AI152">
        <v>4039</v>
      </c>
      <c r="AJ152">
        <v>94505</v>
      </c>
      <c r="AK152">
        <v>7833</v>
      </c>
      <c r="AL152">
        <v>13362</v>
      </c>
      <c r="AM152">
        <v>178560</v>
      </c>
      <c r="AN152">
        <v>13123</v>
      </c>
      <c r="AO152">
        <v>2208558</v>
      </c>
      <c r="AP152">
        <v>43808</v>
      </c>
      <c r="AQ152">
        <v>6515</v>
      </c>
      <c r="AR152">
        <v>12325</v>
      </c>
      <c r="AS152">
        <v>1585949</v>
      </c>
      <c r="AT152">
        <v>15824</v>
      </c>
      <c r="AU152">
        <v>84004</v>
      </c>
      <c r="AV152">
        <v>84661</v>
      </c>
      <c r="AW152">
        <v>20670</v>
      </c>
      <c r="AX152">
        <v>14033</v>
      </c>
      <c r="AY152">
        <v>16251</v>
      </c>
      <c r="AZ152">
        <v>214573</v>
      </c>
      <c r="BA152">
        <v>22858</v>
      </c>
      <c r="BB152">
        <v>1694</v>
      </c>
      <c r="BC152">
        <v>13266</v>
      </c>
      <c r="BD152">
        <v>227821</v>
      </c>
      <c r="BE152">
        <v>69052</v>
      </c>
      <c r="BF152">
        <v>889292</v>
      </c>
      <c r="BH152">
        <v>15696</v>
      </c>
      <c r="BI152">
        <v>16832</v>
      </c>
      <c r="BJ152">
        <v>703717</v>
      </c>
      <c r="BK152">
        <v>63790</v>
      </c>
      <c r="BL152">
        <v>719103</v>
      </c>
      <c r="BM152">
        <v>113415</v>
      </c>
      <c r="BN152">
        <v>170952</v>
      </c>
      <c r="BO152">
        <v>56265</v>
      </c>
      <c r="BP152">
        <v>2372</v>
      </c>
      <c r="BQ152">
        <v>152769</v>
      </c>
      <c r="BS152">
        <v>149045</v>
      </c>
      <c r="BT152">
        <v>74710</v>
      </c>
      <c r="BV152">
        <v>96643</v>
      </c>
    </row>
    <row r="153" spans="1:74" x14ac:dyDescent="0.3">
      <c r="A153" s="155">
        <v>530</v>
      </c>
      <c r="B153" t="s">
        <v>259</v>
      </c>
      <c r="D153">
        <v>62508</v>
      </c>
      <c r="E153">
        <v>706040</v>
      </c>
      <c r="G153">
        <v>18505</v>
      </c>
      <c r="H153">
        <v>33107</v>
      </c>
      <c r="I153">
        <v>30</v>
      </c>
      <c r="J153">
        <v>3029</v>
      </c>
      <c r="K153">
        <v>0</v>
      </c>
      <c r="L153">
        <v>62167</v>
      </c>
      <c r="M153">
        <v>104580</v>
      </c>
      <c r="N153">
        <v>832</v>
      </c>
      <c r="O153">
        <v>11096</v>
      </c>
      <c r="Q153">
        <v>2816</v>
      </c>
      <c r="R153">
        <v>3165</v>
      </c>
      <c r="S153">
        <v>2336</v>
      </c>
      <c r="T153">
        <v>76661</v>
      </c>
      <c r="U153">
        <v>1853</v>
      </c>
      <c r="V153">
        <v>7499</v>
      </c>
      <c r="X153">
        <v>25715</v>
      </c>
      <c r="Y153">
        <v>13488</v>
      </c>
      <c r="Z153">
        <v>1112524</v>
      </c>
      <c r="AA153">
        <v>15630</v>
      </c>
      <c r="AB153">
        <v>5388</v>
      </c>
      <c r="AC153">
        <v>21727</v>
      </c>
      <c r="AD153">
        <v>15949</v>
      </c>
      <c r="AE153">
        <v>24000</v>
      </c>
      <c r="AF153">
        <v>235</v>
      </c>
      <c r="AG153">
        <v>20609</v>
      </c>
      <c r="AH153">
        <v>46060</v>
      </c>
      <c r="AI153">
        <v>999</v>
      </c>
      <c r="AJ153">
        <v>5615</v>
      </c>
      <c r="AK153">
        <v>1153</v>
      </c>
      <c r="AL153">
        <v>2764</v>
      </c>
      <c r="AM153">
        <v>26687</v>
      </c>
      <c r="AN153">
        <v>467</v>
      </c>
      <c r="AO153">
        <v>437990</v>
      </c>
      <c r="AP153">
        <v>5394</v>
      </c>
      <c r="AQ153">
        <v>1291</v>
      </c>
      <c r="AR153">
        <v>2207</v>
      </c>
      <c r="AS153">
        <v>149158</v>
      </c>
      <c r="AT153">
        <v>2453</v>
      </c>
      <c r="AU153">
        <v>14579</v>
      </c>
      <c r="AV153">
        <v>25320</v>
      </c>
      <c r="AW153">
        <v>12956</v>
      </c>
      <c r="AX153">
        <v>846</v>
      </c>
      <c r="AY153">
        <v>4421</v>
      </c>
      <c r="AZ153">
        <v>7737</v>
      </c>
      <c r="BA153">
        <v>1669</v>
      </c>
      <c r="BB153">
        <v>843</v>
      </c>
      <c r="BC153">
        <v>1587</v>
      </c>
      <c r="BD153">
        <v>38465</v>
      </c>
      <c r="BE153">
        <v>12241</v>
      </c>
      <c r="BF153">
        <v>203286</v>
      </c>
      <c r="BH153">
        <v>2297</v>
      </c>
      <c r="BI153">
        <v>532</v>
      </c>
      <c r="BJ153">
        <v>16991</v>
      </c>
      <c r="BK153">
        <v>11936</v>
      </c>
      <c r="BL153">
        <v>27541</v>
      </c>
      <c r="BM153">
        <v>5887</v>
      </c>
      <c r="BN153">
        <v>29684</v>
      </c>
      <c r="BO153">
        <v>9242</v>
      </c>
      <c r="BP153">
        <v>2018</v>
      </c>
      <c r="BQ153">
        <v>30312</v>
      </c>
      <c r="BS153">
        <v>48792</v>
      </c>
      <c r="BT153">
        <v>5582</v>
      </c>
      <c r="BV153">
        <v>27705</v>
      </c>
    </row>
    <row r="154" spans="1:74" x14ac:dyDescent="0.3">
      <c r="A154" s="155">
        <v>531</v>
      </c>
      <c r="B154" t="s">
        <v>260</v>
      </c>
      <c r="D154">
        <v>0</v>
      </c>
      <c r="E154">
        <v>0</v>
      </c>
      <c r="G154">
        <v>0</v>
      </c>
      <c r="H154">
        <v>0</v>
      </c>
      <c r="I154">
        <v>0</v>
      </c>
      <c r="J154">
        <v>14</v>
      </c>
      <c r="K154">
        <v>0</v>
      </c>
      <c r="L154">
        <v>0</v>
      </c>
      <c r="M154">
        <v>0</v>
      </c>
      <c r="N154">
        <v>0</v>
      </c>
      <c r="O154">
        <v>0</v>
      </c>
      <c r="Q154">
        <v>0</v>
      </c>
      <c r="R154">
        <v>0</v>
      </c>
      <c r="S154">
        <v>0</v>
      </c>
      <c r="T154">
        <v>2979</v>
      </c>
      <c r="U154">
        <v>0</v>
      </c>
      <c r="V154">
        <v>0</v>
      </c>
      <c r="X154">
        <v>0</v>
      </c>
      <c r="Y154">
        <v>0</v>
      </c>
      <c r="Z154">
        <v>11879</v>
      </c>
      <c r="AA154">
        <v>0</v>
      </c>
      <c r="AB154">
        <v>0</v>
      </c>
      <c r="AC154">
        <v>126</v>
      </c>
      <c r="AD154">
        <v>0</v>
      </c>
      <c r="AE154">
        <v>0</v>
      </c>
      <c r="AF154">
        <v>0</v>
      </c>
      <c r="AG154">
        <v>0</v>
      </c>
      <c r="AH154">
        <v>0</v>
      </c>
      <c r="AI154">
        <v>0</v>
      </c>
      <c r="AJ154">
        <v>0</v>
      </c>
      <c r="AK154">
        <v>0</v>
      </c>
      <c r="AL154">
        <v>0</v>
      </c>
      <c r="AM154">
        <v>0</v>
      </c>
      <c r="AN154">
        <v>0</v>
      </c>
      <c r="AO154">
        <v>5173</v>
      </c>
      <c r="AP154">
        <v>0</v>
      </c>
      <c r="AQ154">
        <v>0</v>
      </c>
      <c r="AR154">
        <v>0</v>
      </c>
      <c r="AS154">
        <v>30845</v>
      </c>
      <c r="AT154">
        <v>0</v>
      </c>
      <c r="AU154">
        <v>0</v>
      </c>
      <c r="AV154">
        <v>0</v>
      </c>
      <c r="AW154">
        <v>0</v>
      </c>
      <c r="AX154">
        <v>0</v>
      </c>
      <c r="AY154">
        <v>0</v>
      </c>
      <c r="AZ154">
        <v>0</v>
      </c>
      <c r="BA154">
        <v>0</v>
      </c>
      <c r="BB154">
        <v>0</v>
      </c>
      <c r="BC154">
        <v>0</v>
      </c>
      <c r="BD154">
        <v>0</v>
      </c>
      <c r="BE154">
        <v>0</v>
      </c>
      <c r="BF154">
        <v>0</v>
      </c>
      <c r="BH154">
        <v>0</v>
      </c>
      <c r="BI154">
        <v>0</v>
      </c>
      <c r="BJ154">
        <v>0</v>
      </c>
      <c r="BK154">
        <v>0</v>
      </c>
      <c r="BL154">
        <v>0</v>
      </c>
      <c r="BM154">
        <v>0</v>
      </c>
      <c r="BN154">
        <v>444</v>
      </c>
      <c r="BO154">
        <v>0</v>
      </c>
      <c r="BP154">
        <v>0</v>
      </c>
      <c r="BQ154">
        <v>0</v>
      </c>
      <c r="BS154">
        <v>0</v>
      </c>
      <c r="BT154">
        <v>0</v>
      </c>
      <c r="BV154">
        <v>0</v>
      </c>
    </row>
    <row r="155" spans="1:74" x14ac:dyDescent="0.3">
      <c r="A155" s="155">
        <v>532</v>
      </c>
      <c r="B155" t="s">
        <v>926</v>
      </c>
      <c r="D155">
        <v>5164713</v>
      </c>
      <c r="E155">
        <v>417276541</v>
      </c>
      <c r="G155">
        <v>5683150</v>
      </c>
      <c r="H155">
        <v>2231367</v>
      </c>
      <c r="I155">
        <v>26414</v>
      </c>
      <c r="J155">
        <v>338794</v>
      </c>
      <c r="K155">
        <v>1078151</v>
      </c>
      <c r="L155">
        <v>4862091</v>
      </c>
      <c r="M155">
        <v>15120139</v>
      </c>
      <c r="N155">
        <v>78718</v>
      </c>
      <c r="O155">
        <v>621235</v>
      </c>
      <c r="Q155">
        <v>858688</v>
      </c>
      <c r="R155">
        <v>1408071</v>
      </c>
      <c r="S155">
        <v>2042481</v>
      </c>
      <c r="T155">
        <v>14891660</v>
      </c>
      <c r="U155">
        <v>1441386</v>
      </c>
      <c r="V155">
        <v>491109</v>
      </c>
      <c r="X155">
        <v>8201909</v>
      </c>
      <c r="Y155">
        <v>1726700</v>
      </c>
      <c r="Z155">
        <v>67931631</v>
      </c>
      <c r="AA155">
        <v>8333569</v>
      </c>
      <c r="AB155">
        <v>274002</v>
      </c>
      <c r="AC155">
        <v>296849</v>
      </c>
      <c r="AD155">
        <v>1582125</v>
      </c>
      <c r="AE155">
        <v>1169479</v>
      </c>
      <c r="AF155">
        <v>476940</v>
      </c>
      <c r="AG155">
        <v>1070240</v>
      </c>
      <c r="AH155">
        <v>10452872</v>
      </c>
      <c r="AI155">
        <v>111537</v>
      </c>
      <c r="AJ155">
        <v>2821260</v>
      </c>
      <c r="AK155">
        <v>197094</v>
      </c>
      <c r="AL155">
        <v>873308</v>
      </c>
      <c r="AM155">
        <v>5165777</v>
      </c>
      <c r="AN155">
        <v>296876</v>
      </c>
      <c r="AO155">
        <v>38476384</v>
      </c>
      <c r="AP155">
        <v>1190721</v>
      </c>
      <c r="AQ155">
        <v>81858</v>
      </c>
      <c r="AR155">
        <v>162252</v>
      </c>
      <c r="AS155">
        <v>30949588</v>
      </c>
      <c r="AT155">
        <v>293591</v>
      </c>
      <c r="AU155">
        <v>2232347</v>
      </c>
      <c r="AV155">
        <v>1899134</v>
      </c>
      <c r="AW155">
        <v>312660</v>
      </c>
      <c r="AX155">
        <v>307475</v>
      </c>
      <c r="AY155">
        <v>218643</v>
      </c>
      <c r="AZ155">
        <v>6235452</v>
      </c>
      <c r="BA155">
        <v>2128892</v>
      </c>
      <c r="BB155">
        <v>49055</v>
      </c>
      <c r="BC155">
        <v>321018</v>
      </c>
      <c r="BD155">
        <v>5807460</v>
      </c>
      <c r="BE155">
        <v>1538755</v>
      </c>
      <c r="BF155">
        <v>25484921</v>
      </c>
      <c r="BH155">
        <v>302579</v>
      </c>
      <c r="BI155">
        <v>241637</v>
      </c>
      <c r="BJ155">
        <v>13028800</v>
      </c>
      <c r="BK155">
        <v>1299795</v>
      </c>
      <c r="BL155">
        <v>18731812</v>
      </c>
      <c r="BM155">
        <v>6362908</v>
      </c>
      <c r="BN155">
        <v>7738115</v>
      </c>
      <c r="BO155">
        <v>1542368</v>
      </c>
      <c r="BP155">
        <v>34502</v>
      </c>
      <c r="BQ155">
        <v>3451200</v>
      </c>
      <c r="BS155">
        <v>3528981</v>
      </c>
      <c r="BT155">
        <v>1184205</v>
      </c>
      <c r="BV155">
        <v>2687472</v>
      </c>
    </row>
    <row r="156" spans="1:74" x14ac:dyDescent="0.3">
      <c r="A156" s="155">
        <v>533</v>
      </c>
      <c r="B156" t="s">
        <v>927</v>
      </c>
      <c r="D156">
        <v>377500</v>
      </c>
      <c r="E156">
        <v>0</v>
      </c>
      <c r="G156">
        <v>450000</v>
      </c>
      <c r="H156">
        <v>116900</v>
      </c>
      <c r="I156">
        <v>0</v>
      </c>
      <c r="J156">
        <v>0</v>
      </c>
      <c r="K156">
        <v>0</v>
      </c>
      <c r="L156">
        <v>463785</v>
      </c>
      <c r="M156">
        <v>0</v>
      </c>
      <c r="N156">
        <v>0</v>
      </c>
      <c r="O156">
        <v>0</v>
      </c>
      <c r="Q156">
        <v>0</v>
      </c>
      <c r="R156">
        <v>0</v>
      </c>
      <c r="S156">
        <v>0</v>
      </c>
      <c r="T156">
        <v>190000</v>
      </c>
      <c r="U156">
        <v>65000</v>
      </c>
      <c r="V156">
        <v>0</v>
      </c>
      <c r="X156">
        <v>0</v>
      </c>
      <c r="Y156">
        <v>0</v>
      </c>
      <c r="Z156">
        <v>0</v>
      </c>
      <c r="AA156">
        <v>0</v>
      </c>
      <c r="AB156">
        <v>0</v>
      </c>
      <c r="AC156">
        <v>0</v>
      </c>
      <c r="AD156">
        <v>0</v>
      </c>
      <c r="AE156">
        <v>0</v>
      </c>
      <c r="AF156">
        <v>0</v>
      </c>
      <c r="AG156">
        <v>0</v>
      </c>
      <c r="AH156">
        <v>285470</v>
      </c>
      <c r="AI156">
        <v>0</v>
      </c>
      <c r="AJ156">
        <v>0</v>
      </c>
      <c r="AK156">
        <v>0</v>
      </c>
      <c r="AL156">
        <v>0</v>
      </c>
      <c r="AM156">
        <v>0</v>
      </c>
      <c r="AN156">
        <v>0</v>
      </c>
      <c r="AO156">
        <v>0</v>
      </c>
      <c r="AP156">
        <v>0</v>
      </c>
      <c r="AQ156">
        <v>0</v>
      </c>
      <c r="AR156">
        <v>0</v>
      </c>
      <c r="AS156">
        <v>1165909</v>
      </c>
      <c r="AT156">
        <v>0</v>
      </c>
      <c r="AU156">
        <v>0</v>
      </c>
      <c r="AV156">
        <v>0</v>
      </c>
      <c r="AW156">
        <v>0</v>
      </c>
      <c r="AX156">
        <v>0</v>
      </c>
      <c r="AY156">
        <v>0</v>
      </c>
      <c r="AZ156">
        <v>0</v>
      </c>
      <c r="BA156">
        <v>0</v>
      </c>
      <c r="BB156">
        <v>0</v>
      </c>
      <c r="BC156">
        <v>0</v>
      </c>
      <c r="BD156">
        <v>0</v>
      </c>
      <c r="BE156">
        <v>200342</v>
      </c>
      <c r="BF156">
        <v>622143</v>
      </c>
      <c r="BH156">
        <v>0</v>
      </c>
      <c r="BI156">
        <v>0</v>
      </c>
      <c r="BJ156">
        <v>0</v>
      </c>
      <c r="BK156">
        <v>0</v>
      </c>
      <c r="BL156">
        <v>0</v>
      </c>
      <c r="BM156">
        <v>0</v>
      </c>
      <c r="BN156">
        <v>0</v>
      </c>
      <c r="BO156">
        <v>0</v>
      </c>
      <c r="BP156">
        <v>0</v>
      </c>
      <c r="BQ156">
        <v>0</v>
      </c>
      <c r="BS156">
        <v>450000</v>
      </c>
      <c r="BT156">
        <v>1500</v>
      </c>
      <c r="BV156">
        <v>0</v>
      </c>
    </row>
    <row r="157" spans="1:74" x14ac:dyDescent="0.3">
      <c r="A157" s="155">
        <v>534</v>
      </c>
      <c r="B157" t="s">
        <v>928</v>
      </c>
      <c r="D157">
        <v>0</v>
      </c>
      <c r="E157">
        <v>0</v>
      </c>
      <c r="G157">
        <v>0</v>
      </c>
      <c r="H157">
        <v>0</v>
      </c>
      <c r="I157">
        <v>0</v>
      </c>
      <c r="J157">
        <v>0</v>
      </c>
      <c r="K157">
        <v>0</v>
      </c>
      <c r="L157">
        <v>0</v>
      </c>
      <c r="M157">
        <v>0</v>
      </c>
      <c r="N157">
        <v>0</v>
      </c>
      <c r="O157">
        <v>0</v>
      </c>
      <c r="Q157">
        <v>0</v>
      </c>
      <c r="R157">
        <v>0</v>
      </c>
      <c r="S157">
        <v>0</v>
      </c>
      <c r="T157">
        <v>0</v>
      </c>
      <c r="U157">
        <v>0</v>
      </c>
      <c r="V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H157">
        <v>0</v>
      </c>
      <c r="BI157">
        <v>0</v>
      </c>
      <c r="BJ157">
        <v>0</v>
      </c>
      <c r="BK157">
        <v>0</v>
      </c>
      <c r="BL157">
        <v>0</v>
      </c>
      <c r="BM157">
        <v>0</v>
      </c>
      <c r="BN157">
        <v>0</v>
      </c>
      <c r="BO157">
        <v>0</v>
      </c>
      <c r="BP157">
        <v>0</v>
      </c>
      <c r="BQ157">
        <v>0</v>
      </c>
      <c r="BS157">
        <v>0</v>
      </c>
      <c r="BT157">
        <v>0</v>
      </c>
      <c r="BV157">
        <v>0</v>
      </c>
    </row>
    <row r="158" spans="1:74" x14ac:dyDescent="0.3">
      <c r="A158" s="155">
        <v>535</v>
      </c>
      <c r="B158" t="s">
        <v>244</v>
      </c>
      <c r="D158">
        <v>0</v>
      </c>
      <c r="E158">
        <v>120499959</v>
      </c>
      <c r="G158">
        <v>0</v>
      </c>
      <c r="H158">
        <v>0</v>
      </c>
      <c r="I158">
        <v>0</v>
      </c>
      <c r="J158">
        <v>0</v>
      </c>
      <c r="K158">
        <v>0</v>
      </c>
      <c r="L158">
        <v>0</v>
      </c>
      <c r="M158">
        <v>2672160</v>
      </c>
      <c r="N158">
        <v>1</v>
      </c>
      <c r="O158">
        <v>0</v>
      </c>
      <c r="Q158">
        <v>0</v>
      </c>
      <c r="R158">
        <v>0</v>
      </c>
      <c r="S158">
        <v>0</v>
      </c>
      <c r="T158">
        <v>0</v>
      </c>
      <c r="U158">
        <v>0</v>
      </c>
      <c r="V158">
        <v>0</v>
      </c>
      <c r="X158">
        <v>0</v>
      </c>
      <c r="Y158">
        <v>0</v>
      </c>
      <c r="Z158">
        <v>4434076</v>
      </c>
      <c r="AA158">
        <v>0</v>
      </c>
      <c r="AB158">
        <v>0</v>
      </c>
      <c r="AC158">
        <v>0</v>
      </c>
      <c r="AD158">
        <v>0</v>
      </c>
      <c r="AE158">
        <v>0</v>
      </c>
      <c r="AF158">
        <v>0</v>
      </c>
      <c r="AG158">
        <v>1</v>
      </c>
      <c r="AH158">
        <v>4214138</v>
      </c>
      <c r="AI158">
        <v>0</v>
      </c>
      <c r="AJ158">
        <v>0</v>
      </c>
      <c r="AK158">
        <v>0</v>
      </c>
      <c r="AL158">
        <v>0</v>
      </c>
      <c r="AM158">
        <v>0</v>
      </c>
      <c r="AN158">
        <v>0</v>
      </c>
      <c r="AO158">
        <v>19968647</v>
      </c>
      <c r="AP158">
        <v>0</v>
      </c>
      <c r="AQ158">
        <v>0</v>
      </c>
      <c r="AR158">
        <v>0</v>
      </c>
      <c r="AS158">
        <v>2062272</v>
      </c>
      <c r="AT158">
        <v>0</v>
      </c>
      <c r="AU158">
        <v>0</v>
      </c>
      <c r="AV158">
        <v>0</v>
      </c>
      <c r="AW158">
        <v>0</v>
      </c>
      <c r="AX158">
        <v>0</v>
      </c>
      <c r="AY158">
        <v>0</v>
      </c>
      <c r="AZ158">
        <v>0</v>
      </c>
      <c r="BA158">
        <v>0</v>
      </c>
      <c r="BB158">
        <v>0</v>
      </c>
      <c r="BC158">
        <v>0</v>
      </c>
      <c r="BD158">
        <v>0</v>
      </c>
      <c r="BE158">
        <v>0</v>
      </c>
      <c r="BF158">
        <v>575622</v>
      </c>
      <c r="BH158">
        <v>0</v>
      </c>
      <c r="BI158">
        <v>0</v>
      </c>
      <c r="BJ158">
        <v>774961</v>
      </c>
      <c r="BK158">
        <v>0</v>
      </c>
      <c r="BL158">
        <v>0</v>
      </c>
      <c r="BM158">
        <v>0</v>
      </c>
      <c r="BN158">
        <v>0</v>
      </c>
      <c r="BO158">
        <v>0</v>
      </c>
      <c r="BP158">
        <v>0</v>
      </c>
      <c r="BQ158">
        <v>2447125</v>
      </c>
      <c r="BS158">
        <v>0</v>
      </c>
      <c r="BT158">
        <v>0</v>
      </c>
      <c r="BV158">
        <v>0</v>
      </c>
    </row>
    <row r="159" spans="1:74" x14ac:dyDescent="0.3">
      <c r="A159" s="155">
        <v>536</v>
      </c>
      <c r="B159" t="s">
        <v>190</v>
      </c>
      <c r="D159">
        <v>830823</v>
      </c>
      <c r="E159">
        <v>2848770</v>
      </c>
      <c r="G159">
        <v>774552</v>
      </c>
      <c r="H159">
        <v>409114</v>
      </c>
      <c r="I159">
        <v>1040</v>
      </c>
      <c r="J159">
        <v>33009</v>
      </c>
      <c r="K159">
        <v>0</v>
      </c>
      <c r="L159">
        <v>12755</v>
      </c>
      <c r="M159">
        <v>0</v>
      </c>
      <c r="N159">
        <v>64781</v>
      </c>
      <c r="O159">
        <v>32647</v>
      </c>
      <c r="Q159">
        <v>116463</v>
      </c>
      <c r="R159">
        <v>24197</v>
      </c>
      <c r="S159">
        <v>129108</v>
      </c>
      <c r="T159">
        <v>226934</v>
      </c>
      <c r="U159">
        <v>192810</v>
      </c>
      <c r="V159">
        <v>579</v>
      </c>
      <c r="X159">
        <v>360786</v>
      </c>
      <c r="Y159">
        <v>131369</v>
      </c>
      <c r="Z159">
        <v>1718816</v>
      </c>
      <c r="AA159">
        <v>789696</v>
      </c>
      <c r="AB159">
        <v>36283</v>
      </c>
      <c r="AC159">
        <v>38861</v>
      </c>
      <c r="AD159">
        <v>0</v>
      </c>
      <c r="AE159">
        <v>0</v>
      </c>
      <c r="AF159">
        <v>47048</v>
      </c>
      <c r="AG159">
        <v>0</v>
      </c>
      <c r="AH159">
        <v>113054</v>
      </c>
      <c r="AI159">
        <v>8244</v>
      </c>
      <c r="AJ159">
        <v>181726</v>
      </c>
      <c r="AK159">
        <v>17290</v>
      </c>
      <c r="AL159">
        <v>0</v>
      </c>
      <c r="AM159">
        <v>215854</v>
      </c>
      <c r="AN159">
        <v>73179</v>
      </c>
      <c r="AO159">
        <v>1235955</v>
      </c>
      <c r="AP159">
        <v>16241</v>
      </c>
      <c r="AQ159">
        <v>19075</v>
      </c>
      <c r="AR159">
        <v>89250</v>
      </c>
      <c r="AS159">
        <v>2442469</v>
      </c>
      <c r="AT159">
        <v>61966</v>
      </c>
      <c r="AU159">
        <v>462265</v>
      </c>
      <c r="AV159">
        <v>203019</v>
      </c>
      <c r="AW159">
        <v>56242</v>
      </c>
      <c r="AX159">
        <v>19793</v>
      </c>
      <c r="AY159">
        <v>109700</v>
      </c>
      <c r="AZ159">
        <v>695366</v>
      </c>
      <c r="BA159">
        <v>0</v>
      </c>
      <c r="BB159">
        <v>37554</v>
      </c>
      <c r="BC159">
        <v>40266</v>
      </c>
      <c r="BD159">
        <v>327383</v>
      </c>
      <c r="BE159">
        <v>46013</v>
      </c>
      <c r="BF159">
        <v>896848</v>
      </c>
      <c r="BH159">
        <v>177</v>
      </c>
      <c r="BI159">
        <v>43953</v>
      </c>
      <c r="BJ159">
        <v>642219</v>
      </c>
      <c r="BK159">
        <v>116822</v>
      </c>
      <c r="BL159">
        <v>193799</v>
      </c>
      <c r="BM159">
        <v>466941</v>
      </c>
      <c r="BN159">
        <v>77419</v>
      </c>
      <c r="BO159">
        <v>70094</v>
      </c>
      <c r="BP159">
        <v>2605</v>
      </c>
      <c r="BQ159">
        <v>295916</v>
      </c>
      <c r="BS159">
        <v>33280</v>
      </c>
      <c r="BT159">
        <v>437772</v>
      </c>
      <c r="BV159">
        <v>9847</v>
      </c>
    </row>
    <row r="160" spans="1:74" x14ac:dyDescent="0.3">
      <c r="A160" s="155">
        <v>537</v>
      </c>
      <c r="B160" t="s">
        <v>280</v>
      </c>
      <c r="D160">
        <v>1</v>
      </c>
      <c r="E160">
        <v>2</v>
      </c>
      <c r="G160">
        <v>2</v>
      </c>
      <c r="H160">
        <v>2</v>
      </c>
      <c r="I160">
        <v>0</v>
      </c>
      <c r="J160">
        <v>2</v>
      </c>
      <c r="K160">
        <v>2</v>
      </c>
      <c r="L160">
        <v>2</v>
      </c>
      <c r="M160">
        <v>2</v>
      </c>
      <c r="N160">
        <v>2</v>
      </c>
      <c r="O160">
        <v>1</v>
      </c>
      <c r="Q160">
        <v>0</v>
      </c>
      <c r="R160">
        <v>2</v>
      </c>
      <c r="S160">
        <v>2</v>
      </c>
      <c r="T160">
        <v>0</v>
      </c>
      <c r="U160">
        <v>1</v>
      </c>
      <c r="V160">
        <v>2</v>
      </c>
      <c r="X160">
        <v>2</v>
      </c>
      <c r="Y160">
        <v>0</v>
      </c>
      <c r="Z160">
        <v>2</v>
      </c>
      <c r="AA160">
        <v>0</v>
      </c>
      <c r="AB160">
        <v>2</v>
      </c>
      <c r="AC160">
        <v>2</v>
      </c>
      <c r="AD160">
        <v>2</v>
      </c>
      <c r="AE160">
        <v>1</v>
      </c>
      <c r="AF160">
        <v>2</v>
      </c>
      <c r="AG160">
        <v>2</v>
      </c>
      <c r="AH160">
        <v>2</v>
      </c>
      <c r="AI160">
        <v>0</v>
      </c>
      <c r="AJ160">
        <v>0</v>
      </c>
      <c r="AK160">
        <v>0</v>
      </c>
      <c r="AL160">
        <v>1</v>
      </c>
      <c r="AM160">
        <v>2</v>
      </c>
      <c r="AN160">
        <v>2</v>
      </c>
      <c r="AO160">
        <v>1</v>
      </c>
      <c r="AP160">
        <v>2</v>
      </c>
      <c r="AQ160">
        <v>2</v>
      </c>
      <c r="AR160">
        <v>2</v>
      </c>
      <c r="AS160">
        <v>1</v>
      </c>
      <c r="AT160">
        <v>2</v>
      </c>
      <c r="AU160">
        <v>0</v>
      </c>
      <c r="AV160">
        <v>2</v>
      </c>
      <c r="AW160">
        <v>2</v>
      </c>
      <c r="AX160">
        <v>0</v>
      </c>
      <c r="AY160">
        <v>2</v>
      </c>
      <c r="AZ160">
        <v>1</v>
      </c>
      <c r="BA160">
        <v>2</v>
      </c>
      <c r="BB160">
        <v>2</v>
      </c>
      <c r="BC160">
        <v>2</v>
      </c>
      <c r="BD160">
        <v>2</v>
      </c>
      <c r="BE160">
        <v>2</v>
      </c>
      <c r="BF160">
        <v>2</v>
      </c>
      <c r="BH160">
        <v>0</v>
      </c>
      <c r="BI160">
        <v>1</v>
      </c>
      <c r="BJ160">
        <v>1</v>
      </c>
      <c r="BK160">
        <v>2</v>
      </c>
      <c r="BL160">
        <v>1</v>
      </c>
      <c r="BM160">
        <v>0</v>
      </c>
      <c r="BN160">
        <v>1</v>
      </c>
      <c r="BO160">
        <v>1</v>
      </c>
      <c r="BP160">
        <v>0</v>
      </c>
      <c r="BQ160">
        <v>0</v>
      </c>
      <c r="BS160">
        <v>1</v>
      </c>
      <c r="BT160">
        <v>2</v>
      </c>
      <c r="BV160">
        <v>1</v>
      </c>
    </row>
    <row r="161" spans="1:74" x14ac:dyDescent="0.3">
      <c r="A161" s="155">
        <v>538</v>
      </c>
      <c r="B161" t="s">
        <v>279</v>
      </c>
      <c r="D161">
        <v>1</v>
      </c>
      <c r="E161">
        <v>1</v>
      </c>
      <c r="G161">
        <v>2</v>
      </c>
      <c r="H161">
        <v>2</v>
      </c>
      <c r="I161">
        <v>0</v>
      </c>
      <c r="J161">
        <v>2</v>
      </c>
      <c r="K161">
        <v>2</v>
      </c>
      <c r="L161">
        <v>2</v>
      </c>
      <c r="M161">
        <v>1</v>
      </c>
      <c r="N161">
        <v>2</v>
      </c>
      <c r="O161">
        <v>1</v>
      </c>
      <c r="Q161">
        <v>0</v>
      </c>
      <c r="R161">
        <v>2</v>
      </c>
      <c r="S161">
        <v>1</v>
      </c>
      <c r="T161">
        <v>0</v>
      </c>
      <c r="U161">
        <v>2</v>
      </c>
      <c r="V161">
        <v>2</v>
      </c>
      <c r="X161">
        <v>2</v>
      </c>
      <c r="Y161">
        <v>0</v>
      </c>
      <c r="Z161">
        <v>2</v>
      </c>
      <c r="AA161">
        <v>0</v>
      </c>
      <c r="AB161">
        <v>2</v>
      </c>
      <c r="AC161">
        <v>2</v>
      </c>
      <c r="AD161">
        <v>2</v>
      </c>
      <c r="AE161">
        <v>1</v>
      </c>
      <c r="AF161">
        <v>1</v>
      </c>
      <c r="AG161">
        <v>2</v>
      </c>
      <c r="AH161">
        <v>2</v>
      </c>
      <c r="AI161">
        <v>0</v>
      </c>
      <c r="AJ161">
        <v>0</v>
      </c>
      <c r="AK161">
        <v>0</v>
      </c>
      <c r="AL161">
        <v>2</v>
      </c>
      <c r="AM161">
        <v>1</v>
      </c>
      <c r="AN161">
        <v>2</v>
      </c>
      <c r="AO161">
        <v>1</v>
      </c>
      <c r="AP161">
        <v>2</v>
      </c>
      <c r="AQ161">
        <v>2</v>
      </c>
      <c r="AR161">
        <v>2</v>
      </c>
      <c r="AS161">
        <v>1</v>
      </c>
      <c r="AT161">
        <v>2</v>
      </c>
      <c r="AU161">
        <v>0</v>
      </c>
      <c r="AV161">
        <v>2</v>
      </c>
      <c r="AW161">
        <v>2</v>
      </c>
      <c r="AX161">
        <v>0</v>
      </c>
      <c r="AY161">
        <v>2</v>
      </c>
      <c r="AZ161">
        <v>1</v>
      </c>
      <c r="BA161">
        <v>2</v>
      </c>
      <c r="BB161">
        <v>1</v>
      </c>
      <c r="BC161">
        <v>2</v>
      </c>
      <c r="BD161">
        <v>2</v>
      </c>
      <c r="BE161">
        <v>2</v>
      </c>
      <c r="BF161">
        <v>1</v>
      </c>
      <c r="BH161">
        <v>0</v>
      </c>
      <c r="BI161">
        <v>1</v>
      </c>
      <c r="BJ161">
        <v>2</v>
      </c>
      <c r="BK161">
        <v>2</v>
      </c>
      <c r="BL161">
        <v>1</v>
      </c>
      <c r="BM161">
        <v>0</v>
      </c>
      <c r="BN161">
        <v>1</v>
      </c>
      <c r="BO161">
        <v>1</v>
      </c>
      <c r="BP161">
        <v>0</v>
      </c>
      <c r="BQ161">
        <v>0</v>
      </c>
      <c r="BS161">
        <v>1</v>
      </c>
      <c r="BT161">
        <v>2</v>
      </c>
      <c r="BV161">
        <v>1</v>
      </c>
    </row>
    <row r="162" spans="1:74" x14ac:dyDescent="0.3">
      <c r="A162" s="155">
        <v>540</v>
      </c>
      <c r="B162" t="s">
        <v>253</v>
      </c>
      <c r="D162">
        <v>0</v>
      </c>
      <c r="E162">
        <v>24092116</v>
      </c>
      <c r="G162">
        <v>120000</v>
      </c>
      <c r="H162">
        <v>0</v>
      </c>
      <c r="I162">
        <v>0</v>
      </c>
      <c r="J162">
        <v>0</v>
      </c>
      <c r="K162">
        <v>0</v>
      </c>
      <c r="L162">
        <v>0</v>
      </c>
      <c r="M162">
        <v>0</v>
      </c>
      <c r="N162">
        <v>0</v>
      </c>
      <c r="O162">
        <v>0</v>
      </c>
      <c r="Q162">
        <v>0</v>
      </c>
      <c r="R162">
        <v>0</v>
      </c>
      <c r="S162">
        <v>244602</v>
      </c>
      <c r="T162">
        <v>0</v>
      </c>
      <c r="U162">
        <v>0</v>
      </c>
      <c r="V162">
        <v>0</v>
      </c>
      <c r="X162">
        <v>750000</v>
      </c>
      <c r="Y162">
        <v>119000</v>
      </c>
      <c r="Z162">
        <v>4520486</v>
      </c>
      <c r="AA162">
        <v>0</v>
      </c>
      <c r="AB162">
        <v>96690</v>
      </c>
      <c r="AC162">
        <v>0</v>
      </c>
      <c r="AD162">
        <v>0</v>
      </c>
      <c r="AE162">
        <v>0</v>
      </c>
      <c r="AF162">
        <v>87500</v>
      </c>
      <c r="AG162">
        <v>0</v>
      </c>
      <c r="AH162">
        <v>0</v>
      </c>
      <c r="AI162">
        <v>0</v>
      </c>
      <c r="AJ162">
        <v>242953</v>
      </c>
      <c r="AK162">
        <v>46138</v>
      </c>
      <c r="AL162">
        <v>15000</v>
      </c>
      <c r="AM162">
        <v>0</v>
      </c>
      <c r="AN162">
        <v>73000</v>
      </c>
      <c r="AO162">
        <v>3956669</v>
      </c>
      <c r="AP162">
        <v>133486</v>
      </c>
      <c r="AQ162">
        <v>23</v>
      </c>
      <c r="AR162">
        <v>20918</v>
      </c>
      <c r="AS162">
        <v>756641</v>
      </c>
      <c r="AT162">
        <v>75000</v>
      </c>
      <c r="AU162">
        <v>0</v>
      </c>
      <c r="AV162">
        <v>0</v>
      </c>
      <c r="AW162">
        <v>0</v>
      </c>
      <c r="AX162">
        <v>0</v>
      </c>
      <c r="AY162">
        <v>0</v>
      </c>
      <c r="AZ162">
        <v>55000</v>
      </c>
      <c r="BA162">
        <v>0</v>
      </c>
      <c r="BB162">
        <v>0</v>
      </c>
      <c r="BC162">
        <v>0</v>
      </c>
      <c r="BD162">
        <v>1293635</v>
      </c>
      <c r="BE162">
        <v>0</v>
      </c>
      <c r="BF162">
        <v>0</v>
      </c>
      <c r="BH162">
        <v>0</v>
      </c>
      <c r="BI162">
        <v>10000</v>
      </c>
      <c r="BJ162">
        <v>613305</v>
      </c>
      <c r="BK162">
        <v>0</v>
      </c>
      <c r="BL162">
        <v>2834047</v>
      </c>
      <c r="BM162">
        <v>1270519</v>
      </c>
      <c r="BN162">
        <v>0</v>
      </c>
      <c r="BO162">
        <v>0</v>
      </c>
      <c r="BP162">
        <v>0</v>
      </c>
      <c r="BQ162">
        <v>287349</v>
      </c>
      <c r="BS162">
        <v>377020</v>
      </c>
      <c r="BT162">
        <v>0</v>
      </c>
      <c r="BV162">
        <v>0</v>
      </c>
    </row>
    <row r="163" spans="1:74" x14ac:dyDescent="0.3">
      <c r="A163" s="155">
        <v>541</v>
      </c>
      <c r="B163" t="s">
        <v>310</v>
      </c>
      <c r="D163">
        <v>561241</v>
      </c>
      <c r="E163">
        <v>106022147</v>
      </c>
      <c r="G163">
        <v>605447</v>
      </c>
      <c r="H163">
        <v>-95931</v>
      </c>
      <c r="I163">
        <v>0</v>
      </c>
      <c r="J163">
        <v>0</v>
      </c>
      <c r="K163">
        <v>0</v>
      </c>
      <c r="L163">
        <v>139240</v>
      </c>
      <c r="M163">
        <v>1537520</v>
      </c>
      <c r="N163">
        <v>0</v>
      </c>
      <c r="O163">
        <v>93946</v>
      </c>
      <c r="Q163">
        <v>0</v>
      </c>
      <c r="R163">
        <v>0</v>
      </c>
      <c r="S163">
        <v>36973</v>
      </c>
      <c r="T163">
        <v>0</v>
      </c>
      <c r="U163">
        <v>168123</v>
      </c>
      <c r="V163">
        <v>116503</v>
      </c>
      <c r="X163">
        <v>1039443</v>
      </c>
      <c r="Y163">
        <v>0</v>
      </c>
      <c r="Z163">
        <v>-2973214</v>
      </c>
      <c r="AA163">
        <v>0</v>
      </c>
      <c r="AB163">
        <v>12022</v>
      </c>
      <c r="AC163">
        <v>-26798</v>
      </c>
      <c r="AD163">
        <v>-1153479</v>
      </c>
      <c r="AE163">
        <v>63376</v>
      </c>
      <c r="AF163">
        <v>-39705</v>
      </c>
      <c r="AG163">
        <v>6614</v>
      </c>
      <c r="AH163">
        <v>-316269</v>
      </c>
      <c r="AI163">
        <v>0</v>
      </c>
      <c r="AJ163">
        <v>0</v>
      </c>
      <c r="AK163">
        <v>0</v>
      </c>
      <c r="AL163">
        <v>-57869</v>
      </c>
      <c r="AM163">
        <v>-35178</v>
      </c>
      <c r="AN163">
        <v>-86626</v>
      </c>
      <c r="AO163">
        <v>2553411</v>
      </c>
      <c r="AP163">
        <v>-166768</v>
      </c>
      <c r="AQ163">
        <v>0</v>
      </c>
      <c r="AR163">
        <v>6020</v>
      </c>
      <c r="AS163">
        <v>4216980</v>
      </c>
      <c r="AT163">
        <v>5176</v>
      </c>
      <c r="AU163">
        <v>374438</v>
      </c>
      <c r="AV163">
        <v>67305</v>
      </c>
      <c r="AW163">
        <v>1560018</v>
      </c>
      <c r="AX163">
        <v>0</v>
      </c>
      <c r="AY163">
        <v>2</v>
      </c>
      <c r="AZ163">
        <v>8563</v>
      </c>
      <c r="BA163">
        <v>111749</v>
      </c>
      <c r="BB163">
        <v>52426</v>
      </c>
      <c r="BC163">
        <v>0</v>
      </c>
      <c r="BD163">
        <v>643409</v>
      </c>
      <c r="BE163">
        <v>-310855</v>
      </c>
      <c r="BF163">
        <v>718647</v>
      </c>
      <c r="BH163">
        <v>0</v>
      </c>
      <c r="BI163">
        <v>1371</v>
      </c>
      <c r="BJ163">
        <v>2360347</v>
      </c>
      <c r="BK163">
        <v>105827</v>
      </c>
      <c r="BL163">
        <v>1526086</v>
      </c>
      <c r="BM163">
        <v>0</v>
      </c>
      <c r="BN163">
        <v>1001797</v>
      </c>
      <c r="BO163">
        <v>-28081</v>
      </c>
      <c r="BP163">
        <v>0</v>
      </c>
      <c r="BQ163">
        <v>0</v>
      </c>
      <c r="BS163">
        <v>-148173</v>
      </c>
      <c r="BT163">
        <v>93628</v>
      </c>
      <c r="BV163">
        <v>-112377</v>
      </c>
    </row>
    <row r="164" spans="1:74" x14ac:dyDescent="0.3">
      <c r="A164" s="155">
        <v>542</v>
      </c>
      <c r="B164" t="s">
        <v>929</v>
      </c>
      <c r="D164">
        <v>0</v>
      </c>
      <c r="E164">
        <v>102568072</v>
      </c>
      <c r="G164">
        <v>0</v>
      </c>
      <c r="H164">
        <v>0</v>
      </c>
      <c r="I164">
        <v>0</v>
      </c>
      <c r="J164">
        <v>0</v>
      </c>
      <c r="K164">
        <v>0</v>
      </c>
      <c r="L164">
        <v>0</v>
      </c>
      <c r="M164">
        <v>0</v>
      </c>
      <c r="N164">
        <v>0</v>
      </c>
      <c r="O164">
        <v>0</v>
      </c>
      <c r="Q164">
        <v>0</v>
      </c>
      <c r="R164">
        <v>0</v>
      </c>
      <c r="S164">
        <v>129758</v>
      </c>
      <c r="T164">
        <v>0</v>
      </c>
      <c r="U164">
        <v>0</v>
      </c>
      <c r="V164">
        <v>0</v>
      </c>
      <c r="X164">
        <v>0</v>
      </c>
      <c r="Y164">
        <v>0</v>
      </c>
      <c r="Z164">
        <v>1015527</v>
      </c>
      <c r="AA164">
        <v>0</v>
      </c>
      <c r="AB164">
        <v>0</v>
      </c>
      <c r="AC164">
        <v>0</v>
      </c>
      <c r="AD164">
        <v>0</v>
      </c>
      <c r="AE164">
        <v>0</v>
      </c>
      <c r="AF164">
        <v>20000</v>
      </c>
      <c r="AG164">
        <v>0</v>
      </c>
      <c r="AH164">
        <v>0</v>
      </c>
      <c r="AI164">
        <v>0</v>
      </c>
      <c r="AJ164">
        <v>0</v>
      </c>
      <c r="AK164">
        <v>0</v>
      </c>
      <c r="AL164">
        <v>108950</v>
      </c>
      <c r="AM164">
        <v>0</v>
      </c>
      <c r="AN164">
        <v>0</v>
      </c>
      <c r="AO164">
        <v>750000</v>
      </c>
      <c r="AP164">
        <v>0</v>
      </c>
      <c r="AQ164">
        <v>0</v>
      </c>
      <c r="AR164">
        <v>9350</v>
      </c>
      <c r="AS164">
        <v>0</v>
      </c>
      <c r="AT164">
        <v>0</v>
      </c>
      <c r="AU164">
        <v>0</v>
      </c>
      <c r="AV164">
        <v>0</v>
      </c>
      <c r="AW164">
        <v>0</v>
      </c>
      <c r="AX164">
        <v>0</v>
      </c>
      <c r="AY164">
        <v>0</v>
      </c>
      <c r="AZ164">
        <v>0</v>
      </c>
      <c r="BA164">
        <v>0</v>
      </c>
      <c r="BB164">
        <v>0</v>
      </c>
      <c r="BC164">
        <v>0</v>
      </c>
      <c r="BD164">
        <v>0</v>
      </c>
      <c r="BE164">
        <v>0</v>
      </c>
      <c r="BF164">
        <v>275174</v>
      </c>
      <c r="BH164">
        <v>0</v>
      </c>
      <c r="BI164">
        <v>10000</v>
      </c>
      <c r="BJ164">
        <v>0</v>
      </c>
      <c r="BK164">
        <v>0</v>
      </c>
      <c r="BL164">
        <v>325567</v>
      </c>
      <c r="BM164">
        <v>0</v>
      </c>
      <c r="BN164">
        <v>7370</v>
      </c>
      <c r="BO164">
        <v>0</v>
      </c>
      <c r="BP164">
        <v>0</v>
      </c>
      <c r="BQ164">
        <v>0</v>
      </c>
      <c r="BS164">
        <v>0</v>
      </c>
      <c r="BT164">
        <v>0</v>
      </c>
      <c r="BV164">
        <v>0</v>
      </c>
    </row>
    <row r="165" spans="1:74" x14ac:dyDescent="0.3">
      <c r="A165" s="155">
        <v>544</v>
      </c>
      <c r="B165" t="s">
        <v>52</v>
      </c>
      <c r="D165">
        <v>0</v>
      </c>
      <c r="E165">
        <v>0</v>
      </c>
      <c r="G165">
        <v>0</v>
      </c>
      <c r="H165">
        <v>0</v>
      </c>
      <c r="I165">
        <v>0</v>
      </c>
      <c r="J165">
        <v>0</v>
      </c>
      <c r="K165">
        <v>0</v>
      </c>
      <c r="L165">
        <v>0</v>
      </c>
      <c r="M165">
        <v>0</v>
      </c>
      <c r="N165">
        <v>0</v>
      </c>
      <c r="O165">
        <v>0</v>
      </c>
      <c r="Q165">
        <v>0</v>
      </c>
      <c r="R165">
        <v>0</v>
      </c>
      <c r="S165">
        <v>0</v>
      </c>
      <c r="T165">
        <v>0</v>
      </c>
      <c r="U165">
        <v>0</v>
      </c>
      <c r="V165">
        <v>0</v>
      </c>
      <c r="X165">
        <v>0.1</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0.03</v>
      </c>
      <c r="BA165">
        <v>0</v>
      </c>
      <c r="BB165">
        <v>0</v>
      </c>
      <c r="BC165">
        <v>0</v>
      </c>
      <c r="BD165">
        <v>0</v>
      </c>
      <c r="BE165">
        <v>0</v>
      </c>
      <c r="BF165">
        <v>0</v>
      </c>
      <c r="BH165">
        <v>0</v>
      </c>
      <c r="BI165">
        <v>0</v>
      </c>
      <c r="BJ165">
        <v>0</v>
      </c>
      <c r="BK165">
        <v>0</v>
      </c>
      <c r="BL165">
        <v>0</v>
      </c>
      <c r="BM165">
        <v>0</v>
      </c>
      <c r="BN165">
        <v>0</v>
      </c>
      <c r="BO165">
        <v>0</v>
      </c>
      <c r="BP165">
        <v>0</v>
      </c>
      <c r="BQ165">
        <v>0</v>
      </c>
      <c r="BS165">
        <v>0</v>
      </c>
      <c r="BT165">
        <v>0</v>
      </c>
      <c r="BV165">
        <v>0</v>
      </c>
    </row>
    <row r="166" spans="1:74" x14ac:dyDescent="0.3">
      <c r="A166" s="155">
        <v>545</v>
      </c>
      <c r="B166" t="s">
        <v>53</v>
      </c>
      <c r="D166">
        <v>0</v>
      </c>
      <c r="E166">
        <v>1.78</v>
      </c>
      <c r="G166">
        <v>0</v>
      </c>
      <c r="H166">
        <v>0</v>
      </c>
      <c r="I166">
        <v>0</v>
      </c>
      <c r="J166">
        <v>0</v>
      </c>
      <c r="K166">
        <v>0</v>
      </c>
      <c r="L166">
        <v>0</v>
      </c>
      <c r="M166">
        <v>0</v>
      </c>
      <c r="N166">
        <v>0</v>
      </c>
      <c r="O166">
        <v>0</v>
      </c>
      <c r="Q166">
        <v>0</v>
      </c>
      <c r="R166">
        <v>0</v>
      </c>
      <c r="S166">
        <v>0</v>
      </c>
      <c r="T166">
        <v>0.01</v>
      </c>
      <c r="U166">
        <v>0</v>
      </c>
      <c r="V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2</v>
      </c>
      <c r="AT166">
        <v>0</v>
      </c>
      <c r="AU166">
        <v>0</v>
      </c>
      <c r="AV166">
        <v>0</v>
      </c>
      <c r="AW166">
        <v>0</v>
      </c>
      <c r="AX166">
        <v>0</v>
      </c>
      <c r="AY166">
        <v>0</v>
      </c>
      <c r="AZ166">
        <v>0.01</v>
      </c>
      <c r="BA166">
        <v>0</v>
      </c>
      <c r="BB166">
        <v>0</v>
      </c>
      <c r="BC166">
        <v>0</v>
      </c>
      <c r="BD166">
        <v>0</v>
      </c>
      <c r="BE166">
        <v>0</v>
      </c>
      <c r="BF166">
        <v>0</v>
      </c>
      <c r="BH166">
        <v>0</v>
      </c>
      <c r="BI166">
        <v>0</v>
      </c>
      <c r="BJ166">
        <v>0</v>
      </c>
      <c r="BK166">
        <v>0</v>
      </c>
      <c r="BL166">
        <v>0</v>
      </c>
      <c r="BM166">
        <v>0</v>
      </c>
      <c r="BN166">
        <v>0</v>
      </c>
      <c r="BO166">
        <v>0</v>
      </c>
      <c r="BP166">
        <v>0</v>
      </c>
      <c r="BQ166">
        <v>0</v>
      </c>
      <c r="BS166">
        <v>0</v>
      </c>
      <c r="BT166">
        <v>0</v>
      </c>
      <c r="BV166">
        <v>0</v>
      </c>
    </row>
    <row r="167" spans="1:74" x14ac:dyDescent="0.3">
      <c r="A167" s="155">
        <v>546</v>
      </c>
      <c r="B167" t="s">
        <v>930</v>
      </c>
      <c r="D167">
        <v>0</v>
      </c>
      <c r="E167">
        <v>0</v>
      </c>
      <c r="G167">
        <v>0</v>
      </c>
      <c r="H167">
        <v>0</v>
      </c>
      <c r="I167">
        <v>0</v>
      </c>
      <c r="J167">
        <v>0</v>
      </c>
      <c r="K167">
        <v>0</v>
      </c>
      <c r="L167">
        <v>0</v>
      </c>
      <c r="M167">
        <v>0</v>
      </c>
      <c r="N167">
        <v>0</v>
      </c>
      <c r="O167">
        <v>0</v>
      </c>
      <c r="Q167">
        <v>0</v>
      </c>
      <c r="R167">
        <v>0</v>
      </c>
      <c r="S167">
        <v>0</v>
      </c>
      <c r="T167">
        <v>0</v>
      </c>
      <c r="U167">
        <v>0</v>
      </c>
      <c r="V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H167">
        <v>0</v>
      </c>
      <c r="BI167">
        <v>0</v>
      </c>
      <c r="BJ167">
        <v>0</v>
      </c>
      <c r="BK167">
        <v>0</v>
      </c>
      <c r="BL167">
        <v>0</v>
      </c>
      <c r="BM167">
        <v>0</v>
      </c>
      <c r="BN167">
        <v>0</v>
      </c>
      <c r="BO167">
        <v>0</v>
      </c>
      <c r="BP167">
        <v>0</v>
      </c>
      <c r="BQ167">
        <v>0</v>
      </c>
      <c r="BS167">
        <v>0</v>
      </c>
      <c r="BT167">
        <v>0</v>
      </c>
      <c r="BV167">
        <v>0</v>
      </c>
    </row>
    <row r="168" spans="1:74" x14ac:dyDescent="0.3">
      <c r="A168" s="155">
        <v>547</v>
      </c>
      <c r="B168" t="s">
        <v>931</v>
      </c>
      <c r="D168">
        <v>3</v>
      </c>
      <c r="E168">
        <v>3</v>
      </c>
      <c r="G168">
        <v>3</v>
      </c>
      <c r="H168">
        <v>2</v>
      </c>
      <c r="I168">
        <v>2</v>
      </c>
      <c r="J168">
        <v>2</v>
      </c>
      <c r="K168">
        <v>2</v>
      </c>
      <c r="L168">
        <v>3</v>
      </c>
      <c r="M168">
        <v>3</v>
      </c>
      <c r="N168">
        <v>2</v>
      </c>
      <c r="O168">
        <v>2</v>
      </c>
      <c r="Q168">
        <v>2</v>
      </c>
      <c r="R168">
        <v>2</v>
      </c>
      <c r="S168">
        <v>2</v>
      </c>
      <c r="T168">
        <v>1</v>
      </c>
      <c r="U168">
        <v>2</v>
      </c>
      <c r="V168">
        <v>2</v>
      </c>
      <c r="X168">
        <v>3</v>
      </c>
      <c r="Y168">
        <v>2</v>
      </c>
      <c r="Z168">
        <v>3</v>
      </c>
      <c r="AA168">
        <v>3</v>
      </c>
      <c r="AB168">
        <v>2</v>
      </c>
      <c r="AC168">
        <v>0</v>
      </c>
      <c r="AD168">
        <v>3</v>
      </c>
      <c r="AE168">
        <v>2</v>
      </c>
      <c r="AF168">
        <v>2</v>
      </c>
      <c r="AG168">
        <v>3</v>
      </c>
      <c r="AH168">
        <v>3</v>
      </c>
      <c r="AI168">
        <v>0</v>
      </c>
      <c r="AJ168">
        <v>3</v>
      </c>
      <c r="AK168">
        <v>2</v>
      </c>
      <c r="AL168">
        <v>2</v>
      </c>
      <c r="AM168">
        <v>2</v>
      </c>
      <c r="AN168">
        <v>2</v>
      </c>
      <c r="AO168">
        <v>1</v>
      </c>
      <c r="AP168">
        <v>2</v>
      </c>
      <c r="AQ168">
        <v>2</v>
      </c>
      <c r="AR168">
        <v>2</v>
      </c>
      <c r="AS168">
        <v>3</v>
      </c>
      <c r="AT168">
        <v>2</v>
      </c>
      <c r="AU168">
        <v>2</v>
      </c>
      <c r="AV168">
        <v>2</v>
      </c>
      <c r="AW168">
        <v>2</v>
      </c>
      <c r="AX168">
        <v>2</v>
      </c>
      <c r="AY168">
        <v>2</v>
      </c>
      <c r="AZ168">
        <v>3</v>
      </c>
      <c r="BA168">
        <v>2</v>
      </c>
      <c r="BB168">
        <v>2</v>
      </c>
      <c r="BC168">
        <v>2</v>
      </c>
      <c r="BD168">
        <v>1</v>
      </c>
      <c r="BE168">
        <v>2</v>
      </c>
      <c r="BF168">
        <v>3</v>
      </c>
      <c r="BH168">
        <v>2</v>
      </c>
      <c r="BI168">
        <v>2</v>
      </c>
      <c r="BJ168">
        <v>3</v>
      </c>
      <c r="BK168">
        <v>2</v>
      </c>
      <c r="BL168">
        <v>2</v>
      </c>
      <c r="BM168">
        <v>3</v>
      </c>
      <c r="BN168">
        <v>1</v>
      </c>
      <c r="BO168">
        <v>2</v>
      </c>
      <c r="BP168">
        <v>2</v>
      </c>
      <c r="BQ168">
        <v>2</v>
      </c>
      <c r="BS168">
        <v>3</v>
      </c>
      <c r="BT168">
        <v>2</v>
      </c>
      <c r="BV168">
        <v>2</v>
      </c>
    </row>
    <row r="169" spans="1:74" x14ac:dyDescent="0.3">
      <c r="A169" s="155">
        <v>554</v>
      </c>
      <c r="B169" t="s">
        <v>320</v>
      </c>
      <c r="D169">
        <v>275175</v>
      </c>
      <c r="E169">
        <v>71284072</v>
      </c>
      <c r="L169">
        <v>5872380</v>
      </c>
      <c r="M169">
        <v>815640</v>
      </c>
      <c r="U169">
        <v>433789</v>
      </c>
      <c r="Z169">
        <v>5195256</v>
      </c>
      <c r="AH169">
        <v>2896874</v>
      </c>
      <c r="AO169">
        <v>2232132</v>
      </c>
      <c r="AP169">
        <v>2099098</v>
      </c>
      <c r="AS169">
        <v>3971617</v>
      </c>
      <c r="AT169">
        <v>63542</v>
      </c>
      <c r="AW169">
        <v>698588</v>
      </c>
      <c r="BF169">
        <v>6069052</v>
      </c>
      <c r="BJ169">
        <v>647417</v>
      </c>
      <c r="BN169">
        <v>812628</v>
      </c>
      <c r="BO169">
        <v>1367982</v>
      </c>
    </row>
    <row r="170" spans="1:74" x14ac:dyDescent="0.3">
      <c r="A170" s="155">
        <v>555</v>
      </c>
      <c r="B170" t="s">
        <v>321</v>
      </c>
      <c r="D170">
        <v>0</v>
      </c>
      <c r="E170">
        <v>18991923</v>
      </c>
      <c r="L170">
        <v>5757103</v>
      </c>
      <c r="M170">
        <v>333105</v>
      </c>
      <c r="U170">
        <v>297027</v>
      </c>
      <c r="Z170">
        <v>3194363</v>
      </c>
      <c r="AH170">
        <v>2482140</v>
      </c>
      <c r="AO170">
        <v>716454</v>
      </c>
      <c r="AP170">
        <v>2048000</v>
      </c>
      <c r="AS170">
        <v>3125417</v>
      </c>
      <c r="AT170">
        <v>0</v>
      </c>
      <c r="AW170">
        <v>0</v>
      </c>
      <c r="BF170">
        <v>4934581</v>
      </c>
      <c r="BJ170">
        <v>0</v>
      </c>
      <c r="BN170">
        <v>779456</v>
      </c>
      <c r="BO170">
        <v>1206145</v>
      </c>
    </row>
    <row r="171" spans="1:74" x14ac:dyDescent="0.3">
      <c r="A171" s="155">
        <v>556</v>
      </c>
      <c r="B171" t="s">
        <v>322</v>
      </c>
      <c r="D171">
        <v>2863154</v>
      </c>
      <c r="E171">
        <v>7160857</v>
      </c>
      <c r="L171">
        <v>1442714</v>
      </c>
      <c r="M171">
        <v>989625</v>
      </c>
      <c r="U171">
        <v>281938</v>
      </c>
      <c r="Z171">
        <v>6554643</v>
      </c>
      <c r="AH171">
        <v>137724</v>
      </c>
      <c r="AO171">
        <v>901154</v>
      </c>
      <c r="AP171">
        <v>51098</v>
      </c>
      <c r="AS171">
        <v>2602136</v>
      </c>
      <c r="AT171">
        <v>921626</v>
      </c>
      <c r="AW171">
        <v>847783</v>
      </c>
      <c r="BF171">
        <v>743493</v>
      </c>
      <c r="BJ171">
        <v>1811337</v>
      </c>
      <c r="BN171">
        <v>886614</v>
      </c>
      <c r="BO171">
        <v>608328</v>
      </c>
    </row>
    <row r="172" spans="1:74" x14ac:dyDescent="0.3">
      <c r="A172" s="155">
        <v>557</v>
      </c>
      <c r="B172" t="s">
        <v>323</v>
      </c>
      <c r="D172">
        <v>2839017</v>
      </c>
      <c r="E172">
        <v>6579955</v>
      </c>
      <c r="L172">
        <v>1046795</v>
      </c>
      <c r="M172">
        <v>423220</v>
      </c>
      <c r="U172">
        <v>0</v>
      </c>
      <c r="Z172">
        <v>5989425</v>
      </c>
      <c r="AH172">
        <v>0</v>
      </c>
      <c r="AO172">
        <v>1128581</v>
      </c>
      <c r="AP172">
        <v>0</v>
      </c>
      <c r="AS172">
        <v>1084893</v>
      </c>
      <c r="AT172">
        <v>921626</v>
      </c>
      <c r="AW172">
        <v>830719</v>
      </c>
      <c r="BF172">
        <v>543975</v>
      </c>
      <c r="BJ172">
        <v>1714309</v>
      </c>
      <c r="BN172">
        <v>599024</v>
      </c>
      <c r="BO172">
        <v>295000</v>
      </c>
    </row>
    <row r="173" spans="1:74" x14ac:dyDescent="0.3">
      <c r="A173" s="155">
        <v>558</v>
      </c>
      <c r="B173" t="s">
        <v>932</v>
      </c>
      <c r="D173">
        <v>0</v>
      </c>
      <c r="E173">
        <v>0</v>
      </c>
      <c r="G173">
        <v>0</v>
      </c>
      <c r="H173">
        <v>0</v>
      </c>
      <c r="I173">
        <v>0</v>
      </c>
      <c r="J173">
        <v>0</v>
      </c>
      <c r="K173">
        <v>0</v>
      </c>
      <c r="L173">
        <v>0</v>
      </c>
      <c r="M173">
        <v>0</v>
      </c>
      <c r="N173">
        <v>0</v>
      </c>
      <c r="O173">
        <v>0</v>
      </c>
      <c r="Q173">
        <v>0</v>
      </c>
      <c r="R173">
        <v>0</v>
      </c>
      <c r="S173">
        <v>0</v>
      </c>
      <c r="T173">
        <v>0</v>
      </c>
      <c r="U173">
        <v>0</v>
      </c>
      <c r="V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H173">
        <v>0</v>
      </c>
      <c r="BI173">
        <v>0</v>
      </c>
      <c r="BJ173">
        <v>0</v>
      </c>
      <c r="BK173">
        <v>0</v>
      </c>
      <c r="BL173">
        <v>0</v>
      </c>
      <c r="BM173">
        <v>0</v>
      </c>
      <c r="BN173">
        <v>0</v>
      </c>
      <c r="BO173">
        <v>0</v>
      </c>
      <c r="BP173">
        <v>0</v>
      </c>
      <c r="BQ173">
        <v>0</v>
      </c>
      <c r="BS173">
        <v>0</v>
      </c>
      <c r="BT173">
        <v>0</v>
      </c>
      <c r="BV173">
        <v>0</v>
      </c>
    </row>
    <row r="174" spans="1:74" x14ac:dyDescent="0.3">
      <c r="A174" s="155">
        <v>559</v>
      </c>
      <c r="B174" t="s">
        <v>933</v>
      </c>
      <c r="D174">
        <v>0</v>
      </c>
      <c r="E174">
        <v>0</v>
      </c>
      <c r="G174">
        <v>0</v>
      </c>
      <c r="H174">
        <v>0</v>
      </c>
      <c r="I174">
        <v>0</v>
      </c>
      <c r="J174">
        <v>0</v>
      </c>
      <c r="K174">
        <v>0</v>
      </c>
      <c r="L174">
        <v>0</v>
      </c>
      <c r="M174">
        <v>0</v>
      </c>
      <c r="N174">
        <v>0</v>
      </c>
      <c r="O174">
        <v>0</v>
      </c>
      <c r="Q174">
        <v>0</v>
      </c>
      <c r="R174">
        <v>0</v>
      </c>
      <c r="S174">
        <v>0</v>
      </c>
      <c r="T174">
        <v>0</v>
      </c>
      <c r="U174">
        <v>0</v>
      </c>
      <c r="V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H174">
        <v>0</v>
      </c>
      <c r="BI174">
        <v>0</v>
      </c>
      <c r="BJ174">
        <v>0</v>
      </c>
      <c r="BK174">
        <v>0</v>
      </c>
      <c r="BL174">
        <v>0</v>
      </c>
      <c r="BM174">
        <v>0</v>
      </c>
      <c r="BN174">
        <v>0</v>
      </c>
      <c r="BO174">
        <v>0</v>
      </c>
      <c r="BP174">
        <v>0</v>
      </c>
      <c r="BQ174">
        <v>0</v>
      </c>
      <c r="BS174">
        <v>0</v>
      </c>
      <c r="BT174">
        <v>0</v>
      </c>
      <c r="BV174">
        <v>0</v>
      </c>
    </row>
    <row r="175" spans="1:74" x14ac:dyDescent="0.3">
      <c r="A175" s="155">
        <v>560</v>
      </c>
      <c r="B175" t="s">
        <v>934</v>
      </c>
      <c r="D175">
        <v>0</v>
      </c>
      <c r="E175">
        <v>0</v>
      </c>
      <c r="G175">
        <v>0</v>
      </c>
      <c r="H175">
        <v>0</v>
      </c>
      <c r="I175">
        <v>0</v>
      </c>
      <c r="J175">
        <v>0</v>
      </c>
      <c r="K175">
        <v>0</v>
      </c>
      <c r="L175">
        <v>0</v>
      </c>
      <c r="M175">
        <v>0</v>
      </c>
      <c r="N175">
        <v>0</v>
      </c>
      <c r="O175">
        <v>0</v>
      </c>
      <c r="Q175">
        <v>0</v>
      </c>
      <c r="R175">
        <v>0</v>
      </c>
      <c r="S175">
        <v>0</v>
      </c>
      <c r="T175">
        <v>0</v>
      </c>
      <c r="U175">
        <v>0</v>
      </c>
      <c r="V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H175">
        <v>0</v>
      </c>
      <c r="BI175">
        <v>0</v>
      </c>
      <c r="BJ175">
        <v>0</v>
      </c>
      <c r="BK175">
        <v>0</v>
      </c>
      <c r="BL175">
        <v>0</v>
      </c>
      <c r="BM175">
        <v>0</v>
      </c>
      <c r="BN175">
        <v>0</v>
      </c>
      <c r="BO175">
        <v>0</v>
      </c>
      <c r="BP175">
        <v>0</v>
      </c>
      <c r="BQ175">
        <v>0</v>
      </c>
      <c r="BS175">
        <v>0</v>
      </c>
      <c r="BT175">
        <v>0</v>
      </c>
      <c r="BV175">
        <v>0</v>
      </c>
    </row>
    <row r="176" spans="1:74" x14ac:dyDescent="0.3">
      <c r="A176" s="155">
        <v>561</v>
      </c>
      <c r="B176" t="s">
        <v>935</v>
      </c>
      <c r="D176">
        <v>0</v>
      </c>
      <c r="E176">
        <v>0</v>
      </c>
      <c r="G176">
        <v>0</v>
      </c>
      <c r="H176">
        <v>0</v>
      </c>
      <c r="I176">
        <v>0</v>
      </c>
      <c r="J176">
        <v>0</v>
      </c>
      <c r="K176">
        <v>0</v>
      </c>
      <c r="L176">
        <v>0</v>
      </c>
      <c r="M176">
        <v>0</v>
      </c>
      <c r="N176">
        <v>0</v>
      </c>
      <c r="O176">
        <v>0</v>
      </c>
      <c r="Q176">
        <v>0</v>
      </c>
      <c r="R176">
        <v>0</v>
      </c>
      <c r="S176">
        <v>0</v>
      </c>
      <c r="T176">
        <v>0</v>
      </c>
      <c r="U176">
        <v>0</v>
      </c>
      <c r="V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H176">
        <v>0</v>
      </c>
      <c r="BI176">
        <v>0</v>
      </c>
      <c r="BJ176">
        <v>0</v>
      </c>
      <c r="BK176">
        <v>0</v>
      </c>
      <c r="BL176">
        <v>0</v>
      </c>
      <c r="BM176">
        <v>0</v>
      </c>
      <c r="BN176">
        <v>0</v>
      </c>
      <c r="BO176">
        <v>0</v>
      </c>
      <c r="BP176">
        <v>0</v>
      </c>
      <c r="BQ176">
        <v>0</v>
      </c>
      <c r="BS176">
        <v>0</v>
      </c>
      <c r="BT176">
        <v>0</v>
      </c>
      <c r="BV176">
        <v>0</v>
      </c>
    </row>
    <row r="177" spans="1:74" x14ac:dyDescent="0.3">
      <c r="A177" s="155">
        <v>562</v>
      </c>
      <c r="B177" t="s">
        <v>936</v>
      </c>
      <c r="D177">
        <v>0</v>
      </c>
      <c r="E177">
        <v>0</v>
      </c>
      <c r="G177">
        <v>0</v>
      </c>
      <c r="H177">
        <v>0</v>
      </c>
      <c r="I177">
        <v>0</v>
      </c>
      <c r="J177">
        <v>0</v>
      </c>
      <c r="K177">
        <v>0</v>
      </c>
      <c r="L177">
        <v>0</v>
      </c>
      <c r="M177">
        <v>0</v>
      </c>
      <c r="N177">
        <v>0</v>
      </c>
      <c r="O177">
        <v>0</v>
      </c>
      <c r="Q177">
        <v>0</v>
      </c>
      <c r="R177">
        <v>0</v>
      </c>
      <c r="S177">
        <v>0</v>
      </c>
      <c r="T177">
        <v>0</v>
      </c>
      <c r="U177">
        <v>0</v>
      </c>
      <c r="V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H177">
        <v>0</v>
      </c>
      <c r="BI177">
        <v>0</v>
      </c>
      <c r="BJ177">
        <v>0</v>
      </c>
      <c r="BK177">
        <v>0</v>
      </c>
      <c r="BL177">
        <v>0</v>
      </c>
      <c r="BM177">
        <v>0</v>
      </c>
      <c r="BN177">
        <v>0</v>
      </c>
      <c r="BO177">
        <v>0</v>
      </c>
      <c r="BP177">
        <v>0</v>
      </c>
      <c r="BQ177">
        <v>0</v>
      </c>
      <c r="BS177">
        <v>0</v>
      </c>
      <c r="BT177">
        <v>0</v>
      </c>
      <c r="BV177">
        <v>0</v>
      </c>
    </row>
    <row r="178" spans="1:74" x14ac:dyDescent="0.3">
      <c r="A178" s="155">
        <v>563</v>
      </c>
      <c r="B178" t="s">
        <v>937</v>
      </c>
      <c r="D178">
        <v>0</v>
      </c>
      <c r="E178">
        <v>0</v>
      </c>
      <c r="G178">
        <v>0</v>
      </c>
      <c r="H178">
        <v>0</v>
      </c>
      <c r="I178">
        <v>0</v>
      </c>
      <c r="J178">
        <v>0</v>
      </c>
      <c r="K178">
        <v>0</v>
      </c>
      <c r="L178">
        <v>0</v>
      </c>
      <c r="M178">
        <v>0</v>
      </c>
      <c r="N178">
        <v>0</v>
      </c>
      <c r="O178">
        <v>0</v>
      </c>
      <c r="Q178">
        <v>0</v>
      </c>
      <c r="R178">
        <v>0</v>
      </c>
      <c r="S178">
        <v>0</v>
      </c>
      <c r="T178">
        <v>0</v>
      </c>
      <c r="U178">
        <v>0</v>
      </c>
      <c r="V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H178">
        <v>0</v>
      </c>
      <c r="BI178">
        <v>0</v>
      </c>
      <c r="BJ178">
        <v>0</v>
      </c>
      <c r="BK178">
        <v>0</v>
      </c>
      <c r="BL178">
        <v>0</v>
      </c>
      <c r="BM178">
        <v>0</v>
      </c>
      <c r="BN178">
        <v>0</v>
      </c>
      <c r="BO178">
        <v>0</v>
      </c>
      <c r="BP178">
        <v>0</v>
      </c>
      <c r="BQ178">
        <v>0</v>
      </c>
      <c r="BS178">
        <v>0</v>
      </c>
      <c r="BT178">
        <v>0</v>
      </c>
      <c r="BV178">
        <v>0</v>
      </c>
    </row>
    <row r="179" spans="1:74" x14ac:dyDescent="0.3">
      <c r="A179" s="155">
        <v>564</v>
      </c>
      <c r="B179" t="s">
        <v>938</v>
      </c>
      <c r="D179">
        <v>0</v>
      </c>
      <c r="E179">
        <v>0</v>
      </c>
      <c r="G179">
        <v>0</v>
      </c>
      <c r="H179">
        <v>0</v>
      </c>
      <c r="I179">
        <v>0</v>
      </c>
      <c r="J179">
        <v>0</v>
      </c>
      <c r="K179">
        <v>0</v>
      </c>
      <c r="L179">
        <v>0</v>
      </c>
      <c r="M179">
        <v>0</v>
      </c>
      <c r="N179">
        <v>0</v>
      </c>
      <c r="O179">
        <v>0</v>
      </c>
      <c r="Q179">
        <v>0</v>
      </c>
      <c r="R179">
        <v>0</v>
      </c>
      <c r="S179">
        <v>0</v>
      </c>
      <c r="T179">
        <v>0</v>
      </c>
      <c r="U179">
        <v>0</v>
      </c>
      <c r="V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H179">
        <v>0</v>
      </c>
      <c r="BI179">
        <v>0</v>
      </c>
      <c r="BJ179">
        <v>0</v>
      </c>
      <c r="BK179">
        <v>0</v>
      </c>
      <c r="BL179">
        <v>0</v>
      </c>
      <c r="BM179">
        <v>0</v>
      </c>
      <c r="BN179">
        <v>0</v>
      </c>
      <c r="BO179">
        <v>0</v>
      </c>
      <c r="BP179">
        <v>0</v>
      </c>
      <c r="BQ179">
        <v>0</v>
      </c>
      <c r="BS179">
        <v>0</v>
      </c>
      <c r="BT179">
        <v>0</v>
      </c>
      <c r="BV179">
        <v>0</v>
      </c>
    </row>
    <row r="180" spans="1:74" x14ac:dyDescent="0.3">
      <c r="A180" s="155">
        <v>565</v>
      </c>
      <c r="B180" t="s">
        <v>939</v>
      </c>
      <c r="D180">
        <v>0</v>
      </c>
      <c r="E180">
        <v>0</v>
      </c>
      <c r="G180">
        <v>0</v>
      </c>
      <c r="H180">
        <v>0</v>
      </c>
      <c r="I180">
        <v>0</v>
      </c>
      <c r="J180">
        <v>0</v>
      </c>
      <c r="K180">
        <v>0</v>
      </c>
      <c r="L180">
        <v>0</v>
      </c>
      <c r="M180">
        <v>0</v>
      </c>
      <c r="N180">
        <v>0</v>
      </c>
      <c r="O180">
        <v>0</v>
      </c>
      <c r="Q180">
        <v>0</v>
      </c>
      <c r="R180">
        <v>0</v>
      </c>
      <c r="S180">
        <v>0</v>
      </c>
      <c r="T180">
        <v>0</v>
      </c>
      <c r="U180">
        <v>0</v>
      </c>
      <c r="V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H180">
        <v>0</v>
      </c>
      <c r="BI180">
        <v>0</v>
      </c>
      <c r="BJ180">
        <v>0</v>
      </c>
      <c r="BK180">
        <v>0</v>
      </c>
      <c r="BL180">
        <v>0</v>
      </c>
      <c r="BM180">
        <v>0</v>
      </c>
      <c r="BN180">
        <v>0</v>
      </c>
      <c r="BO180">
        <v>0</v>
      </c>
      <c r="BP180">
        <v>0</v>
      </c>
      <c r="BQ180">
        <v>0</v>
      </c>
      <c r="BS180">
        <v>0</v>
      </c>
      <c r="BT180">
        <v>0</v>
      </c>
      <c r="BV180">
        <v>0</v>
      </c>
    </row>
    <row r="181" spans="1:74" x14ac:dyDescent="0.3">
      <c r="A181" s="155">
        <v>566</v>
      </c>
      <c r="B181" t="s">
        <v>940</v>
      </c>
      <c r="D181">
        <v>0</v>
      </c>
      <c r="E181">
        <v>0</v>
      </c>
      <c r="G181">
        <v>0</v>
      </c>
      <c r="H181">
        <v>0</v>
      </c>
      <c r="I181">
        <v>0</v>
      </c>
      <c r="J181">
        <v>0</v>
      </c>
      <c r="K181">
        <v>0</v>
      </c>
      <c r="L181">
        <v>0</v>
      </c>
      <c r="M181">
        <v>0</v>
      </c>
      <c r="N181">
        <v>0</v>
      </c>
      <c r="O181">
        <v>0</v>
      </c>
      <c r="Q181">
        <v>0</v>
      </c>
      <c r="R181">
        <v>0</v>
      </c>
      <c r="S181">
        <v>0</v>
      </c>
      <c r="T181">
        <v>0</v>
      </c>
      <c r="U181">
        <v>0</v>
      </c>
      <c r="V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H181">
        <v>0</v>
      </c>
      <c r="BI181">
        <v>0</v>
      </c>
      <c r="BJ181">
        <v>0</v>
      </c>
      <c r="BK181">
        <v>0</v>
      </c>
      <c r="BL181">
        <v>0</v>
      </c>
      <c r="BM181">
        <v>0</v>
      </c>
      <c r="BN181">
        <v>0</v>
      </c>
      <c r="BO181">
        <v>0</v>
      </c>
      <c r="BP181">
        <v>0</v>
      </c>
      <c r="BQ181">
        <v>0</v>
      </c>
      <c r="BS181">
        <v>0</v>
      </c>
      <c r="BT181">
        <v>0</v>
      </c>
      <c r="BV181">
        <v>0</v>
      </c>
    </row>
    <row r="182" spans="1:74" x14ac:dyDescent="0.3">
      <c r="A182" s="155">
        <v>567</v>
      </c>
      <c r="B182" t="s">
        <v>941</v>
      </c>
      <c r="D182">
        <v>0</v>
      </c>
      <c r="E182">
        <v>0</v>
      </c>
      <c r="G182">
        <v>0</v>
      </c>
      <c r="H182">
        <v>0</v>
      </c>
      <c r="I182">
        <v>0</v>
      </c>
      <c r="J182">
        <v>0</v>
      </c>
      <c r="K182">
        <v>0</v>
      </c>
      <c r="L182">
        <v>0</v>
      </c>
      <c r="M182">
        <v>0</v>
      </c>
      <c r="N182">
        <v>0</v>
      </c>
      <c r="O182">
        <v>0</v>
      </c>
      <c r="Q182">
        <v>0</v>
      </c>
      <c r="R182">
        <v>0</v>
      </c>
      <c r="S182">
        <v>0</v>
      </c>
      <c r="T182">
        <v>0</v>
      </c>
      <c r="U182">
        <v>0</v>
      </c>
      <c r="V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H182">
        <v>0</v>
      </c>
      <c r="BI182">
        <v>0</v>
      </c>
      <c r="BJ182">
        <v>0</v>
      </c>
      <c r="BK182">
        <v>0</v>
      </c>
      <c r="BL182">
        <v>0</v>
      </c>
      <c r="BM182">
        <v>0</v>
      </c>
      <c r="BN182">
        <v>0</v>
      </c>
      <c r="BO182">
        <v>0</v>
      </c>
      <c r="BP182">
        <v>0</v>
      </c>
      <c r="BQ182">
        <v>0</v>
      </c>
      <c r="BS182">
        <v>0</v>
      </c>
      <c r="BT182">
        <v>0</v>
      </c>
      <c r="BV182">
        <v>0</v>
      </c>
    </row>
    <row r="183" spans="1:74" x14ac:dyDescent="0.3">
      <c r="A183" s="155">
        <v>568</v>
      </c>
      <c r="B183" t="s">
        <v>942</v>
      </c>
      <c r="D183">
        <v>0</v>
      </c>
      <c r="E183">
        <v>0</v>
      </c>
      <c r="G183">
        <v>0</v>
      </c>
      <c r="H183">
        <v>0</v>
      </c>
      <c r="I183">
        <v>0</v>
      </c>
      <c r="J183">
        <v>0</v>
      </c>
      <c r="K183">
        <v>0</v>
      </c>
      <c r="L183">
        <v>0</v>
      </c>
      <c r="M183">
        <v>0</v>
      </c>
      <c r="N183">
        <v>0</v>
      </c>
      <c r="O183">
        <v>0</v>
      </c>
      <c r="Q183">
        <v>0</v>
      </c>
      <c r="R183">
        <v>0</v>
      </c>
      <c r="S183">
        <v>0</v>
      </c>
      <c r="T183">
        <v>0</v>
      </c>
      <c r="U183">
        <v>0</v>
      </c>
      <c r="V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H183">
        <v>0</v>
      </c>
      <c r="BI183">
        <v>0</v>
      </c>
      <c r="BJ183">
        <v>0</v>
      </c>
      <c r="BK183">
        <v>0</v>
      </c>
      <c r="BL183">
        <v>0</v>
      </c>
      <c r="BM183">
        <v>0</v>
      </c>
      <c r="BN183">
        <v>0</v>
      </c>
      <c r="BO183">
        <v>0</v>
      </c>
      <c r="BP183">
        <v>0</v>
      </c>
      <c r="BQ183">
        <v>0</v>
      </c>
      <c r="BS183">
        <v>0</v>
      </c>
      <c r="BT183">
        <v>0</v>
      </c>
      <c r="BV183">
        <v>0</v>
      </c>
    </row>
    <row r="184" spans="1:74" x14ac:dyDescent="0.3">
      <c r="A184" s="155">
        <v>569</v>
      </c>
      <c r="B184" t="s">
        <v>943</v>
      </c>
      <c r="D184">
        <v>0</v>
      </c>
      <c r="E184">
        <v>0</v>
      </c>
      <c r="G184">
        <v>0</v>
      </c>
      <c r="H184">
        <v>0</v>
      </c>
      <c r="I184">
        <v>0</v>
      </c>
      <c r="J184">
        <v>0</v>
      </c>
      <c r="K184">
        <v>0</v>
      </c>
      <c r="L184">
        <v>0</v>
      </c>
      <c r="M184">
        <v>0</v>
      </c>
      <c r="N184">
        <v>0</v>
      </c>
      <c r="O184">
        <v>0</v>
      </c>
      <c r="Q184">
        <v>0</v>
      </c>
      <c r="R184">
        <v>0</v>
      </c>
      <c r="S184">
        <v>0</v>
      </c>
      <c r="T184">
        <v>0</v>
      </c>
      <c r="U184">
        <v>0</v>
      </c>
      <c r="V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H184">
        <v>0</v>
      </c>
      <c r="BI184">
        <v>0</v>
      </c>
      <c r="BJ184">
        <v>0</v>
      </c>
      <c r="BK184">
        <v>0</v>
      </c>
      <c r="BL184">
        <v>0</v>
      </c>
      <c r="BM184">
        <v>0</v>
      </c>
      <c r="BN184">
        <v>0</v>
      </c>
      <c r="BO184">
        <v>0</v>
      </c>
      <c r="BP184">
        <v>0</v>
      </c>
      <c r="BQ184">
        <v>0</v>
      </c>
      <c r="BS184">
        <v>0</v>
      </c>
      <c r="BT184">
        <v>0</v>
      </c>
      <c r="BV184">
        <v>0</v>
      </c>
    </row>
    <row r="185" spans="1:74" x14ac:dyDescent="0.3">
      <c r="A185" s="155">
        <v>571</v>
      </c>
      <c r="B185" t="s">
        <v>670</v>
      </c>
      <c r="D185">
        <v>0</v>
      </c>
      <c r="E185">
        <v>0</v>
      </c>
      <c r="G185">
        <v>0</v>
      </c>
      <c r="H185">
        <v>0</v>
      </c>
      <c r="I185">
        <v>0</v>
      </c>
      <c r="J185">
        <v>0</v>
      </c>
      <c r="K185">
        <v>0</v>
      </c>
      <c r="L185">
        <v>0</v>
      </c>
      <c r="M185">
        <v>0</v>
      </c>
      <c r="N185">
        <v>0</v>
      </c>
      <c r="O185">
        <v>0</v>
      </c>
      <c r="Q185">
        <v>0</v>
      </c>
      <c r="R185">
        <v>0</v>
      </c>
      <c r="S185">
        <v>0</v>
      </c>
      <c r="T185">
        <v>0</v>
      </c>
      <c r="U185">
        <v>0</v>
      </c>
      <c r="V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H185">
        <v>0</v>
      </c>
      <c r="BI185">
        <v>0</v>
      </c>
      <c r="BJ185">
        <v>0</v>
      </c>
      <c r="BK185">
        <v>0</v>
      </c>
      <c r="BL185">
        <v>0</v>
      </c>
      <c r="BM185">
        <v>0</v>
      </c>
      <c r="BN185">
        <v>0</v>
      </c>
      <c r="BO185">
        <v>0</v>
      </c>
      <c r="BP185">
        <v>0</v>
      </c>
      <c r="BQ185">
        <v>0</v>
      </c>
      <c r="BS185">
        <v>0</v>
      </c>
      <c r="BT185">
        <v>0</v>
      </c>
      <c r="BV185">
        <v>0</v>
      </c>
    </row>
    <row r="186" spans="1:74" x14ac:dyDescent="0.3">
      <c r="A186" s="155">
        <v>572</v>
      </c>
      <c r="B186" t="s">
        <v>671</v>
      </c>
      <c r="D186">
        <v>0</v>
      </c>
      <c r="E186">
        <v>0</v>
      </c>
      <c r="G186">
        <v>0</v>
      </c>
      <c r="H186">
        <v>0</v>
      </c>
      <c r="I186">
        <v>0</v>
      </c>
      <c r="J186">
        <v>0</v>
      </c>
      <c r="K186">
        <v>0</v>
      </c>
      <c r="L186">
        <v>0</v>
      </c>
      <c r="M186">
        <v>0</v>
      </c>
      <c r="N186">
        <v>0</v>
      </c>
      <c r="O186">
        <v>0</v>
      </c>
      <c r="Q186">
        <v>0</v>
      </c>
      <c r="R186">
        <v>0</v>
      </c>
      <c r="S186">
        <v>0</v>
      </c>
      <c r="T186">
        <v>0</v>
      </c>
      <c r="U186">
        <v>0</v>
      </c>
      <c r="V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H186">
        <v>0</v>
      </c>
      <c r="BI186">
        <v>0</v>
      </c>
      <c r="BJ186">
        <v>0</v>
      </c>
      <c r="BK186">
        <v>0</v>
      </c>
      <c r="BL186">
        <v>0</v>
      </c>
      <c r="BM186">
        <v>0</v>
      </c>
      <c r="BN186">
        <v>0</v>
      </c>
      <c r="BO186">
        <v>0</v>
      </c>
      <c r="BP186">
        <v>0</v>
      </c>
      <c r="BQ186">
        <v>0</v>
      </c>
      <c r="BS186">
        <v>0</v>
      </c>
      <c r="BT186">
        <v>0</v>
      </c>
      <c r="BV186">
        <v>0</v>
      </c>
    </row>
    <row r="187" spans="1:74" x14ac:dyDescent="0.3">
      <c r="A187" s="155">
        <v>573</v>
      </c>
      <c r="B187" t="s">
        <v>788</v>
      </c>
      <c r="D187">
        <v>0</v>
      </c>
      <c r="E187">
        <v>0</v>
      </c>
      <c r="G187">
        <v>0</v>
      </c>
      <c r="H187">
        <v>0</v>
      </c>
      <c r="I187">
        <v>0</v>
      </c>
      <c r="J187">
        <v>0</v>
      </c>
      <c r="K187">
        <v>0</v>
      </c>
      <c r="L187">
        <v>0</v>
      </c>
      <c r="M187">
        <v>0</v>
      </c>
      <c r="N187">
        <v>0</v>
      </c>
      <c r="O187">
        <v>0</v>
      </c>
      <c r="Q187">
        <v>0</v>
      </c>
      <c r="R187">
        <v>0</v>
      </c>
      <c r="S187">
        <v>0</v>
      </c>
      <c r="T187">
        <v>0</v>
      </c>
      <c r="U187">
        <v>0</v>
      </c>
      <c r="V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H187">
        <v>0</v>
      </c>
      <c r="BI187">
        <v>0</v>
      </c>
      <c r="BJ187">
        <v>0</v>
      </c>
      <c r="BK187">
        <v>0</v>
      </c>
      <c r="BL187">
        <v>0</v>
      </c>
      <c r="BM187">
        <v>0</v>
      </c>
      <c r="BN187">
        <v>0</v>
      </c>
      <c r="BO187">
        <v>0</v>
      </c>
      <c r="BP187">
        <v>0</v>
      </c>
      <c r="BQ187">
        <v>0</v>
      </c>
      <c r="BS187">
        <v>0</v>
      </c>
      <c r="BT187">
        <v>0</v>
      </c>
      <c r="BV187">
        <v>0</v>
      </c>
    </row>
    <row r="188" spans="1:74" x14ac:dyDescent="0.3">
      <c r="A188" s="155">
        <v>575</v>
      </c>
      <c r="B188" t="s">
        <v>302</v>
      </c>
      <c r="D188">
        <v>0</v>
      </c>
      <c r="E188">
        <v>11420729</v>
      </c>
      <c r="G188">
        <v>0</v>
      </c>
      <c r="H188">
        <v>0</v>
      </c>
      <c r="I188">
        <v>0</v>
      </c>
      <c r="J188">
        <v>0</v>
      </c>
      <c r="K188">
        <v>0</v>
      </c>
      <c r="L188">
        <v>0</v>
      </c>
      <c r="M188">
        <v>0</v>
      </c>
      <c r="N188">
        <v>0</v>
      </c>
      <c r="O188">
        <v>0</v>
      </c>
      <c r="Q188">
        <v>0</v>
      </c>
      <c r="R188">
        <v>0</v>
      </c>
      <c r="S188">
        <v>0</v>
      </c>
      <c r="T188">
        <v>0</v>
      </c>
      <c r="U188">
        <v>0</v>
      </c>
      <c r="V188">
        <v>5209</v>
      </c>
      <c r="X188">
        <v>0</v>
      </c>
      <c r="Y188">
        <v>0</v>
      </c>
      <c r="Z188">
        <v>0</v>
      </c>
      <c r="AA188">
        <v>0</v>
      </c>
      <c r="AB188">
        <v>0</v>
      </c>
      <c r="AC188">
        <v>0</v>
      </c>
      <c r="AD188">
        <v>2528</v>
      </c>
      <c r="AE188">
        <v>34200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34592</v>
      </c>
      <c r="BH188">
        <v>0</v>
      </c>
      <c r="BI188">
        <v>21966</v>
      </c>
      <c r="BJ188">
        <v>0</v>
      </c>
      <c r="BK188">
        <v>0</v>
      </c>
      <c r="BL188">
        <v>0</v>
      </c>
      <c r="BM188">
        <v>0</v>
      </c>
      <c r="BN188">
        <v>0</v>
      </c>
      <c r="BO188">
        <v>123838</v>
      </c>
      <c r="BP188">
        <v>0</v>
      </c>
      <c r="BQ188">
        <v>0</v>
      </c>
      <c r="BS188">
        <v>0</v>
      </c>
      <c r="BT188">
        <v>0</v>
      </c>
      <c r="BV188">
        <v>0</v>
      </c>
    </row>
    <row r="189" spans="1:74" x14ac:dyDescent="0.3">
      <c r="A189" s="155">
        <v>576</v>
      </c>
      <c r="B189" t="s">
        <v>303</v>
      </c>
      <c r="D189">
        <v>0</v>
      </c>
      <c r="E189">
        <v>0</v>
      </c>
      <c r="G189">
        <v>0</v>
      </c>
      <c r="H189">
        <v>0</v>
      </c>
      <c r="I189">
        <v>0</v>
      </c>
      <c r="J189">
        <v>0</v>
      </c>
      <c r="K189">
        <v>0</v>
      </c>
      <c r="L189">
        <v>0</v>
      </c>
      <c r="M189">
        <v>0</v>
      </c>
      <c r="N189">
        <v>0</v>
      </c>
      <c r="O189">
        <v>1265</v>
      </c>
      <c r="Q189">
        <v>0</v>
      </c>
      <c r="R189">
        <v>0</v>
      </c>
      <c r="S189">
        <v>0</v>
      </c>
      <c r="T189">
        <v>0</v>
      </c>
      <c r="U189">
        <v>0</v>
      </c>
      <c r="V189">
        <v>0</v>
      </c>
      <c r="X189">
        <v>0</v>
      </c>
      <c r="Y189">
        <v>0</v>
      </c>
      <c r="Z189">
        <v>566474</v>
      </c>
      <c r="AA189">
        <v>0</v>
      </c>
      <c r="AB189">
        <v>9900</v>
      </c>
      <c r="AC189">
        <v>0</v>
      </c>
      <c r="AD189">
        <v>0</v>
      </c>
      <c r="AE189">
        <v>0</v>
      </c>
      <c r="AF189">
        <v>0</v>
      </c>
      <c r="AG189">
        <v>27914</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39842</v>
      </c>
      <c r="BE189">
        <v>0</v>
      </c>
      <c r="BF189">
        <v>0</v>
      </c>
      <c r="BH189">
        <v>0</v>
      </c>
      <c r="BI189">
        <v>0</v>
      </c>
      <c r="BJ189">
        <v>0</v>
      </c>
      <c r="BK189">
        <v>165000</v>
      </c>
      <c r="BL189">
        <v>0</v>
      </c>
      <c r="BM189">
        <v>0</v>
      </c>
      <c r="BN189">
        <v>0</v>
      </c>
      <c r="BO189">
        <v>0</v>
      </c>
      <c r="BP189">
        <v>0</v>
      </c>
      <c r="BQ189">
        <v>0</v>
      </c>
      <c r="BS189">
        <v>0</v>
      </c>
      <c r="BT189">
        <v>27351</v>
      </c>
      <c r="BV189">
        <v>0</v>
      </c>
    </row>
    <row r="190" spans="1:74" x14ac:dyDescent="0.3">
      <c r="A190" s="155">
        <v>577</v>
      </c>
      <c r="B190" t="s">
        <v>944</v>
      </c>
      <c r="D190">
        <v>2</v>
      </c>
      <c r="E190">
        <v>1</v>
      </c>
      <c r="G190">
        <v>2</v>
      </c>
      <c r="H190">
        <v>2</v>
      </c>
      <c r="I190">
        <v>2</v>
      </c>
      <c r="J190">
        <v>2</v>
      </c>
      <c r="L190">
        <v>2</v>
      </c>
      <c r="M190">
        <v>1</v>
      </c>
      <c r="N190">
        <v>2</v>
      </c>
      <c r="Q190">
        <v>2</v>
      </c>
      <c r="R190">
        <v>2</v>
      </c>
      <c r="S190">
        <v>2</v>
      </c>
      <c r="T190">
        <v>2</v>
      </c>
      <c r="U190">
        <v>2</v>
      </c>
      <c r="V190">
        <v>2</v>
      </c>
      <c r="X190">
        <v>2</v>
      </c>
      <c r="Y190">
        <v>2</v>
      </c>
      <c r="Z190">
        <v>2</v>
      </c>
      <c r="AA190">
        <v>1</v>
      </c>
      <c r="AB190">
        <v>2</v>
      </c>
      <c r="AC190">
        <v>2</v>
      </c>
      <c r="AD190">
        <v>2</v>
      </c>
      <c r="AE190">
        <v>2</v>
      </c>
      <c r="AF190">
        <v>2</v>
      </c>
      <c r="AG190">
        <v>2</v>
      </c>
      <c r="AH190">
        <v>2</v>
      </c>
      <c r="AJ190">
        <v>2</v>
      </c>
      <c r="AM190">
        <v>2</v>
      </c>
      <c r="AN190">
        <v>2</v>
      </c>
      <c r="AO190">
        <v>2</v>
      </c>
      <c r="AP190">
        <v>1</v>
      </c>
      <c r="AQ190">
        <v>2</v>
      </c>
      <c r="AR190">
        <v>2</v>
      </c>
      <c r="AS190">
        <v>2</v>
      </c>
      <c r="AT190">
        <v>2</v>
      </c>
      <c r="AU190">
        <v>2</v>
      </c>
      <c r="AV190">
        <v>2</v>
      </c>
      <c r="AX190">
        <v>2</v>
      </c>
      <c r="AZ190">
        <v>2</v>
      </c>
      <c r="BA190">
        <v>2</v>
      </c>
      <c r="BB190">
        <v>2</v>
      </c>
      <c r="BD190">
        <v>2</v>
      </c>
      <c r="BE190">
        <v>2</v>
      </c>
      <c r="BF190">
        <v>2</v>
      </c>
      <c r="BH190">
        <v>2</v>
      </c>
      <c r="BI190">
        <v>2</v>
      </c>
      <c r="BJ190">
        <v>2</v>
      </c>
      <c r="BL190">
        <v>2</v>
      </c>
      <c r="BM190">
        <v>2</v>
      </c>
      <c r="BN190">
        <v>2</v>
      </c>
      <c r="BO190">
        <v>2</v>
      </c>
      <c r="BQ190">
        <v>1</v>
      </c>
      <c r="BS190">
        <v>2</v>
      </c>
      <c r="BV190">
        <v>2</v>
      </c>
    </row>
    <row r="191" spans="1:74" x14ac:dyDescent="0.3">
      <c r="A191" s="155">
        <v>578</v>
      </c>
      <c r="B191" t="s">
        <v>945</v>
      </c>
      <c r="D191">
        <v>0</v>
      </c>
      <c r="E191">
        <v>0</v>
      </c>
      <c r="G191">
        <v>0</v>
      </c>
      <c r="H191">
        <v>0</v>
      </c>
      <c r="I191">
        <v>0</v>
      </c>
      <c r="J191">
        <v>0</v>
      </c>
      <c r="K191">
        <v>0</v>
      </c>
      <c r="L191">
        <v>0</v>
      </c>
      <c r="M191">
        <v>0</v>
      </c>
      <c r="N191">
        <v>0</v>
      </c>
      <c r="O191">
        <v>0</v>
      </c>
      <c r="Q191">
        <v>0</v>
      </c>
      <c r="R191">
        <v>0</v>
      </c>
      <c r="S191">
        <v>0</v>
      </c>
      <c r="T191">
        <v>0</v>
      </c>
      <c r="U191">
        <v>0</v>
      </c>
      <c r="V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425000</v>
      </c>
      <c r="BA191">
        <v>0</v>
      </c>
      <c r="BB191">
        <v>0</v>
      </c>
      <c r="BC191">
        <v>0</v>
      </c>
      <c r="BD191">
        <v>39842</v>
      </c>
      <c r="BE191">
        <v>0</v>
      </c>
      <c r="BF191">
        <v>2470000</v>
      </c>
      <c r="BH191">
        <v>0</v>
      </c>
      <c r="BI191">
        <v>0</v>
      </c>
      <c r="BJ191">
        <v>0</v>
      </c>
      <c r="BK191">
        <v>0</v>
      </c>
      <c r="BL191">
        <v>0</v>
      </c>
      <c r="BM191">
        <v>0</v>
      </c>
      <c r="BN191">
        <v>0</v>
      </c>
      <c r="BO191">
        <v>123838</v>
      </c>
      <c r="BP191">
        <v>0</v>
      </c>
      <c r="BQ191">
        <v>0</v>
      </c>
      <c r="BS191">
        <v>0</v>
      </c>
      <c r="BT191">
        <v>0</v>
      </c>
      <c r="BV191">
        <v>0</v>
      </c>
    </row>
    <row r="192" spans="1:74" x14ac:dyDescent="0.3">
      <c r="A192" s="155">
        <v>579</v>
      </c>
      <c r="B192" t="s">
        <v>946</v>
      </c>
      <c r="D192">
        <v>0</v>
      </c>
      <c r="E192">
        <v>0</v>
      </c>
      <c r="G192">
        <v>0</v>
      </c>
      <c r="H192">
        <v>0</v>
      </c>
      <c r="I192">
        <v>0</v>
      </c>
      <c r="J192">
        <v>0</v>
      </c>
      <c r="K192">
        <v>0</v>
      </c>
      <c r="L192">
        <v>0</v>
      </c>
      <c r="M192">
        <v>0</v>
      </c>
      <c r="N192">
        <v>0</v>
      </c>
      <c r="O192">
        <v>1265</v>
      </c>
      <c r="Q192">
        <v>0</v>
      </c>
      <c r="R192">
        <v>0</v>
      </c>
      <c r="S192">
        <v>0</v>
      </c>
      <c r="T192">
        <v>0</v>
      </c>
      <c r="U192">
        <v>0</v>
      </c>
      <c r="V192">
        <v>0</v>
      </c>
      <c r="X192">
        <v>0</v>
      </c>
      <c r="Y192">
        <v>0</v>
      </c>
      <c r="Z192">
        <v>0</v>
      </c>
      <c r="AA192">
        <v>0</v>
      </c>
      <c r="AB192">
        <v>9900</v>
      </c>
      <c r="AC192">
        <v>0</v>
      </c>
      <c r="AD192">
        <v>0</v>
      </c>
      <c r="AE192">
        <v>0</v>
      </c>
      <c r="AF192">
        <v>0</v>
      </c>
      <c r="AG192">
        <v>0</v>
      </c>
      <c r="AH192">
        <v>0</v>
      </c>
      <c r="AI192">
        <v>0</v>
      </c>
      <c r="AJ192">
        <v>0</v>
      </c>
      <c r="AK192">
        <v>0</v>
      </c>
      <c r="AL192">
        <v>0</v>
      </c>
      <c r="AM192">
        <v>0</v>
      </c>
      <c r="AN192">
        <v>0</v>
      </c>
      <c r="AO192">
        <v>5901961</v>
      </c>
      <c r="AP192">
        <v>0</v>
      </c>
      <c r="AQ192">
        <v>0</v>
      </c>
      <c r="AR192">
        <v>0</v>
      </c>
      <c r="AS192">
        <v>0</v>
      </c>
      <c r="AT192">
        <v>0</v>
      </c>
      <c r="AU192">
        <v>0</v>
      </c>
      <c r="AV192">
        <v>0</v>
      </c>
      <c r="AW192">
        <v>0</v>
      </c>
      <c r="AX192">
        <v>0</v>
      </c>
      <c r="AY192">
        <v>0</v>
      </c>
      <c r="AZ192">
        <v>0</v>
      </c>
      <c r="BA192">
        <v>0</v>
      </c>
      <c r="BB192">
        <v>0</v>
      </c>
      <c r="BC192">
        <v>0</v>
      </c>
      <c r="BD192">
        <v>39842</v>
      </c>
      <c r="BE192">
        <v>0</v>
      </c>
      <c r="BF192">
        <v>0</v>
      </c>
      <c r="BH192">
        <v>0</v>
      </c>
      <c r="BI192">
        <v>0</v>
      </c>
      <c r="BJ192">
        <v>0</v>
      </c>
      <c r="BK192">
        <v>0</v>
      </c>
      <c r="BL192">
        <v>0</v>
      </c>
      <c r="BM192">
        <v>0</v>
      </c>
      <c r="BN192">
        <v>0</v>
      </c>
      <c r="BO192">
        <v>0</v>
      </c>
      <c r="BP192">
        <v>0</v>
      </c>
      <c r="BQ192">
        <v>0</v>
      </c>
      <c r="BS192">
        <v>0</v>
      </c>
      <c r="BT192">
        <v>0</v>
      </c>
      <c r="BV192">
        <v>0</v>
      </c>
    </row>
    <row r="193" spans="1:74" x14ac:dyDescent="0.3">
      <c r="A193" s="155">
        <v>580</v>
      </c>
      <c r="B193" t="s">
        <v>947</v>
      </c>
      <c r="D193">
        <v>0</v>
      </c>
      <c r="E193">
        <v>0</v>
      </c>
      <c r="G193">
        <v>0</v>
      </c>
      <c r="H193">
        <v>0</v>
      </c>
      <c r="I193">
        <v>0</v>
      </c>
      <c r="J193">
        <v>0</v>
      </c>
      <c r="K193">
        <v>0</v>
      </c>
      <c r="L193">
        <v>0</v>
      </c>
      <c r="M193">
        <v>0</v>
      </c>
      <c r="N193">
        <v>0</v>
      </c>
      <c r="O193">
        <v>0</v>
      </c>
      <c r="Q193">
        <v>0</v>
      </c>
      <c r="R193">
        <v>0</v>
      </c>
      <c r="S193">
        <v>0</v>
      </c>
      <c r="T193">
        <v>0</v>
      </c>
      <c r="U193">
        <v>0</v>
      </c>
      <c r="V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H193">
        <v>0</v>
      </c>
      <c r="BI193">
        <v>0</v>
      </c>
      <c r="BJ193">
        <v>0</v>
      </c>
      <c r="BK193">
        <v>0</v>
      </c>
      <c r="BL193">
        <v>0</v>
      </c>
      <c r="BM193">
        <v>0</v>
      </c>
      <c r="BN193">
        <v>0</v>
      </c>
      <c r="BO193">
        <v>0</v>
      </c>
      <c r="BP193">
        <v>0</v>
      </c>
      <c r="BQ193">
        <v>0</v>
      </c>
      <c r="BS193">
        <v>0</v>
      </c>
      <c r="BT193">
        <v>0</v>
      </c>
      <c r="BV193">
        <v>0</v>
      </c>
    </row>
    <row r="194" spans="1:74" x14ac:dyDescent="0.3">
      <c r="A194" s="155">
        <v>581</v>
      </c>
      <c r="B194" t="s">
        <v>948</v>
      </c>
      <c r="D194">
        <v>0</v>
      </c>
      <c r="E194">
        <v>0</v>
      </c>
      <c r="G194">
        <v>0</v>
      </c>
      <c r="H194">
        <v>0</v>
      </c>
      <c r="I194">
        <v>0</v>
      </c>
      <c r="J194">
        <v>0</v>
      </c>
      <c r="K194">
        <v>0</v>
      </c>
      <c r="L194">
        <v>0</v>
      </c>
      <c r="M194">
        <v>0</v>
      </c>
      <c r="N194">
        <v>0</v>
      </c>
      <c r="O194">
        <v>0</v>
      </c>
      <c r="Q194">
        <v>0</v>
      </c>
      <c r="R194">
        <v>0</v>
      </c>
      <c r="S194">
        <v>0</v>
      </c>
      <c r="T194">
        <v>0</v>
      </c>
      <c r="U194">
        <v>0</v>
      </c>
      <c r="V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1600000</v>
      </c>
      <c r="BH194">
        <v>0</v>
      </c>
      <c r="BI194">
        <v>0</v>
      </c>
      <c r="BJ194">
        <v>0</v>
      </c>
      <c r="BK194">
        <v>0</v>
      </c>
      <c r="BL194">
        <v>0</v>
      </c>
      <c r="BM194">
        <v>0</v>
      </c>
      <c r="BN194">
        <v>0</v>
      </c>
      <c r="BO194">
        <v>0</v>
      </c>
      <c r="BP194">
        <v>0</v>
      </c>
      <c r="BQ194">
        <v>0</v>
      </c>
      <c r="BS194">
        <v>0</v>
      </c>
      <c r="BT194">
        <v>0</v>
      </c>
      <c r="BV194">
        <v>0</v>
      </c>
    </row>
    <row r="195" spans="1:74" x14ac:dyDescent="0.3">
      <c r="A195" s="155">
        <v>585</v>
      </c>
      <c r="B195" t="s">
        <v>949</v>
      </c>
      <c r="D195">
        <v>0</v>
      </c>
      <c r="E195">
        <v>0</v>
      </c>
      <c r="G195">
        <v>0</v>
      </c>
      <c r="H195">
        <v>0</v>
      </c>
      <c r="I195">
        <v>0</v>
      </c>
      <c r="J195">
        <v>0</v>
      </c>
      <c r="K195">
        <v>0</v>
      </c>
      <c r="L195">
        <v>0</v>
      </c>
      <c r="M195">
        <v>0</v>
      </c>
      <c r="N195">
        <v>0</v>
      </c>
      <c r="O195">
        <v>0</v>
      </c>
      <c r="Q195">
        <v>0</v>
      </c>
      <c r="R195">
        <v>0</v>
      </c>
      <c r="S195">
        <v>0</v>
      </c>
      <c r="T195">
        <v>0</v>
      </c>
      <c r="U195">
        <v>0</v>
      </c>
      <c r="V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H195">
        <v>0</v>
      </c>
      <c r="BI195">
        <v>0</v>
      </c>
      <c r="BJ195">
        <v>0</v>
      </c>
      <c r="BK195">
        <v>0</v>
      </c>
      <c r="BL195">
        <v>0</v>
      </c>
      <c r="BM195">
        <v>0</v>
      </c>
      <c r="BN195">
        <v>0</v>
      </c>
      <c r="BO195">
        <v>0</v>
      </c>
      <c r="BP195">
        <v>0</v>
      </c>
      <c r="BQ195">
        <v>0</v>
      </c>
      <c r="BS195">
        <v>0</v>
      </c>
      <c r="BT195">
        <v>0</v>
      </c>
      <c r="BV195">
        <v>0</v>
      </c>
    </row>
    <row r="196" spans="1:74" x14ac:dyDescent="0.3">
      <c r="A196" s="155">
        <v>586</v>
      </c>
      <c r="B196" t="s">
        <v>950</v>
      </c>
      <c r="D196">
        <v>0</v>
      </c>
      <c r="E196">
        <v>5931594</v>
      </c>
      <c r="G196">
        <v>0</v>
      </c>
      <c r="H196">
        <v>0</v>
      </c>
      <c r="I196">
        <v>0</v>
      </c>
      <c r="J196">
        <v>0</v>
      </c>
      <c r="K196">
        <v>0</v>
      </c>
      <c r="L196">
        <v>0</v>
      </c>
      <c r="M196">
        <v>0</v>
      </c>
      <c r="N196">
        <v>0</v>
      </c>
      <c r="O196">
        <v>0</v>
      </c>
      <c r="Q196">
        <v>0</v>
      </c>
      <c r="R196">
        <v>0</v>
      </c>
      <c r="S196">
        <v>0</v>
      </c>
      <c r="T196">
        <v>0</v>
      </c>
      <c r="U196">
        <v>0</v>
      </c>
      <c r="V196">
        <v>0</v>
      </c>
      <c r="X196">
        <v>0</v>
      </c>
      <c r="Y196">
        <v>0</v>
      </c>
      <c r="Z196">
        <v>16649800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H196">
        <v>0</v>
      </c>
      <c r="BI196">
        <v>0</v>
      </c>
      <c r="BJ196">
        <v>0</v>
      </c>
      <c r="BK196">
        <v>0</v>
      </c>
      <c r="BL196">
        <v>0</v>
      </c>
      <c r="BM196">
        <v>0</v>
      </c>
      <c r="BN196">
        <v>0</v>
      </c>
      <c r="BO196">
        <v>0</v>
      </c>
      <c r="BP196">
        <v>0</v>
      </c>
      <c r="BQ196">
        <v>0</v>
      </c>
      <c r="BS196">
        <v>0</v>
      </c>
      <c r="BT196">
        <v>0</v>
      </c>
      <c r="BV196">
        <v>0</v>
      </c>
    </row>
    <row r="197" spans="1:74" x14ac:dyDescent="0.3">
      <c r="A197" s="155">
        <v>587</v>
      </c>
      <c r="B197" t="s">
        <v>951</v>
      </c>
      <c r="D197">
        <v>0</v>
      </c>
      <c r="E197">
        <v>0</v>
      </c>
      <c r="G197">
        <v>0</v>
      </c>
      <c r="H197">
        <v>0</v>
      </c>
      <c r="I197">
        <v>0</v>
      </c>
      <c r="J197">
        <v>0</v>
      </c>
      <c r="K197">
        <v>0</v>
      </c>
      <c r="L197">
        <v>0</v>
      </c>
      <c r="M197">
        <v>0</v>
      </c>
      <c r="N197">
        <v>0</v>
      </c>
      <c r="O197">
        <v>0</v>
      </c>
      <c r="Q197">
        <v>0</v>
      </c>
      <c r="R197">
        <v>0</v>
      </c>
      <c r="S197">
        <v>0</v>
      </c>
      <c r="T197">
        <v>0</v>
      </c>
      <c r="U197">
        <v>0</v>
      </c>
      <c r="V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H197">
        <v>0</v>
      </c>
      <c r="BI197">
        <v>0</v>
      </c>
      <c r="BJ197">
        <v>0</v>
      </c>
      <c r="BK197">
        <v>0</v>
      </c>
      <c r="BL197">
        <v>0</v>
      </c>
      <c r="BM197">
        <v>0</v>
      </c>
      <c r="BN197">
        <v>0</v>
      </c>
      <c r="BO197">
        <v>0</v>
      </c>
      <c r="BP197">
        <v>0</v>
      </c>
      <c r="BQ197">
        <v>0</v>
      </c>
      <c r="BS197">
        <v>0</v>
      </c>
      <c r="BT197">
        <v>0</v>
      </c>
      <c r="BV197">
        <v>0</v>
      </c>
    </row>
    <row r="198" spans="1:74" x14ac:dyDescent="0.3">
      <c r="A198" s="155">
        <v>588</v>
      </c>
      <c r="B198" t="s">
        <v>952</v>
      </c>
      <c r="D198">
        <v>0</v>
      </c>
      <c r="E198">
        <v>0</v>
      </c>
      <c r="G198">
        <v>0</v>
      </c>
      <c r="H198">
        <v>0</v>
      </c>
      <c r="I198">
        <v>0</v>
      </c>
      <c r="J198">
        <v>0</v>
      </c>
      <c r="K198">
        <v>0</v>
      </c>
      <c r="L198">
        <v>0</v>
      </c>
      <c r="M198">
        <v>0</v>
      </c>
      <c r="N198">
        <v>0</v>
      </c>
      <c r="O198">
        <v>0</v>
      </c>
      <c r="Q198">
        <v>0</v>
      </c>
      <c r="R198">
        <v>0</v>
      </c>
      <c r="S198">
        <v>0</v>
      </c>
      <c r="T198">
        <v>0</v>
      </c>
      <c r="U198">
        <v>0</v>
      </c>
      <c r="V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H198">
        <v>0</v>
      </c>
      <c r="BI198">
        <v>0</v>
      </c>
      <c r="BJ198">
        <v>0</v>
      </c>
      <c r="BK198">
        <v>0</v>
      </c>
      <c r="BL198">
        <v>0</v>
      </c>
      <c r="BM198">
        <v>0</v>
      </c>
      <c r="BN198">
        <v>0</v>
      </c>
      <c r="BO198">
        <v>0</v>
      </c>
      <c r="BP198">
        <v>0</v>
      </c>
      <c r="BQ198">
        <v>0</v>
      </c>
      <c r="BS198">
        <v>0</v>
      </c>
      <c r="BT198">
        <v>0</v>
      </c>
      <c r="BV198">
        <v>0</v>
      </c>
    </row>
    <row r="199" spans="1:74" x14ac:dyDescent="0.3">
      <c r="A199" s="155">
        <v>589</v>
      </c>
      <c r="B199" t="s">
        <v>953</v>
      </c>
      <c r="D199">
        <v>0</v>
      </c>
      <c r="E199">
        <v>0</v>
      </c>
      <c r="G199">
        <v>0</v>
      </c>
      <c r="H199">
        <v>0</v>
      </c>
      <c r="I199">
        <v>0</v>
      </c>
      <c r="J199">
        <v>0</v>
      </c>
      <c r="K199">
        <v>0</v>
      </c>
      <c r="L199">
        <v>0</v>
      </c>
      <c r="M199">
        <v>0</v>
      </c>
      <c r="N199">
        <v>0</v>
      </c>
      <c r="O199">
        <v>0</v>
      </c>
      <c r="Q199">
        <v>0</v>
      </c>
      <c r="R199">
        <v>0</v>
      </c>
      <c r="S199">
        <v>0</v>
      </c>
      <c r="T199">
        <v>0</v>
      </c>
      <c r="U199">
        <v>0</v>
      </c>
      <c r="V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H199">
        <v>0</v>
      </c>
      <c r="BI199">
        <v>0</v>
      </c>
      <c r="BJ199">
        <v>0</v>
      </c>
      <c r="BK199">
        <v>0</v>
      </c>
      <c r="BL199">
        <v>0</v>
      </c>
      <c r="BM199">
        <v>0</v>
      </c>
      <c r="BN199">
        <v>0</v>
      </c>
      <c r="BO199">
        <v>0</v>
      </c>
      <c r="BP199">
        <v>0</v>
      </c>
      <c r="BQ199">
        <v>0</v>
      </c>
      <c r="BS199">
        <v>0</v>
      </c>
      <c r="BT199">
        <v>0</v>
      </c>
      <c r="BV199">
        <v>0</v>
      </c>
    </row>
    <row r="200" spans="1:74" x14ac:dyDescent="0.3">
      <c r="A200" s="155">
        <v>590</v>
      </c>
      <c r="B200" t="s">
        <v>1662</v>
      </c>
      <c r="Q200" t="s">
        <v>1718</v>
      </c>
      <c r="S200" t="s">
        <v>430</v>
      </c>
      <c r="Y200" t="s">
        <v>430</v>
      </c>
      <c r="AD200" t="s">
        <v>324</v>
      </c>
      <c r="AF200" t="s">
        <v>430</v>
      </c>
      <c r="AL200" t="s">
        <v>1718</v>
      </c>
      <c r="AM200" t="s">
        <v>1718</v>
      </c>
      <c r="BD200" t="s">
        <v>430</v>
      </c>
      <c r="BI200" t="s">
        <v>430</v>
      </c>
      <c r="BQ200" t="s">
        <v>324</v>
      </c>
    </row>
    <row r="201" spans="1:74" x14ac:dyDescent="0.3">
      <c r="A201" s="155">
        <v>591</v>
      </c>
      <c r="B201" t="s">
        <v>329</v>
      </c>
      <c r="D201">
        <v>2591436</v>
      </c>
      <c r="E201">
        <v>323471782</v>
      </c>
      <c r="G201">
        <v>2282845</v>
      </c>
      <c r="H201">
        <v>1719244</v>
      </c>
      <c r="I201">
        <v>0</v>
      </c>
      <c r="J201">
        <v>0</v>
      </c>
      <c r="K201">
        <v>0</v>
      </c>
      <c r="L201">
        <v>5920127</v>
      </c>
      <c r="M201">
        <v>8599080</v>
      </c>
      <c r="N201">
        <v>0</v>
      </c>
      <c r="O201">
        <v>397688</v>
      </c>
      <c r="Q201">
        <v>0</v>
      </c>
      <c r="R201">
        <v>0</v>
      </c>
      <c r="S201">
        <v>1046488</v>
      </c>
      <c r="T201">
        <v>0</v>
      </c>
      <c r="U201">
        <v>953058</v>
      </c>
      <c r="V201">
        <v>1454338</v>
      </c>
      <c r="X201">
        <v>6913065</v>
      </c>
      <c r="Y201">
        <v>0</v>
      </c>
      <c r="Z201">
        <v>121152233</v>
      </c>
      <c r="AA201">
        <v>0</v>
      </c>
      <c r="AB201">
        <v>189223</v>
      </c>
      <c r="AC201">
        <v>264934</v>
      </c>
      <c r="AD201">
        <v>1188379</v>
      </c>
      <c r="AE201">
        <v>701066</v>
      </c>
      <c r="AF201">
        <v>652511</v>
      </c>
      <c r="AG201">
        <v>628512</v>
      </c>
      <c r="AH201">
        <v>6515700</v>
      </c>
      <c r="AI201">
        <v>0</v>
      </c>
      <c r="AJ201">
        <v>0</v>
      </c>
      <c r="AK201">
        <v>0</v>
      </c>
      <c r="AL201">
        <v>752317</v>
      </c>
      <c r="AM201">
        <v>1162465</v>
      </c>
      <c r="AN201">
        <v>448950</v>
      </c>
      <c r="AO201">
        <v>29383231</v>
      </c>
      <c r="AP201">
        <v>843551</v>
      </c>
      <c r="AQ201">
        <v>0</v>
      </c>
      <c r="AR201">
        <v>66023</v>
      </c>
      <c r="AS201">
        <v>25675701</v>
      </c>
      <c r="AT201">
        <v>367793</v>
      </c>
      <c r="AU201">
        <v>836536</v>
      </c>
      <c r="AV201">
        <v>0</v>
      </c>
      <c r="AW201">
        <v>533792</v>
      </c>
      <c r="AX201">
        <v>0</v>
      </c>
      <c r="AY201">
        <v>0</v>
      </c>
      <c r="AZ201">
        <v>11690133</v>
      </c>
      <c r="BA201">
        <v>198022</v>
      </c>
      <c r="BB201">
        <v>556156</v>
      </c>
      <c r="BC201">
        <v>104114</v>
      </c>
      <c r="BD201">
        <v>3529804</v>
      </c>
      <c r="BE201">
        <v>3898909</v>
      </c>
      <c r="BF201">
        <v>44709160</v>
      </c>
      <c r="BH201">
        <v>0</v>
      </c>
      <c r="BI201">
        <v>187160</v>
      </c>
      <c r="BJ201">
        <v>22272211</v>
      </c>
      <c r="BK201">
        <v>1236376</v>
      </c>
      <c r="BL201">
        <v>8654092</v>
      </c>
      <c r="BM201">
        <v>0</v>
      </c>
      <c r="BN201">
        <v>11591446</v>
      </c>
      <c r="BO201">
        <v>2896328</v>
      </c>
      <c r="BP201">
        <v>0</v>
      </c>
      <c r="BQ201">
        <v>0</v>
      </c>
      <c r="BS201">
        <v>1657448</v>
      </c>
      <c r="BT201">
        <v>0</v>
      </c>
      <c r="BV201">
        <v>2819994</v>
      </c>
    </row>
    <row r="202" spans="1:74" x14ac:dyDescent="0.3">
      <c r="A202" s="155">
        <v>592</v>
      </c>
      <c r="B202" t="s">
        <v>330</v>
      </c>
      <c r="D202">
        <v>-62805</v>
      </c>
      <c r="E202">
        <v>133937260</v>
      </c>
      <c r="G202">
        <v>414480</v>
      </c>
      <c r="H202">
        <v>-289222</v>
      </c>
      <c r="I202">
        <v>0</v>
      </c>
      <c r="J202">
        <v>0</v>
      </c>
      <c r="K202">
        <v>0</v>
      </c>
      <c r="L202">
        <v>2488286</v>
      </c>
      <c r="M202">
        <v>1561890</v>
      </c>
      <c r="N202">
        <v>0</v>
      </c>
      <c r="O202">
        <v>215517</v>
      </c>
      <c r="Q202">
        <v>0</v>
      </c>
      <c r="R202">
        <v>0</v>
      </c>
      <c r="S202">
        <v>86547</v>
      </c>
      <c r="T202">
        <v>0</v>
      </c>
      <c r="U202">
        <v>807810</v>
      </c>
      <c r="V202">
        <v>-323776</v>
      </c>
      <c r="X202">
        <v>97461</v>
      </c>
      <c r="Y202">
        <v>0</v>
      </c>
      <c r="Z202">
        <v>4712410</v>
      </c>
      <c r="AA202">
        <v>0</v>
      </c>
      <c r="AB202">
        <v>-21008</v>
      </c>
      <c r="AC202">
        <v>674392</v>
      </c>
      <c r="AD202">
        <v>-77986</v>
      </c>
      <c r="AE202">
        <v>-9821</v>
      </c>
      <c r="AF202">
        <v>-158047</v>
      </c>
      <c r="AG202">
        <v>-112186</v>
      </c>
      <c r="AH202">
        <v>-1042189</v>
      </c>
      <c r="AI202">
        <v>0</v>
      </c>
      <c r="AJ202">
        <v>0</v>
      </c>
      <c r="AK202">
        <v>0</v>
      </c>
      <c r="AL202">
        <v>-30147</v>
      </c>
      <c r="AM202">
        <v>-231060</v>
      </c>
      <c r="AN202">
        <v>9</v>
      </c>
      <c r="AO202">
        <v>4964344</v>
      </c>
      <c r="AP202">
        <v>115918</v>
      </c>
      <c r="AQ202">
        <v>0</v>
      </c>
      <c r="AR202">
        <v>-19796</v>
      </c>
      <c r="AS202">
        <v>5580528</v>
      </c>
      <c r="AT202">
        <v>-16035</v>
      </c>
      <c r="AU202">
        <v>362823</v>
      </c>
      <c r="AV202">
        <v>0</v>
      </c>
      <c r="AW202">
        <v>6025</v>
      </c>
      <c r="AX202">
        <v>0</v>
      </c>
      <c r="AY202">
        <v>2</v>
      </c>
      <c r="AZ202">
        <v>1284397</v>
      </c>
      <c r="BA202">
        <v>104159</v>
      </c>
      <c r="BB202">
        <v>-59419</v>
      </c>
      <c r="BC202">
        <v>-3947</v>
      </c>
      <c r="BD202">
        <v>654489</v>
      </c>
      <c r="BE202">
        <v>-176100</v>
      </c>
      <c r="BF202">
        <v>11548618</v>
      </c>
      <c r="BH202">
        <v>0</v>
      </c>
      <c r="BI202">
        <v>-50262</v>
      </c>
      <c r="BJ202">
        <v>3046536</v>
      </c>
      <c r="BK202">
        <v>-10879</v>
      </c>
      <c r="BL202">
        <v>5375156</v>
      </c>
      <c r="BM202">
        <v>0</v>
      </c>
      <c r="BN202">
        <v>3131320</v>
      </c>
      <c r="BO202">
        <v>1442653</v>
      </c>
      <c r="BP202">
        <v>0</v>
      </c>
      <c r="BQ202">
        <v>0</v>
      </c>
      <c r="BS202">
        <v>-177434</v>
      </c>
      <c r="BT202">
        <v>0</v>
      </c>
      <c r="BV202">
        <v>-543804</v>
      </c>
    </row>
    <row r="203" spans="1:74" x14ac:dyDescent="0.3">
      <c r="A203" s="155">
        <v>593</v>
      </c>
      <c r="B203" t="s">
        <v>954</v>
      </c>
      <c r="D203">
        <v>0</v>
      </c>
      <c r="E203">
        <v>0</v>
      </c>
      <c r="G203">
        <v>0</v>
      </c>
      <c r="H203">
        <v>0</v>
      </c>
      <c r="I203">
        <v>0</v>
      </c>
      <c r="J203">
        <v>0</v>
      </c>
      <c r="K203">
        <v>0</v>
      </c>
      <c r="L203">
        <v>0</v>
      </c>
      <c r="M203">
        <v>0</v>
      </c>
      <c r="N203">
        <v>0</v>
      </c>
      <c r="O203">
        <v>0</v>
      </c>
      <c r="Q203">
        <v>0</v>
      </c>
      <c r="R203">
        <v>0</v>
      </c>
      <c r="S203">
        <v>0</v>
      </c>
      <c r="T203">
        <v>0</v>
      </c>
      <c r="U203">
        <v>0</v>
      </c>
      <c r="V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H203">
        <v>0</v>
      </c>
      <c r="BI203">
        <v>0</v>
      </c>
      <c r="BJ203">
        <v>0</v>
      </c>
      <c r="BK203">
        <v>0</v>
      </c>
      <c r="BL203">
        <v>0</v>
      </c>
      <c r="BM203">
        <v>0</v>
      </c>
      <c r="BN203">
        <v>0</v>
      </c>
      <c r="BO203">
        <v>0</v>
      </c>
      <c r="BP203">
        <v>0</v>
      </c>
      <c r="BQ203">
        <v>0</v>
      </c>
      <c r="BS203">
        <v>0</v>
      </c>
      <c r="BT203">
        <v>0</v>
      </c>
      <c r="BV203">
        <v>0</v>
      </c>
    </row>
    <row r="204" spans="1:74" x14ac:dyDescent="0.3">
      <c r="A204" s="155">
        <v>594</v>
      </c>
      <c r="B204" t="s">
        <v>955</v>
      </c>
      <c r="D204">
        <v>0</v>
      </c>
      <c r="E204">
        <v>0</v>
      </c>
      <c r="G204">
        <v>0</v>
      </c>
      <c r="H204">
        <v>0</v>
      </c>
      <c r="I204">
        <v>0</v>
      </c>
      <c r="J204">
        <v>0</v>
      </c>
      <c r="K204">
        <v>0</v>
      </c>
      <c r="L204">
        <v>0</v>
      </c>
      <c r="M204">
        <v>0</v>
      </c>
      <c r="N204">
        <v>0</v>
      </c>
      <c r="O204">
        <v>0</v>
      </c>
      <c r="Q204">
        <v>0</v>
      </c>
      <c r="R204">
        <v>0</v>
      </c>
      <c r="S204">
        <v>0</v>
      </c>
      <c r="T204">
        <v>0</v>
      </c>
      <c r="U204">
        <v>0</v>
      </c>
      <c r="V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H204">
        <v>0</v>
      </c>
      <c r="BI204">
        <v>0</v>
      </c>
      <c r="BJ204">
        <v>0</v>
      </c>
      <c r="BK204">
        <v>0</v>
      </c>
      <c r="BL204">
        <v>0</v>
      </c>
      <c r="BM204">
        <v>0</v>
      </c>
      <c r="BN204">
        <v>0</v>
      </c>
      <c r="BO204">
        <v>0</v>
      </c>
      <c r="BP204">
        <v>0</v>
      </c>
      <c r="BQ204">
        <v>0</v>
      </c>
      <c r="BS204">
        <v>0</v>
      </c>
      <c r="BT204">
        <v>0</v>
      </c>
      <c r="BV204">
        <v>0</v>
      </c>
    </row>
    <row r="205" spans="1:74" x14ac:dyDescent="0.3">
      <c r="A205" s="155">
        <v>596</v>
      </c>
      <c r="B205" t="s">
        <v>335</v>
      </c>
      <c r="D205">
        <v>52</v>
      </c>
      <c r="E205">
        <v>52</v>
      </c>
      <c r="G205">
        <v>52</v>
      </c>
      <c r="H205">
        <v>52</v>
      </c>
      <c r="I205">
        <v>0</v>
      </c>
      <c r="J205">
        <v>52</v>
      </c>
      <c r="K205">
        <v>52</v>
      </c>
      <c r="L205">
        <v>52</v>
      </c>
      <c r="M205">
        <v>52</v>
      </c>
      <c r="N205">
        <v>52</v>
      </c>
      <c r="O205">
        <v>52</v>
      </c>
      <c r="Q205">
        <v>51</v>
      </c>
      <c r="R205">
        <v>52</v>
      </c>
      <c r="S205">
        <v>52</v>
      </c>
      <c r="T205">
        <v>52</v>
      </c>
      <c r="U205">
        <v>52</v>
      </c>
      <c r="V205">
        <v>52</v>
      </c>
      <c r="X205">
        <v>52</v>
      </c>
      <c r="Y205">
        <v>0</v>
      </c>
      <c r="Z205">
        <v>52</v>
      </c>
      <c r="AA205">
        <v>52</v>
      </c>
      <c r="AB205">
        <v>52</v>
      </c>
      <c r="AC205">
        <v>52</v>
      </c>
      <c r="AD205">
        <v>52</v>
      </c>
      <c r="AE205">
        <v>52</v>
      </c>
      <c r="AF205">
        <v>52</v>
      </c>
      <c r="AG205">
        <v>52</v>
      </c>
      <c r="AH205">
        <v>52</v>
      </c>
      <c r="AI205">
        <v>0</v>
      </c>
      <c r="AJ205">
        <v>0</v>
      </c>
      <c r="AK205">
        <v>0</v>
      </c>
      <c r="AL205">
        <v>52</v>
      </c>
      <c r="AM205">
        <v>52</v>
      </c>
      <c r="AN205">
        <v>52</v>
      </c>
      <c r="AO205">
        <v>52</v>
      </c>
      <c r="AP205">
        <v>52</v>
      </c>
      <c r="AQ205">
        <v>52</v>
      </c>
      <c r="AR205">
        <v>52</v>
      </c>
      <c r="AS205">
        <v>52</v>
      </c>
      <c r="AT205">
        <v>52</v>
      </c>
      <c r="AU205">
        <v>52</v>
      </c>
      <c r="AV205">
        <v>52</v>
      </c>
      <c r="AW205">
        <v>52</v>
      </c>
      <c r="AX205">
        <v>0</v>
      </c>
      <c r="AY205">
        <v>52</v>
      </c>
      <c r="AZ205">
        <v>52</v>
      </c>
      <c r="BA205">
        <v>52</v>
      </c>
      <c r="BB205">
        <v>52</v>
      </c>
      <c r="BC205">
        <v>52</v>
      </c>
      <c r="BD205">
        <v>52</v>
      </c>
      <c r="BE205">
        <v>52</v>
      </c>
      <c r="BF205">
        <v>52</v>
      </c>
      <c r="BH205">
        <v>52</v>
      </c>
      <c r="BI205">
        <v>52</v>
      </c>
      <c r="BJ205">
        <v>52</v>
      </c>
      <c r="BK205">
        <v>52</v>
      </c>
      <c r="BL205">
        <v>52</v>
      </c>
      <c r="BM205">
        <v>0</v>
      </c>
      <c r="BN205">
        <v>52</v>
      </c>
      <c r="BO205">
        <v>52</v>
      </c>
      <c r="BP205">
        <v>0</v>
      </c>
      <c r="BQ205">
        <v>0</v>
      </c>
      <c r="BS205">
        <v>52</v>
      </c>
      <c r="BT205">
        <v>0</v>
      </c>
      <c r="BV205">
        <v>52</v>
      </c>
    </row>
    <row r="206" spans="1:74" x14ac:dyDescent="0.3">
      <c r="A206" s="155">
        <v>597</v>
      </c>
      <c r="B206" t="s">
        <v>338</v>
      </c>
      <c r="D206">
        <v>2755</v>
      </c>
      <c r="E206">
        <v>23349722</v>
      </c>
      <c r="G206">
        <v>2161</v>
      </c>
      <c r="H206">
        <v>446</v>
      </c>
      <c r="I206">
        <v>0</v>
      </c>
      <c r="J206">
        <v>16769</v>
      </c>
      <c r="K206">
        <v>26414</v>
      </c>
      <c r="L206">
        <v>26091</v>
      </c>
      <c r="M206">
        <v>16838</v>
      </c>
      <c r="N206">
        <v>0</v>
      </c>
      <c r="O206">
        <v>477</v>
      </c>
      <c r="Q206">
        <v>572</v>
      </c>
      <c r="R206">
        <v>117</v>
      </c>
      <c r="S206">
        <v>810</v>
      </c>
      <c r="T206">
        <v>921</v>
      </c>
      <c r="U206">
        <v>0</v>
      </c>
      <c r="V206">
        <v>731</v>
      </c>
      <c r="X206">
        <v>2701</v>
      </c>
      <c r="Y206">
        <v>4531</v>
      </c>
      <c r="Z206">
        <v>337749</v>
      </c>
      <c r="AA206">
        <v>2485</v>
      </c>
      <c r="AB206">
        <v>81</v>
      </c>
      <c r="AC206">
        <v>0</v>
      </c>
      <c r="AD206">
        <v>511</v>
      </c>
      <c r="AE206">
        <v>962</v>
      </c>
      <c r="AF206">
        <v>1072</v>
      </c>
      <c r="AG206">
        <v>0</v>
      </c>
      <c r="AH206">
        <v>3900</v>
      </c>
      <c r="AI206">
        <v>564</v>
      </c>
      <c r="AJ206">
        <v>1083</v>
      </c>
      <c r="AK206">
        <v>1193</v>
      </c>
      <c r="AL206">
        <v>257</v>
      </c>
      <c r="AM206">
        <v>-17653</v>
      </c>
      <c r="AN206">
        <v>400</v>
      </c>
      <c r="AO206">
        <v>201472</v>
      </c>
      <c r="AP206">
        <v>875</v>
      </c>
      <c r="AQ206">
        <v>21</v>
      </c>
      <c r="AR206">
        <v>63</v>
      </c>
      <c r="AS206">
        <v>31428</v>
      </c>
      <c r="AT206">
        <v>1806</v>
      </c>
      <c r="AU206">
        <v>2969</v>
      </c>
      <c r="AV206">
        <v>1710</v>
      </c>
      <c r="AW206">
        <v>15</v>
      </c>
      <c r="AX206">
        <v>18</v>
      </c>
      <c r="AY206">
        <v>82</v>
      </c>
      <c r="AZ206">
        <v>10307</v>
      </c>
      <c r="BA206">
        <v>19607</v>
      </c>
      <c r="BB206">
        <v>526</v>
      </c>
      <c r="BC206">
        <v>0</v>
      </c>
      <c r="BD206">
        <v>7200</v>
      </c>
      <c r="BE206">
        <v>1067</v>
      </c>
      <c r="BF206">
        <v>29022</v>
      </c>
      <c r="BH206">
        <v>242</v>
      </c>
      <c r="BI206">
        <v>848</v>
      </c>
      <c r="BJ206">
        <v>39651</v>
      </c>
      <c r="BK206">
        <v>0</v>
      </c>
      <c r="BL206">
        <v>71101</v>
      </c>
      <c r="BM206">
        <v>0</v>
      </c>
      <c r="BN206">
        <v>44256</v>
      </c>
      <c r="BO206">
        <v>2627</v>
      </c>
      <c r="BP206">
        <v>19</v>
      </c>
      <c r="BQ206">
        <v>218</v>
      </c>
      <c r="BS206">
        <v>4205</v>
      </c>
      <c r="BT206">
        <v>135</v>
      </c>
      <c r="BV206">
        <v>553</v>
      </c>
    </row>
    <row r="207" spans="1:74" x14ac:dyDescent="0.3">
      <c r="A207" s="155">
        <v>598</v>
      </c>
      <c r="B207" t="s">
        <v>343</v>
      </c>
      <c r="D207">
        <v>1620</v>
      </c>
      <c r="E207">
        <v>0</v>
      </c>
      <c r="G207">
        <v>0</v>
      </c>
      <c r="H207">
        <v>0</v>
      </c>
      <c r="I207">
        <v>0</v>
      </c>
      <c r="J207">
        <v>0</v>
      </c>
      <c r="K207">
        <v>0</v>
      </c>
      <c r="L207">
        <v>12571</v>
      </c>
      <c r="M207">
        <v>100786</v>
      </c>
      <c r="N207">
        <v>0</v>
      </c>
      <c r="O207">
        <v>0</v>
      </c>
      <c r="Q207">
        <v>0</v>
      </c>
      <c r="R207">
        <v>0</v>
      </c>
      <c r="S207">
        <v>8191</v>
      </c>
      <c r="T207">
        <v>125627</v>
      </c>
      <c r="U207">
        <v>16893</v>
      </c>
      <c r="V207">
        <v>0</v>
      </c>
      <c r="X207">
        <v>13124</v>
      </c>
      <c r="Y207">
        <v>6354</v>
      </c>
      <c r="Z207">
        <v>465254</v>
      </c>
      <c r="AA207">
        <v>0</v>
      </c>
      <c r="AB207">
        <v>0</v>
      </c>
      <c r="AC207">
        <v>0</v>
      </c>
      <c r="AD207">
        <v>9721</v>
      </c>
      <c r="AE207">
        <v>0</v>
      </c>
      <c r="AF207">
        <v>0</v>
      </c>
      <c r="AG207">
        <v>16577</v>
      </c>
      <c r="AH207">
        <v>63402</v>
      </c>
      <c r="AI207">
        <v>0</v>
      </c>
      <c r="AJ207">
        <v>0</v>
      </c>
      <c r="AK207">
        <v>0</v>
      </c>
      <c r="AL207">
        <v>0</v>
      </c>
      <c r="AM207">
        <v>9795</v>
      </c>
      <c r="AN207">
        <v>0</v>
      </c>
      <c r="AO207">
        <v>248179</v>
      </c>
      <c r="AP207">
        <v>0</v>
      </c>
      <c r="AQ207">
        <v>0</v>
      </c>
      <c r="AR207">
        <v>0</v>
      </c>
      <c r="AS207">
        <v>341658</v>
      </c>
      <c r="AT207">
        <v>0</v>
      </c>
      <c r="AU207">
        <v>0</v>
      </c>
      <c r="AV207">
        <v>0</v>
      </c>
      <c r="AW207">
        <v>0</v>
      </c>
      <c r="AX207">
        <v>0</v>
      </c>
      <c r="AY207">
        <v>0</v>
      </c>
      <c r="AZ207">
        <v>86017</v>
      </c>
      <c r="BA207">
        <v>0</v>
      </c>
      <c r="BB207">
        <v>0</v>
      </c>
      <c r="BC207">
        <v>0</v>
      </c>
      <c r="BD207">
        <v>26689</v>
      </c>
      <c r="BE207">
        <v>0</v>
      </c>
      <c r="BF207">
        <v>154773</v>
      </c>
      <c r="BH207">
        <v>0</v>
      </c>
      <c r="BI207">
        <v>0</v>
      </c>
      <c r="BJ207">
        <v>87446</v>
      </c>
      <c r="BK207">
        <v>4684</v>
      </c>
      <c r="BL207">
        <v>37294</v>
      </c>
      <c r="BM207">
        <v>21908</v>
      </c>
      <c r="BN207">
        <v>12820</v>
      </c>
      <c r="BO207">
        <v>7077</v>
      </c>
      <c r="BP207">
        <v>0</v>
      </c>
      <c r="BQ207">
        <v>0</v>
      </c>
      <c r="BS207">
        <v>13096</v>
      </c>
      <c r="BT207">
        <v>11330</v>
      </c>
      <c r="BV207">
        <v>19892</v>
      </c>
    </row>
    <row r="208" spans="1:74" x14ac:dyDescent="0.3">
      <c r="A208" s="155">
        <v>599</v>
      </c>
      <c r="B208" t="s">
        <v>342</v>
      </c>
      <c r="D208">
        <v>368898</v>
      </c>
      <c r="E208">
        <v>0</v>
      </c>
      <c r="G208">
        <v>543728</v>
      </c>
      <c r="H208">
        <v>453929</v>
      </c>
      <c r="I208">
        <v>0</v>
      </c>
      <c r="J208">
        <v>0</v>
      </c>
      <c r="K208">
        <v>0</v>
      </c>
      <c r="L208">
        <v>267156</v>
      </c>
      <c r="M208">
        <v>2193587</v>
      </c>
      <c r="N208">
        <v>0</v>
      </c>
      <c r="O208">
        <v>123</v>
      </c>
      <c r="Q208">
        <v>0</v>
      </c>
      <c r="R208">
        <v>144425</v>
      </c>
      <c r="S208">
        <v>226362</v>
      </c>
      <c r="T208">
        <v>1654129</v>
      </c>
      <c r="U208">
        <v>147789</v>
      </c>
      <c r="V208">
        <v>0</v>
      </c>
      <c r="X208">
        <v>1574598</v>
      </c>
      <c r="Y208">
        <v>211379</v>
      </c>
      <c r="Z208">
        <v>9644868</v>
      </c>
      <c r="AA208">
        <v>795332</v>
      </c>
      <c r="AB208">
        <v>0</v>
      </c>
      <c r="AC208">
        <v>0</v>
      </c>
      <c r="AD208">
        <v>244507</v>
      </c>
      <c r="AE208">
        <v>0</v>
      </c>
      <c r="AF208">
        <v>0</v>
      </c>
      <c r="AG208">
        <v>172582</v>
      </c>
      <c r="AH208">
        <v>1526497</v>
      </c>
      <c r="AI208">
        <v>0</v>
      </c>
      <c r="AJ208">
        <v>0</v>
      </c>
      <c r="AK208">
        <v>0</v>
      </c>
      <c r="AL208">
        <v>0</v>
      </c>
      <c r="AM208">
        <v>384167</v>
      </c>
      <c r="AN208">
        <v>0</v>
      </c>
      <c r="AO208">
        <v>4008996</v>
      </c>
      <c r="AP208">
        <v>3356</v>
      </c>
      <c r="AQ208">
        <v>0</v>
      </c>
      <c r="AR208">
        <v>0</v>
      </c>
      <c r="AS208">
        <v>5662346</v>
      </c>
      <c r="AT208">
        <v>0</v>
      </c>
      <c r="AU208">
        <v>0</v>
      </c>
      <c r="AV208">
        <v>168974</v>
      </c>
      <c r="AW208">
        <v>0</v>
      </c>
      <c r="AX208">
        <v>4279</v>
      </c>
      <c r="AY208">
        <v>0</v>
      </c>
      <c r="AZ208">
        <v>1009044</v>
      </c>
      <c r="BA208">
        <v>223629</v>
      </c>
      <c r="BB208">
        <v>0</v>
      </c>
      <c r="BC208">
        <v>0</v>
      </c>
      <c r="BD208">
        <v>463826</v>
      </c>
      <c r="BE208">
        <v>63529</v>
      </c>
      <c r="BF208">
        <v>3994593</v>
      </c>
      <c r="BH208">
        <v>0</v>
      </c>
      <c r="BI208">
        <v>0</v>
      </c>
      <c r="BJ208">
        <v>1950581</v>
      </c>
      <c r="BK208">
        <v>103404</v>
      </c>
      <c r="BL208">
        <v>2467605</v>
      </c>
      <c r="BM208">
        <v>713229</v>
      </c>
      <c r="BN208">
        <v>409347</v>
      </c>
      <c r="BO208">
        <v>67746</v>
      </c>
      <c r="BP208">
        <v>0</v>
      </c>
      <c r="BQ208">
        <v>149552</v>
      </c>
      <c r="BS208">
        <v>352857</v>
      </c>
      <c r="BT208">
        <v>226571</v>
      </c>
      <c r="BV208">
        <v>450103</v>
      </c>
    </row>
    <row r="209" spans="1:74" x14ac:dyDescent="0.3">
      <c r="A209" s="155">
        <v>602</v>
      </c>
      <c r="B209" t="s">
        <v>344</v>
      </c>
      <c r="D209">
        <v>0</v>
      </c>
      <c r="E209">
        <v>0</v>
      </c>
      <c r="G209">
        <v>0</v>
      </c>
      <c r="H209">
        <v>0</v>
      </c>
      <c r="I209">
        <v>0</v>
      </c>
      <c r="J209">
        <v>0</v>
      </c>
      <c r="K209">
        <v>0</v>
      </c>
      <c r="L209">
        <v>0</v>
      </c>
      <c r="M209">
        <v>0</v>
      </c>
      <c r="N209">
        <v>0</v>
      </c>
      <c r="O209">
        <v>0</v>
      </c>
      <c r="Q209">
        <v>0</v>
      </c>
      <c r="R209">
        <v>0</v>
      </c>
      <c r="S209">
        <v>0</v>
      </c>
      <c r="T209">
        <v>0</v>
      </c>
      <c r="U209">
        <v>0</v>
      </c>
      <c r="V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H209">
        <v>0</v>
      </c>
      <c r="BI209">
        <v>0</v>
      </c>
      <c r="BJ209">
        <v>0</v>
      </c>
      <c r="BK209">
        <v>0</v>
      </c>
      <c r="BL209">
        <v>0</v>
      </c>
      <c r="BM209">
        <v>0</v>
      </c>
      <c r="BN209">
        <v>0</v>
      </c>
      <c r="BO209">
        <v>0</v>
      </c>
      <c r="BP209">
        <v>0</v>
      </c>
      <c r="BQ209">
        <v>0</v>
      </c>
      <c r="BS209">
        <v>0</v>
      </c>
      <c r="BT209">
        <v>0</v>
      </c>
      <c r="BV209">
        <v>0</v>
      </c>
    </row>
    <row r="210" spans="1:74" x14ac:dyDescent="0.3">
      <c r="A210" s="155">
        <v>606</v>
      </c>
      <c r="B210" t="s">
        <v>956</v>
      </c>
      <c r="D210">
        <v>1</v>
      </c>
      <c r="E210">
        <v>1</v>
      </c>
      <c r="L210">
        <v>1</v>
      </c>
      <c r="M210">
        <v>1</v>
      </c>
      <c r="U210">
        <v>1</v>
      </c>
      <c r="Z210">
        <v>1</v>
      </c>
      <c r="AH210">
        <v>1</v>
      </c>
      <c r="AO210">
        <v>1</v>
      </c>
      <c r="AP210">
        <v>1</v>
      </c>
      <c r="AS210">
        <v>1</v>
      </c>
      <c r="AT210">
        <v>1</v>
      </c>
      <c r="AW210">
        <v>1</v>
      </c>
      <c r="BF210">
        <v>1</v>
      </c>
      <c r="BJ210">
        <v>1</v>
      </c>
      <c r="BN210">
        <v>1</v>
      </c>
      <c r="BO210">
        <v>1</v>
      </c>
    </row>
    <row r="211" spans="1:74" x14ac:dyDescent="0.3">
      <c r="A211" s="155">
        <v>619</v>
      </c>
      <c r="B211" t="s">
        <v>957</v>
      </c>
      <c r="D211">
        <v>0</v>
      </c>
      <c r="E211">
        <v>0</v>
      </c>
      <c r="G211">
        <v>0</v>
      </c>
      <c r="H211">
        <v>0</v>
      </c>
      <c r="I211">
        <v>0</v>
      </c>
      <c r="J211">
        <v>0</v>
      </c>
      <c r="K211">
        <v>0</v>
      </c>
      <c r="L211">
        <v>0</v>
      </c>
      <c r="M211">
        <v>0</v>
      </c>
      <c r="N211">
        <v>0</v>
      </c>
      <c r="O211">
        <v>0</v>
      </c>
      <c r="Q211">
        <v>0</v>
      </c>
      <c r="R211">
        <v>0</v>
      </c>
      <c r="S211">
        <v>0</v>
      </c>
      <c r="T211">
        <v>0</v>
      </c>
      <c r="U211">
        <v>0</v>
      </c>
      <c r="V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H211">
        <v>0</v>
      </c>
      <c r="BI211">
        <v>0</v>
      </c>
      <c r="BJ211">
        <v>0</v>
      </c>
      <c r="BK211">
        <v>0</v>
      </c>
      <c r="BL211">
        <v>0</v>
      </c>
      <c r="BM211">
        <v>0</v>
      </c>
      <c r="BN211">
        <v>0</v>
      </c>
      <c r="BO211">
        <v>0</v>
      </c>
      <c r="BP211">
        <v>0</v>
      </c>
      <c r="BQ211">
        <v>0</v>
      </c>
      <c r="BS211">
        <v>0</v>
      </c>
      <c r="BT211">
        <v>0</v>
      </c>
      <c r="BV211">
        <v>0</v>
      </c>
    </row>
    <row r="212" spans="1:74" x14ac:dyDescent="0.3">
      <c r="A212" s="155">
        <v>620</v>
      </c>
      <c r="B212" t="s">
        <v>958</v>
      </c>
      <c r="D212">
        <v>2</v>
      </c>
      <c r="E212">
        <v>1</v>
      </c>
      <c r="G212">
        <v>1</v>
      </c>
      <c r="H212">
        <v>2</v>
      </c>
      <c r="I212">
        <v>2</v>
      </c>
      <c r="J212">
        <v>2</v>
      </c>
      <c r="K212">
        <v>2</v>
      </c>
      <c r="L212">
        <v>2</v>
      </c>
      <c r="M212">
        <v>2</v>
      </c>
      <c r="N212">
        <v>2</v>
      </c>
      <c r="O212">
        <v>2</v>
      </c>
      <c r="Q212">
        <v>2</v>
      </c>
      <c r="R212">
        <v>2</v>
      </c>
      <c r="S212">
        <v>2</v>
      </c>
      <c r="T212">
        <v>2</v>
      </c>
      <c r="U212">
        <v>1</v>
      </c>
      <c r="V212">
        <v>2</v>
      </c>
      <c r="X212">
        <v>2</v>
      </c>
      <c r="Y212">
        <v>2</v>
      </c>
      <c r="Z212">
        <v>1</v>
      </c>
      <c r="AA212">
        <v>1</v>
      </c>
      <c r="AB212">
        <v>2</v>
      </c>
      <c r="AC212">
        <v>2</v>
      </c>
      <c r="AD212">
        <v>2</v>
      </c>
      <c r="AE212">
        <v>2</v>
      </c>
      <c r="AF212">
        <v>2</v>
      </c>
      <c r="AG212">
        <v>2</v>
      </c>
      <c r="AH212">
        <v>2</v>
      </c>
      <c r="AI212">
        <v>2</v>
      </c>
      <c r="AJ212">
        <v>2</v>
      </c>
      <c r="AK212">
        <v>2</v>
      </c>
      <c r="AL212">
        <v>2</v>
      </c>
      <c r="AM212">
        <v>2</v>
      </c>
      <c r="AN212">
        <v>2</v>
      </c>
      <c r="AO212">
        <v>2</v>
      </c>
      <c r="AP212">
        <v>2</v>
      </c>
      <c r="AQ212">
        <v>2</v>
      </c>
      <c r="AR212">
        <v>2</v>
      </c>
      <c r="AS212">
        <v>1</v>
      </c>
      <c r="AT212">
        <v>2</v>
      </c>
      <c r="AU212">
        <v>2</v>
      </c>
      <c r="AV212">
        <v>2</v>
      </c>
      <c r="AW212">
        <v>2</v>
      </c>
      <c r="AX212">
        <v>2</v>
      </c>
      <c r="AY212">
        <v>2</v>
      </c>
      <c r="AZ212">
        <v>2</v>
      </c>
      <c r="BA212">
        <v>2</v>
      </c>
      <c r="BB212">
        <v>2</v>
      </c>
      <c r="BC212">
        <v>0</v>
      </c>
      <c r="BD212">
        <v>2</v>
      </c>
      <c r="BE212">
        <v>2</v>
      </c>
      <c r="BF212">
        <v>1</v>
      </c>
      <c r="BH212">
        <v>2</v>
      </c>
      <c r="BI212">
        <v>2</v>
      </c>
      <c r="BJ212">
        <v>2</v>
      </c>
      <c r="BK212">
        <v>2</v>
      </c>
      <c r="BL212">
        <v>2</v>
      </c>
      <c r="BM212">
        <v>1</v>
      </c>
      <c r="BN212">
        <v>1</v>
      </c>
      <c r="BO212">
        <v>2</v>
      </c>
      <c r="BP212">
        <v>2</v>
      </c>
      <c r="BQ212">
        <v>2</v>
      </c>
      <c r="BS212">
        <v>1</v>
      </c>
      <c r="BT212">
        <v>2</v>
      </c>
      <c r="BV212">
        <v>2</v>
      </c>
    </row>
    <row r="213" spans="1:74" x14ac:dyDescent="0.3">
      <c r="A213" s="155">
        <v>621</v>
      </c>
      <c r="B213" t="s">
        <v>959</v>
      </c>
      <c r="D213">
        <v>0</v>
      </c>
      <c r="E213">
        <v>0</v>
      </c>
      <c r="G213">
        <v>0</v>
      </c>
      <c r="H213">
        <v>0</v>
      </c>
      <c r="I213">
        <v>0</v>
      </c>
      <c r="J213">
        <v>0</v>
      </c>
      <c r="K213">
        <v>0</v>
      </c>
      <c r="L213">
        <v>0</v>
      </c>
      <c r="M213">
        <v>0</v>
      </c>
      <c r="N213">
        <v>0</v>
      </c>
      <c r="O213">
        <v>0</v>
      </c>
      <c r="Q213">
        <v>0</v>
      </c>
      <c r="R213">
        <v>0</v>
      </c>
      <c r="S213">
        <v>0</v>
      </c>
      <c r="T213">
        <v>0</v>
      </c>
      <c r="U213">
        <v>0</v>
      </c>
      <c r="V213">
        <v>0</v>
      </c>
      <c r="X213">
        <v>4332381</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305864</v>
      </c>
      <c r="BE213">
        <v>0</v>
      </c>
      <c r="BF213">
        <v>0</v>
      </c>
      <c r="BH213">
        <v>0</v>
      </c>
      <c r="BI213">
        <v>0</v>
      </c>
      <c r="BJ213">
        <v>0</v>
      </c>
      <c r="BK213">
        <v>0</v>
      </c>
      <c r="BL213">
        <v>0</v>
      </c>
      <c r="BM213">
        <v>0</v>
      </c>
      <c r="BN213">
        <v>0</v>
      </c>
      <c r="BO213">
        <v>0</v>
      </c>
      <c r="BP213">
        <v>0</v>
      </c>
      <c r="BQ213">
        <v>0</v>
      </c>
      <c r="BS213">
        <v>0</v>
      </c>
      <c r="BT213">
        <v>0</v>
      </c>
      <c r="BV213">
        <v>0</v>
      </c>
    </row>
    <row r="214" spans="1:74" x14ac:dyDescent="0.3">
      <c r="A214" s="155">
        <v>622</v>
      </c>
      <c r="B214" t="s">
        <v>960</v>
      </c>
      <c r="D214">
        <v>1110621</v>
      </c>
      <c r="E214">
        <v>134615246</v>
      </c>
      <c r="G214">
        <v>0</v>
      </c>
      <c r="H214">
        <v>564244</v>
      </c>
      <c r="I214">
        <v>0</v>
      </c>
      <c r="J214">
        <v>0</v>
      </c>
      <c r="K214">
        <v>0</v>
      </c>
      <c r="L214">
        <v>936595</v>
      </c>
      <c r="M214">
        <v>4298474</v>
      </c>
      <c r="N214">
        <v>0</v>
      </c>
      <c r="O214">
        <v>87549</v>
      </c>
      <c r="Q214">
        <v>0</v>
      </c>
      <c r="R214">
        <v>310173</v>
      </c>
      <c r="S214">
        <v>522435</v>
      </c>
      <c r="T214">
        <v>0</v>
      </c>
      <c r="U214">
        <v>212976</v>
      </c>
      <c r="V214">
        <v>222267</v>
      </c>
      <c r="X214">
        <v>2990243</v>
      </c>
      <c r="Y214">
        <v>189034</v>
      </c>
      <c r="Z214">
        <v>23782578</v>
      </c>
      <c r="AA214">
        <v>1373982</v>
      </c>
      <c r="AB214">
        <v>0</v>
      </c>
      <c r="AC214">
        <v>38236</v>
      </c>
      <c r="AD214">
        <v>370564</v>
      </c>
      <c r="AE214">
        <v>126499</v>
      </c>
      <c r="AF214">
        <v>0</v>
      </c>
      <c r="AG214">
        <v>159732</v>
      </c>
      <c r="AH214">
        <v>3003822</v>
      </c>
      <c r="AI214">
        <v>0</v>
      </c>
      <c r="AJ214">
        <v>482058</v>
      </c>
      <c r="AK214">
        <v>0</v>
      </c>
      <c r="AL214">
        <v>128286</v>
      </c>
      <c r="AM214">
        <v>1022001</v>
      </c>
      <c r="AN214">
        <v>89693</v>
      </c>
      <c r="AO214">
        <v>12227905</v>
      </c>
      <c r="AP214">
        <v>234774</v>
      </c>
      <c r="AQ214">
        <v>0</v>
      </c>
      <c r="AR214">
        <v>0</v>
      </c>
      <c r="AS214">
        <v>8734168</v>
      </c>
      <c r="AT214">
        <v>0</v>
      </c>
      <c r="AU214">
        <v>244065</v>
      </c>
      <c r="AV214">
        <v>487058</v>
      </c>
      <c r="AW214">
        <v>0</v>
      </c>
      <c r="AX214">
        <v>23942</v>
      </c>
      <c r="AY214">
        <v>0</v>
      </c>
      <c r="AZ214">
        <v>1824948</v>
      </c>
      <c r="BA214">
        <v>323395</v>
      </c>
      <c r="BB214">
        <v>0</v>
      </c>
      <c r="BC214">
        <v>0</v>
      </c>
      <c r="BD214">
        <v>1532285</v>
      </c>
      <c r="BE214">
        <v>462402</v>
      </c>
      <c r="BF214">
        <v>8292492</v>
      </c>
      <c r="BH214">
        <v>0</v>
      </c>
      <c r="BI214">
        <v>0</v>
      </c>
      <c r="BJ214">
        <v>3549841</v>
      </c>
      <c r="BK214">
        <v>368420</v>
      </c>
      <c r="BL214">
        <v>4934901</v>
      </c>
      <c r="BM214">
        <v>790084</v>
      </c>
      <c r="BN214">
        <v>1322525</v>
      </c>
      <c r="BO214">
        <v>135790</v>
      </c>
      <c r="BP214">
        <v>0</v>
      </c>
      <c r="BQ214">
        <v>469191</v>
      </c>
      <c r="BS214">
        <v>730051</v>
      </c>
      <c r="BT214">
        <v>243708</v>
      </c>
      <c r="BV214">
        <v>596405</v>
      </c>
    </row>
    <row r="215" spans="1:74" x14ac:dyDescent="0.3">
      <c r="A215" s="155">
        <v>624</v>
      </c>
      <c r="B215" t="s">
        <v>357</v>
      </c>
      <c r="D215">
        <v>2</v>
      </c>
      <c r="E215">
        <v>1</v>
      </c>
      <c r="G215">
        <v>2</v>
      </c>
      <c r="H215">
        <v>1</v>
      </c>
      <c r="I215">
        <v>1</v>
      </c>
      <c r="J215">
        <v>1</v>
      </c>
      <c r="K215">
        <v>2</v>
      </c>
      <c r="L215">
        <v>1</v>
      </c>
      <c r="M215">
        <v>1</v>
      </c>
      <c r="N215">
        <v>1</v>
      </c>
      <c r="O215">
        <v>1</v>
      </c>
      <c r="Q215">
        <v>1</v>
      </c>
      <c r="R215">
        <v>1</v>
      </c>
      <c r="S215">
        <v>1</v>
      </c>
      <c r="T215">
        <v>1</v>
      </c>
      <c r="U215">
        <v>1</v>
      </c>
      <c r="V215">
        <v>1</v>
      </c>
      <c r="X215">
        <v>2</v>
      </c>
      <c r="Y215">
        <v>1</v>
      </c>
      <c r="Z215">
        <v>2</v>
      </c>
      <c r="AA215">
        <v>1</v>
      </c>
      <c r="AB215">
        <v>1</v>
      </c>
      <c r="AC215">
        <v>1</v>
      </c>
      <c r="AD215">
        <v>2</v>
      </c>
      <c r="AE215">
        <v>1</v>
      </c>
      <c r="AF215">
        <v>1</v>
      </c>
      <c r="AG215">
        <v>1</v>
      </c>
      <c r="AH215">
        <v>1</v>
      </c>
      <c r="AI215">
        <v>1</v>
      </c>
      <c r="AJ215">
        <v>1</v>
      </c>
      <c r="AK215">
        <v>1</v>
      </c>
      <c r="AL215">
        <v>2</v>
      </c>
      <c r="AM215">
        <v>1</v>
      </c>
      <c r="AN215">
        <v>2</v>
      </c>
      <c r="AO215">
        <v>1</v>
      </c>
      <c r="AP215">
        <v>1</v>
      </c>
      <c r="AQ215">
        <v>1</v>
      </c>
      <c r="AR215">
        <v>1</v>
      </c>
      <c r="AS215">
        <v>1</v>
      </c>
      <c r="AT215">
        <v>1</v>
      </c>
      <c r="AU215">
        <v>1</v>
      </c>
      <c r="AV215">
        <v>1</v>
      </c>
      <c r="AW215">
        <v>1</v>
      </c>
      <c r="AX215">
        <v>1</v>
      </c>
      <c r="AY215">
        <v>1</v>
      </c>
      <c r="AZ215">
        <v>1</v>
      </c>
      <c r="BA215">
        <v>2</v>
      </c>
      <c r="BB215">
        <v>1</v>
      </c>
      <c r="BC215">
        <v>0</v>
      </c>
      <c r="BD215">
        <v>1</v>
      </c>
      <c r="BE215">
        <v>1</v>
      </c>
      <c r="BF215">
        <v>1</v>
      </c>
      <c r="BH215">
        <v>1</v>
      </c>
      <c r="BI215">
        <v>1</v>
      </c>
      <c r="BJ215">
        <v>1</v>
      </c>
      <c r="BK215">
        <v>1</v>
      </c>
      <c r="BL215">
        <v>2</v>
      </c>
      <c r="BM215">
        <v>1</v>
      </c>
      <c r="BN215">
        <v>1</v>
      </c>
      <c r="BO215">
        <v>1</v>
      </c>
      <c r="BP215">
        <v>2</v>
      </c>
      <c r="BQ215">
        <v>2</v>
      </c>
      <c r="BS215">
        <v>1</v>
      </c>
      <c r="BT215">
        <v>2</v>
      </c>
      <c r="BV215">
        <v>2</v>
      </c>
    </row>
    <row r="216" spans="1:74" x14ac:dyDescent="0.3">
      <c r="A216" s="155">
        <v>626</v>
      </c>
      <c r="B216" t="s">
        <v>961</v>
      </c>
      <c r="D216">
        <v>502399</v>
      </c>
      <c r="E216">
        <v>168698688</v>
      </c>
      <c r="G216">
        <v>307387</v>
      </c>
      <c r="H216">
        <v>64033</v>
      </c>
      <c r="I216">
        <v>0</v>
      </c>
      <c r="J216">
        <v>509</v>
      </c>
      <c r="K216">
        <v>14627</v>
      </c>
      <c r="L216">
        <v>509273</v>
      </c>
      <c r="M216">
        <v>1528604</v>
      </c>
      <c r="N216">
        <v>5950</v>
      </c>
      <c r="O216">
        <v>40758</v>
      </c>
      <c r="Q216">
        <v>6836</v>
      </c>
      <c r="R216">
        <v>110907</v>
      </c>
      <c r="S216">
        <v>79428</v>
      </c>
      <c r="T216">
        <v>1766043</v>
      </c>
      <c r="U216">
        <v>184627</v>
      </c>
      <c r="V216">
        <v>4174</v>
      </c>
      <c r="X216">
        <v>732483</v>
      </c>
      <c r="Y216">
        <v>269607</v>
      </c>
      <c r="Z216">
        <v>11902038</v>
      </c>
      <c r="AA216">
        <v>926151</v>
      </c>
      <c r="AB216">
        <v>36168</v>
      </c>
      <c r="AC216">
        <v>15168</v>
      </c>
      <c r="AD216">
        <v>34949</v>
      </c>
      <c r="AE216">
        <v>34535</v>
      </c>
      <c r="AF216">
        <v>31665</v>
      </c>
      <c r="AG216">
        <v>79983</v>
      </c>
      <c r="AH216">
        <v>957961</v>
      </c>
      <c r="AI216">
        <v>4759</v>
      </c>
      <c r="AJ216">
        <v>339498</v>
      </c>
      <c r="AK216">
        <v>5902</v>
      </c>
      <c r="AL216">
        <v>130642</v>
      </c>
      <c r="AM216">
        <v>520485</v>
      </c>
      <c r="AN216">
        <v>24394</v>
      </c>
      <c r="AO216">
        <v>5494665</v>
      </c>
      <c r="AP216">
        <v>63867</v>
      </c>
      <c r="AQ216">
        <v>340</v>
      </c>
      <c r="AR216">
        <v>10817</v>
      </c>
      <c r="AS216">
        <v>5085122</v>
      </c>
      <c r="AT216">
        <v>14641</v>
      </c>
      <c r="AU216">
        <v>51455</v>
      </c>
      <c r="AV216">
        <v>18833</v>
      </c>
      <c r="AW216">
        <v>53524</v>
      </c>
      <c r="AX216">
        <v>40392</v>
      </c>
      <c r="AY216">
        <v>12795</v>
      </c>
      <c r="AZ216">
        <v>656619</v>
      </c>
      <c r="BA216">
        <v>244078</v>
      </c>
      <c r="BB216">
        <v>4007</v>
      </c>
      <c r="BC216">
        <v>69190</v>
      </c>
      <c r="BD216">
        <v>1063750</v>
      </c>
      <c r="BE216">
        <v>158640</v>
      </c>
      <c r="BF216">
        <v>4062728</v>
      </c>
      <c r="BH216">
        <v>9814</v>
      </c>
      <c r="BI216">
        <v>6131</v>
      </c>
      <c r="BJ216">
        <v>1430124</v>
      </c>
      <c r="BK216">
        <v>243485</v>
      </c>
      <c r="BL216">
        <v>2794754</v>
      </c>
      <c r="BM216">
        <v>548386</v>
      </c>
      <c r="BN216">
        <v>811556</v>
      </c>
      <c r="BO216">
        <v>52314</v>
      </c>
      <c r="BP216">
        <v>3235</v>
      </c>
      <c r="BQ216">
        <v>3010354</v>
      </c>
      <c r="BS216">
        <v>447670</v>
      </c>
      <c r="BT216">
        <v>70933</v>
      </c>
      <c r="BV216">
        <v>230478</v>
      </c>
    </row>
    <row r="217" spans="1:74" x14ac:dyDescent="0.3">
      <c r="A217" s="155">
        <v>627</v>
      </c>
      <c r="B217" t="s">
        <v>962</v>
      </c>
      <c r="D217">
        <v>0</v>
      </c>
      <c r="E217">
        <v>0</v>
      </c>
      <c r="G217">
        <v>0</v>
      </c>
      <c r="H217">
        <v>0</v>
      </c>
      <c r="I217">
        <v>0</v>
      </c>
      <c r="J217">
        <v>0</v>
      </c>
      <c r="K217">
        <v>0</v>
      </c>
      <c r="L217">
        <v>0</v>
      </c>
      <c r="M217">
        <v>0</v>
      </c>
      <c r="N217">
        <v>0</v>
      </c>
      <c r="O217">
        <v>0</v>
      </c>
      <c r="Q217">
        <v>0</v>
      </c>
      <c r="R217">
        <v>0</v>
      </c>
      <c r="S217">
        <v>0</v>
      </c>
      <c r="T217">
        <v>0</v>
      </c>
      <c r="U217">
        <v>0</v>
      </c>
      <c r="V217">
        <v>0</v>
      </c>
      <c r="X217">
        <v>0</v>
      </c>
      <c r="Y217">
        <v>0</v>
      </c>
      <c r="Z217">
        <v>0</v>
      </c>
      <c r="AA217">
        <v>493000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H217">
        <v>0</v>
      </c>
      <c r="BI217">
        <v>0</v>
      </c>
      <c r="BJ217">
        <v>0</v>
      </c>
      <c r="BK217">
        <v>0</v>
      </c>
      <c r="BL217">
        <v>0</v>
      </c>
      <c r="BM217">
        <v>0</v>
      </c>
      <c r="BN217">
        <v>0</v>
      </c>
      <c r="BO217">
        <v>0</v>
      </c>
      <c r="BP217">
        <v>0</v>
      </c>
      <c r="BQ217">
        <v>0</v>
      </c>
      <c r="BS217">
        <v>0</v>
      </c>
      <c r="BT217">
        <v>0</v>
      </c>
      <c r="BV217">
        <v>0</v>
      </c>
    </row>
    <row r="218" spans="1:74" x14ac:dyDescent="0.3">
      <c r="A218" s="155">
        <v>628</v>
      </c>
      <c r="B218" t="s">
        <v>963</v>
      </c>
      <c r="D218">
        <v>60020</v>
      </c>
      <c r="E218">
        <v>14980384</v>
      </c>
      <c r="G218">
        <v>24000</v>
      </c>
      <c r="H218">
        <v>0</v>
      </c>
      <c r="I218">
        <v>0</v>
      </c>
      <c r="J218">
        <v>0</v>
      </c>
      <c r="K218">
        <v>0</v>
      </c>
      <c r="L218">
        <v>10000</v>
      </c>
      <c r="M218">
        <v>0</v>
      </c>
      <c r="N218">
        <v>0</v>
      </c>
      <c r="O218">
        <v>14696</v>
      </c>
      <c r="Q218">
        <v>946</v>
      </c>
      <c r="R218">
        <v>48034</v>
      </c>
      <c r="S218">
        <v>41966</v>
      </c>
      <c r="T218">
        <v>49836</v>
      </c>
      <c r="U218">
        <v>0</v>
      </c>
      <c r="V218">
        <v>2582</v>
      </c>
      <c r="X218">
        <v>233848</v>
      </c>
      <c r="Y218">
        <v>27977</v>
      </c>
      <c r="Z218">
        <v>1890738</v>
      </c>
      <c r="AA218">
        <v>0</v>
      </c>
      <c r="AB218">
        <v>0</v>
      </c>
      <c r="AC218">
        <v>0</v>
      </c>
      <c r="AD218">
        <v>0</v>
      </c>
      <c r="AE218">
        <v>2286</v>
      </c>
      <c r="AF218">
        <v>750</v>
      </c>
      <c r="AG218">
        <v>0</v>
      </c>
      <c r="AH218">
        <v>0</v>
      </c>
      <c r="AI218">
        <v>0</v>
      </c>
      <c r="AJ218">
        <v>0</v>
      </c>
      <c r="AK218">
        <v>0</v>
      </c>
      <c r="AL218">
        <v>8498</v>
      </c>
      <c r="AM218">
        <v>14404</v>
      </c>
      <c r="AN218">
        <v>0</v>
      </c>
      <c r="AO218">
        <v>188524</v>
      </c>
      <c r="AP218">
        <v>0</v>
      </c>
      <c r="AQ218">
        <v>0</v>
      </c>
      <c r="AR218">
        <v>0</v>
      </c>
      <c r="AS218">
        <v>1131413</v>
      </c>
      <c r="AT218">
        <v>0</v>
      </c>
      <c r="AU218">
        <v>0</v>
      </c>
      <c r="AV218">
        <v>0</v>
      </c>
      <c r="AW218">
        <v>6936</v>
      </c>
      <c r="AX218">
        <v>3124</v>
      </c>
      <c r="AY218">
        <v>0</v>
      </c>
      <c r="AZ218">
        <v>111867</v>
      </c>
      <c r="BA218">
        <v>0</v>
      </c>
      <c r="BB218">
        <v>0</v>
      </c>
      <c r="BC218">
        <v>0</v>
      </c>
      <c r="BD218">
        <v>0</v>
      </c>
      <c r="BE218">
        <v>0</v>
      </c>
      <c r="BF218">
        <v>696000</v>
      </c>
      <c r="BH218">
        <v>0</v>
      </c>
      <c r="BI218">
        <v>0</v>
      </c>
      <c r="BJ218">
        <v>112334</v>
      </c>
      <c r="BK218">
        <v>20172</v>
      </c>
      <c r="BL218">
        <v>355271</v>
      </c>
      <c r="BM218">
        <v>25000</v>
      </c>
      <c r="BN218">
        <v>51739</v>
      </c>
      <c r="BO218">
        <v>0</v>
      </c>
      <c r="BP218">
        <v>0</v>
      </c>
      <c r="BQ218">
        <v>0</v>
      </c>
      <c r="BS218">
        <v>19000</v>
      </c>
      <c r="BT218">
        <v>0</v>
      </c>
      <c r="BV218">
        <v>29500</v>
      </c>
    </row>
    <row r="219" spans="1:74" x14ac:dyDescent="0.3">
      <c r="A219" s="155">
        <v>629</v>
      </c>
      <c r="B219" t="s">
        <v>964</v>
      </c>
      <c r="D219">
        <v>0</v>
      </c>
      <c r="E219">
        <v>0</v>
      </c>
      <c r="G219">
        <v>0</v>
      </c>
      <c r="H219">
        <v>0</v>
      </c>
      <c r="I219">
        <v>0</v>
      </c>
      <c r="J219">
        <v>0</v>
      </c>
      <c r="K219">
        <v>0</v>
      </c>
      <c r="L219">
        <v>0</v>
      </c>
      <c r="M219">
        <v>0</v>
      </c>
      <c r="N219">
        <v>0</v>
      </c>
      <c r="O219">
        <v>0</v>
      </c>
      <c r="Q219">
        <v>0</v>
      </c>
      <c r="R219">
        <v>0</v>
      </c>
      <c r="S219">
        <v>0</v>
      </c>
      <c r="T219">
        <v>0</v>
      </c>
      <c r="U219">
        <v>0</v>
      </c>
      <c r="V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50028</v>
      </c>
      <c r="BD219">
        <v>0</v>
      </c>
      <c r="BE219">
        <v>0</v>
      </c>
      <c r="BF219">
        <v>0</v>
      </c>
      <c r="BH219">
        <v>0</v>
      </c>
      <c r="BI219">
        <v>0</v>
      </c>
      <c r="BJ219">
        <v>0</v>
      </c>
      <c r="BK219">
        <v>0</v>
      </c>
      <c r="BL219">
        <v>34825</v>
      </c>
      <c r="BM219">
        <v>0</v>
      </c>
      <c r="BN219">
        <v>0</v>
      </c>
      <c r="BO219">
        <v>0</v>
      </c>
      <c r="BP219">
        <v>0</v>
      </c>
      <c r="BQ219">
        <v>0</v>
      </c>
      <c r="BS219">
        <v>0</v>
      </c>
      <c r="BT219">
        <v>0</v>
      </c>
      <c r="BV219">
        <v>0</v>
      </c>
    </row>
    <row r="220" spans="1:74" x14ac:dyDescent="0.3">
      <c r="A220" s="155">
        <v>630</v>
      </c>
      <c r="B220" t="s">
        <v>965</v>
      </c>
      <c r="D220">
        <v>0</v>
      </c>
      <c r="E220">
        <v>0</v>
      </c>
      <c r="G220">
        <v>0</v>
      </c>
      <c r="H220">
        <v>0</v>
      </c>
      <c r="I220">
        <v>0</v>
      </c>
      <c r="J220">
        <v>0</v>
      </c>
      <c r="K220">
        <v>0</v>
      </c>
      <c r="L220">
        <v>0</v>
      </c>
      <c r="M220">
        <v>0</v>
      </c>
      <c r="N220">
        <v>0</v>
      </c>
      <c r="O220">
        <v>0</v>
      </c>
      <c r="Q220">
        <v>0</v>
      </c>
      <c r="R220">
        <v>0</v>
      </c>
      <c r="S220">
        <v>0</v>
      </c>
      <c r="T220">
        <v>0</v>
      </c>
      <c r="U220">
        <v>0</v>
      </c>
      <c r="V220">
        <v>0</v>
      </c>
      <c r="X220">
        <v>0</v>
      </c>
      <c r="Y220">
        <v>0</v>
      </c>
      <c r="Z220">
        <v>0</v>
      </c>
      <c r="AA220">
        <v>0</v>
      </c>
      <c r="AB220">
        <v>0</v>
      </c>
      <c r="AC220">
        <v>0</v>
      </c>
      <c r="AD220">
        <v>0</v>
      </c>
      <c r="AE220">
        <v>0</v>
      </c>
      <c r="AF220">
        <v>0</v>
      </c>
      <c r="AG220">
        <v>0</v>
      </c>
      <c r="AH220">
        <v>0</v>
      </c>
      <c r="AI220">
        <v>0</v>
      </c>
      <c r="AJ220">
        <v>2103</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348827</v>
      </c>
      <c r="BE220">
        <v>0</v>
      </c>
      <c r="BF220">
        <v>0</v>
      </c>
      <c r="BH220">
        <v>0</v>
      </c>
      <c r="BI220">
        <v>0</v>
      </c>
      <c r="BJ220">
        <v>0</v>
      </c>
      <c r="BK220">
        <v>0</v>
      </c>
      <c r="BL220">
        <v>193799</v>
      </c>
      <c r="BM220">
        <v>0</v>
      </c>
      <c r="BN220">
        <v>0</v>
      </c>
      <c r="BO220">
        <v>0</v>
      </c>
      <c r="BP220">
        <v>0</v>
      </c>
      <c r="BQ220">
        <v>0</v>
      </c>
      <c r="BS220">
        <v>0</v>
      </c>
      <c r="BT220">
        <v>0</v>
      </c>
      <c r="BV220">
        <v>0</v>
      </c>
    </row>
    <row r="221" spans="1:74" x14ac:dyDescent="0.3">
      <c r="A221" s="155">
        <v>631</v>
      </c>
      <c r="B221" t="s">
        <v>966</v>
      </c>
      <c r="D221">
        <v>0</v>
      </c>
      <c r="E221">
        <v>0</v>
      </c>
      <c r="G221">
        <v>0</v>
      </c>
      <c r="H221">
        <v>0</v>
      </c>
      <c r="I221">
        <v>0</v>
      </c>
      <c r="J221">
        <v>0</v>
      </c>
      <c r="K221">
        <v>0</v>
      </c>
      <c r="L221">
        <v>0</v>
      </c>
      <c r="M221">
        <v>0</v>
      </c>
      <c r="N221">
        <v>0</v>
      </c>
      <c r="O221">
        <v>0</v>
      </c>
      <c r="Q221">
        <v>0</v>
      </c>
      <c r="R221">
        <v>0</v>
      </c>
      <c r="S221">
        <v>0</v>
      </c>
      <c r="T221">
        <v>0</v>
      </c>
      <c r="U221">
        <v>0</v>
      </c>
      <c r="V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H221">
        <v>0</v>
      </c>
      <c r="BI221">
        <v>0</v>
      </c>
      <c r="BJ221">
        <v>0</v>
      </c>
      <c r="BK221">
        <v>0</v>
      </c>
      <c r="BL221">
        <v>0</v>
      </c>
      <c r="BM221">
        <v>0</v>
      </c>
      <c r="BN221">
        <v>0</v>
      </c>
      <c r="BO221">
        <v>0</v>
      </c>
      <c r="BP221">
        <v>0</v>
      </c>
      <c r="BQ221">
        <v>0</v>
      </c>
      <c r="BS221">
        <v>0</v>
      </c>
      <c r="BT221">
        <v>0</v>
      </c>
      <c r="BV221">
        <v>0</v>
      </c>
    </row>
    <row r="222" spans="1:74" x14ac:dyDescent="0.3">
      <c r="A222" s="155">
        <v>632</v>
      </c>
      <c r="B222" t="s">
        <v>967</v>
      </c>
      <c r="D222">
        <v>0</v>
      </c>
      <c r="E222">
        <v>0</v>
      </c>
      <c r="G222">
        <v>0</v>
      </c>
      <c r="H222">
        <v>0</v>
      </c>
      <c r="I222">
        <v>0</v>
      </c>
      <c r="J222">
        <v>0</v>
      </c>
      <c r="K222">
        <v>0</v>
      </c>
      <c r="L222">
        <v>0</v>
      </c>
      <c r="M222">
        <v>0</v>
      </c>
      <c r="N222">
        <v>0</v>
      </c>
      <c r="O222">
        <v>0</v>
      </c>
      <c r="Q222">
        <v>0</v>
      </c>
      <c r="R222">
        <v>0</v>
      </c>
      <c r="S222">
        <v>0</v>
      </c>
      <c r="T222">
        <v>0</v>
      </c>
      <c r="U222">
        <v>0</v>
      </c>
      <c r="V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H222">
        <v>0</v>
      </c>
      <c r="BI222">
        <v>0</v>
      </c>
      <c r="BJ222">
        <v>0</v>
      </c>
      <c r="BK222">
        <v>0</v>
      </c>
      <c r="BL222">
        <v>0</v>
      </c>
      <c r="BM222">
        <v>0</v>
      </c>
      <c r="BN222">
        <v>0</v>
      </c>
      <c r="BO222">
        <v>0</v>
      </c>
      <c r="BP222">
        <v>0</v>
      </c>
      <c r="BQ222">
        <v>0</v>
      </c>
      <c r="BS222">
        <v>0</v>
      </c>
      <c r="BT222">
        <v>0</v>
      </c>
      <c r="BV222">
        <v>0</v>
      </c>
    </row>
    <row r="223" spans="1:74" x14ac:dyDescent="0.3">
      <c r="A223" s="155">
        <v>633</v>
      </c>
      <c r="B223" t="s">
        <v>373</v>
      </c>
      <c r="D223">
        <v>3735065</v>
      </c>
      <c r="E223">
        <v>69830497</v>
      </c>
      <c r="G223">
        <v>350721</v>
      </c>
      <c r="H223">
        <v>92675</v>
      </c>
      <c r="I223">
        <v>0</v>
      </c>
      <c r="J223">
        <v>0</v>
      </c>
      <c r="K223">
        <v>0</v>
      </c>
      <c r="L223">
        <v>362135</v>
      </c>
      <c r="M223">
        <v>2563632</v>
      </c>
      <c r="N223">
        <v>0</v>
      </c>
      <c r="O223">
        <v>43624</v>
      </c>
      <c r="Q223">
        <v>0</v>
      </c>
      <c r="R223">
        <v>0</v>
      </c>
      <c r="S223">
        <v>319163</v>
      </c>
      <c r="T223">
        <v>0</v>
      </c>
      <c r="U223">
        <v>351959</v>
      </c>
      <c r="V223">
        <v>190384</v>
      </c>
      <c r="X223">
        <v>301409</v>
      </c>
      <c r="Y223">
        <v>0</v>
      </c>
      <c r="Z223">
        <v>1923356</v>
      </c>
      <c r="AA223">
        <v>0</v>
      </c>
      <c r="AB223">
        <v>78290</v>
      </c>
      <c r="AC223">
        <v>150051</v>
      </c>
      <c r="AD223">
        <v>58563</v>
      </c>
      <c r="AE223">
        <v>217283</v>
      </c>
      <c r="AF223">
        <v>147172</v>
      </c>
      <c r="AG223">
        <v>102341</v>
      </c>
      <c r="AH223">
        <v>1219337</v>
      </c>
      <c r="AI223">
        <v>0</v>
      </c>
      <c r="AJ223">
        <v>0</v>
      </c>
      <c r="AK223">
        <v>0</v>
      </c>
      <c r="AL223">
        <v>104387</v>
      </c>
      <c r="AM223">
        <v>186801</v>
      </c>
      <c r="AN223">
        <v>83997</v>
      </c>
      <c r="AO223">
        <v>10800333</v>
      </c>
      <c r="AP223">
        <v>187732</v>
      </c>
      <c r="AQ223">
        <v>0</v>
      </c>
      <c r="AR223">
        <v>16130</v>
      </c>
      <c r="AS223">
        <v>6069123</v>
      </c>
      <c r="AT223">
        <v>112172</v>
      </c>
      <c r="AU223">
        <v>183979</v>
      </c>
      <c r="AV223">
        <v>128617</v>
      </c>
      <c r="AW223">
        <v>60749</v>
      </c>
      <c r="AX223">
        <v>0</v>
      </c>
      <c r="AY223">
        <v>0</v>
      </c>
      <c r="AZ223">
        <v>585783</v>
      </c>
      <c r="BA223">
        <v>41025</v>
      </c>
      <c r="BB223">
        <v>23658</v>
      </c>
      <c r="BC223">
        <v>6267</v>
      </c>
      <c r="BD223">
        <v>303138</v>
      </c>
      <c r="BE223">
        <v>292130</v>
      </c>
      <c r="BF223">
        <v>5363437</v>
      </c>
      <c r="BH223">
        <v>0</v>
      </c>
      <c r="BI223">
        <v>47711</v>
      </c>
      <c r="BJ223">
        <v>1740241</v>
      </c>
      <c r="BK223">
        <v>134963</v>
      </c>
      <c r="BL223">
        <v>684626</v>
      </c>
      <c r="BM223">
        <v>0</v>
      </c>
      <c r="BN223">
        <v>878191</v>
      </c>
      <c r="BO223">
        <v>462901</v>
      </c>
      <c r="BP223">
        <v>0</v>
      </c>
      <c r="BQ223">
        <v>0</v>
      </c>
      <c r="BS223">
        <v>624447</v>
      </c>
      <c r="BT223">
        <v>69252</v>
      </c>
      <c r="BV223">
        <v>655083</v>
      </c>
    </row>
    <row r="224" spans="1:74" x14ac:dyDescent="0.3">
      <c r="A224" s="155">
        <v>634</v>
      </c>
      <c r="B224" t="s">
        <v>374</v>
      </c>
      <c r="D224">
        <v>2839017</v>
      </c>
      <c r="E224">
        <v>0</v>
      </c>
      <c r="G224">
        <v>0</v>
      </c>
      <c r="H224">
        <v>0</v>
      </c>
      <c r="I224">
        <v>0</v>
      </c>
      <c r="J224">
        <v>0</v>
      </c>
      <c r="K224">
        <v>0</v>
      </c>
      <c r="L224">
        <v>0</v>
      </c>
      <c r="M224">
        <v>0</v>
      </c>
      <c r="N224">
        <v>0</v>
      </c>
      <c r="O224">
        <v>0</v>
      </c>
      <c r="Q224">
        <v>0</v>
      </c>
      <c r="R224">
        <v>0</v>
      </c>
      <c r="S224">
        <v>0</v>
      </c>
      <c r="T224">
        <v>0</v>
      </c>
      <c r="U224">
        <v>0</v>
      </c>
      <c r="V224">
        <v>91116</v>
      </c>
      <c r="X224">
        <v>0</v>
      </c>
      <c r="Y224">
        <v>0</v>
      </c>
      <c r="Z224">
        <v>0</v>
      </c>
      <c r="AA224">
        <v>0</v>
      </c>
      <c r="AB224">
        <v>0</v>
      </c>
      <c r="AC224">
        <v>0</v>
      </c>
      <c r="AD224">
        <v>12745</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H224">
        <v>0</v>
      </c>
      <c r="BI224">
        <v>0</v>
      </c>
      <c r="BJ224">
        <v>0</v>
      </c>
      <c r="BK224">
        <v>0</v>
      </c>
      <c r="BL224">
        <v>0</v>
      </c>
      <c r="BM224">
        <v>0</v>
      </c>
      <c r="BN224">
        <v>0</v>
      </c>
      <c r="BO224">
        <v>0</v>
      </c>
      <c r="BP224">
        <v>0</v>
      </c>
      <c r="BQ224">
        <v>0</v>
      </c>
      <c r="BS224">
        <v>0</v>
      </c>
      <c r="BT224">
        <v>0</v>
      </c>
      <c r="BV224">
        <v>0</v>
      </c>
    </row>
    <row r="225" spans="1:74" x14ac:dyDescent="0.3">
      <c r="A225" s="155">
        <v>635</v>
      </c>
      <c r="B225" t="s">
        <v>375</v>
      </c>
      <c r="D225">
        <v>7474</v>
      </c>
      <c r="E225">
        <v>2293723</v>
      </c>
      <c r="G225">
        <v>11000</v>
      </c>
      <c r="H225">
        <v>0</v>
      </c>
      <c r="I225">
        <v>0</v>
      </c>
      <c r="J225">
        <v>0</v>
      </c>
      <c r="K225">
        <v>0</v>
      </c>
      <c r="L225">
        <v>5000</v>
      </c>
      <c r="M225">
        <v>0</v>
      </c>
      <c r="N225">
        <v>0</v>
      </c>
      <c r="O225">
        <v>687</v>
      </c>
      <c r="Q225">
        <v>0</v>
      </c>
      <c r="R225">
        <v>0</v>
      </c>
      <c r="S225">
        <v>16165</v>
      </c>
      <c r="T225">
        <v>0</v>
      </c>
      <c r="U225">
        <v>13932</v>
      </c>
      <c r="V225">
        <v>24000</v>
      </c>
      <c r="X225">
        <v>69534</v>
      </c>
      <c r="Y225">
        <v>0</v>
      </c>
      <c r="Z225">
        <v>205513</v>
      </c>
      <c r="AA225">
        <v>0</v>
      </c>
      <c r="AB225">
        <v>0</v>
      </c>
      <c r="AC225">
        <v>0</v>
      </c>
      <c r="AD225">
        <v>170</v>
      </c>
      <c r="AE225">
        <v>1879</v>
      </c>
      <c r="AF225">
        <v>3841</v>
      </c>
      <c r="AG225">
        <v>0</v>
      </c>
      <c r="AH225">
        <v>0</v>
      </c>
      <c r="AI225">
        <v>0</v>
      </c>
      <c r="AJ225">
        <v>0</v>
      </c>
      <c r="AK225">
        <v>0</v>
      </c>
      <c r="AL225">
        <v>3922</v>
      </c>
      <c r="AM225">
        <v>958</v>
      </c>
      <c r="AN225">
        <v>0</v>
      </c>
      <c r="AO225">
        <v>51164</v>
      </c>
      <c r="AP225">
        <v>0</v>
      </c>
      <c r="AQ225">
        <v>0</v>
      </c>
      <c r="AR225">
        <v>0</v>
      </c>
      <c r="AS225">
        <v>250095</v>
      </c>
      <c r="AT225">
        <v>0</v>
      </c>
      <c r="AU225">
        <v>0</v>
      </c>
      <c r="AV225">
        <v>0</v>
      </c>
      <c r="AW225">
        <v>0</v>
      </c>
      <c r="AX225">
        <v>0</v>
      </c>
      <c r="AY225">
        <v>0</v>
      </c>
      <c r="AZ225">
        <v>10152</v>
      </c>
      <c r="BA225">
        <v>2752</v>
      </c>
      <c r="BB225">
        <v>0</v>
      </c>
      <c r="BC225">
        <v>0</v>
      </c>
      <c r="BD225">
        <v>0</v>
      </c>
      <c r="BE225">
        <v>0</v>
      </c>
      <c r="BF225">
        <v>107686</v>
      </c>
      <c r="BH225">
        <v>0</v>
      </c>
      <c r="BI225">
        <v>0</v>
      </c>
      <c r="BJ225">
        <v>22026</v>
      </c>
      <c r="BK225">
        <v>9198</v>
      </c>
      <c r="BL225">
        <v>30779</v>
      </c>
      <c r="BM225">
        <v>0</v>
      </c>
      <c r="BN225">
        <v>4417</v>
      </c>
      <c r="BO225">
        <v>0</v>
      </c>
      <c r="BP225">
        <v>0</v>
      </c>
      <c r="BQ225">
        <v>0</v>
      </c>
      <c r="BS225">
        <v>11000</v>
      </c>
      <c r="BT225">
        <v>0</v>
      </c>
      <c r="BV225">
        <v>0</v>
      </c>
    </row>
    <row r="226" spans="1:74" x14ac:dyDescent="0.3">
      <c r="A226" s="155">
        <v>636</v>
      </c>
      <c r="B226" t="s">
        <v>1664</v>
      </c>
      <c r="D226">
        <v>0</v>
      </c>
      <c r="E226">
        <v>0</v>
      </c>
      <c r="G226">
        <v>0</v>
      </c>
      <c r="H226">
        <v>0</v>
      </c>
      <c r="I226">
        <v>0</v>
      </c>
      <c r="J226">
        <v>0</v>
      </c>
      <c r="K226">
        <v>0</v>
      </c>
      <c r="L226">
        <v>0</v>
      </c>
      <c r="M226">
        <v>0</v>
      </c>
      <c r="N226">
        <v>0</v>
      </c>
      <c r="O226">
        <v>0</v>
      </c>
      <c r="Q226">
        <v>0</v>
      </c>
      <c r="R226">
        <v>0</v>
      </c>
      <c r="S226">
        <v>0</v>
      </c>
      <c r="T226">
        <v>0</v>
      </c>
      <c r="U226">
        <v>46365</v>
      </c>
      <c r="V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H226">
        <v>0</v>
      </c>
      <c r="BI226">
        <v>0</v>
      </c>
      <c r="BJ226">
        <v>0</v>
      </c>
      <c r="BK226">
        <v>0</v>
      </c>
      <c r="BL226">
        <v>0</v>
      </c>
      <c r="BM226">
        <v>0</v>
      </c>
      <c r="BN226">
        <v>0</v>
      </c>
      <c r="BO226">
        <v>0</v>
      </c>
      <c r="BP226">
        <v>0</v>
      </c>
      <c r="BQ226">
        <v>0</v>
      </c>
      <c r="BS226">
        <v>0</v>
      </c>
      <c r="BT226">
        <v>0</v>
      </c>
      <c r="BV226">
        <v>0</v>
      </c>
    </row>
    <row r="227" spans="1:74" x14ac:dyDescent="0.3">
      <c r="A227" s="155">
        <v>637</v>
      </c>
      <c r="B227" t="s">
        <v>1665</v>
      </c>
      <c r="D227">
        <v>0</v>
      </c>
      <c r="E227">
        <v>40130240</v>
      </c>
      <c r="G227">
        <v>0</v>
      </c>
      <c r="H227">
        <v>32993</v>
      </c>
      <c r="I227">
        <v>0</v>
      </c>
      <c r="J227">
        <v>0</v>
      </c>
      <c r="K227">
        <v>0</v>
      </c>
      <c r="L227">
        <v>0</v>
      </c>
      <c r="M227">
        <v>0</v>
      </c>
      <c r="N227">
        <v>0</v>
      </c>
      <c r="O227">
        <v>22950</v>
      </c>
      <c r="Q227">
        <v>0</v>
      </c>
      <c r="R227">
        <v>0</v>
      </c>
      <c r="S227">
        <v>22221</v>
      </c>
      <c r="T227">
        <v>0</v>
      </c>
      <c r="U227">
        <v>0</v>
      </c>
      <c r="V227">
        <v>0</v>
      </c>
      <c r="X227">
        <v>0</v>
      </c>
      <c r="Y227">
        <v>0</v>
      </c>
      <c r="Z227">
        <v>0</v>
      </c>
      <c r="AA227">
        <v>0</v>
      </c>
      <c r="AB227">
        <v>13950</v>
      </c>
      <c r="AC227">
        <v>72137</v>
      </c>
      <c r="AD227">
        <v>0</v>
      </c>
      <c r="AE227">
        <v>0</v>
      </c>
      <c r="AF227">
        <v>71830</v>
      </c>
      <c r="AG227">
        <v>0</v>
      </c>
      <c r="AH227">
        <v>109971</v>
      </c>
      <c r="AI227">
        <v>0</v>
      </c>
      <c r="AJ227">
        <v>0</v>
      </c>
      <c r="AK227">
        <v>0</v>
      </c>
      <c r="AL227">
        <v>0</v>
      </c>
      <c r="AM227">
        <v>0</v>
      </c>
      <c r="AN227">
        <v>0</v>
      </c>
      <c r="AO227">
        <v>0</v>
      </c>
      <c r="AP227">
        <v>0</v>
      </c>
      <c r="AQ227">
        <v>0</v>
      </c>
      <c r="AR227">
        <v>0</v>
      </c>
      <c r="AS227">
        <v>0</v>
      </c>
      <c r="AT227">
        <v>44337</v>
      </c>
      <c r="AU227">
        <v>92050</v>
      </c>
      <c r="AV227">
        <v>0</v>
      </c>
      <c r="AW227">
        <v>0</v>
      </c>
      <c r="AX227">
        <v>0</v>
      </c>
      <c r="AY227">
        <v>0</v>
      </c>
      <c r="AZ227">
        <v>0</v>
      </c>
      <c r="BA227">
        <v>0</v>
      </c>
      <c r="BB227">
        <v>0</v>
      </c>
      <c r="BC227">
        <v>0</v>
      </c>
      <c r="BD227">
        <v>149435</v>
      </c>
      <c r="BE227">
        <v>98886</v>
      </c>
      <c r="BF227">
        <v>0</v>
      </c>
      <c r="BH227">
        <v>0</v>
      </c>
      <c r="BI227">
        <v>0</v>
      </c>
      <c r="BJ227">
        <v>0</v>
      </c>
      <c r="BK227">
        <v>0</v>
      </c>
      <c r="BL227">
        <v>85635</v>
      </c>
      <c r="BM227">
        <v>0</v>
      </c>
      <c r="BN227">
        <v>173970</v>
      </c>
      <c r="BO227">
        <v>33110</v>
      </c>
      <c r="BP227">
        <v>0</v>
      </c>
      <c r="BQ227">
        <v>0</v>
      </c>
      <c r="BS227">
        <v>0</v>
      </c>
      <c r="BT227">
        <v>0</v>
      </c>
      <c r="BV227">
        <v>0</v>
      </c>
    </row>
    <row r="228" spans="1:74" x14ac:dyDescent="0.3">
      <c r="A228" s="155">
        <v>638</v>
      </c>
      <c r="B228" t="s">
        <v>1666</v>
      </c>
      <c r="D228">
        <v>0</v>
      </c>
      <c r="E228">
        <v>0</v>
      </c>
      <c r="G228">
        <v>0</v>
      </c>
      <c r="H228">
        <v>0</v>
      </c>
      <c r="I228">
        <v>0</v>
      </c>
      <c r="J228">
        <v>0</v>
      </c>
      <c r="K228">
        <v>0</v>
      </c>
      <c r="L228">
        <v>0</v>
      </c>
      <c r="M228">
        <v>0</v>
      </c>
      <c r="N228">
        <v>0</v>
      </c>
      <c r="O228">
        <v>0</v>
      </c>
      <c r="Q228">
        <v>0</v>
      </c>
      <c r="R228">
        <v>0</v>
      </c>
      <c r="S228">
        <v>0</v>
      </c>
      <c r="T228">
        <v>0</v>
      </c>
      <c r="U228">
        <v>0</v>
      </c>
      <c r="V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H228">
        <v>0</v>
      </c>
      <c r="BI228">
        <v>0</v>
      </c>
      <c r="BJ228">
        <v>0</v>
      </c>
      <c r="BK228">
        <v>0</v>
      </c>
      <c r="BL228">
        <v>0</v>
      </c>
      <c r="BM228">
        <v>0</v>
      </c>
      <c r="BN228">
        <v>0</v>
      </c>
      <c r="BO228">
        <v>0</v>
      </c>
      <c r="BP228">
        <v>0</v>
      </c>
      <c r="BQ228">
        <v>0</v>
      </c>
      <c r="BS228">
        <v>0</v>
      </c>
      <c r="BT228">
        <v>0</v>
      </c>
      <c r="BV228">
        <v>0</v>
      </c>
    </row>
    <row r="229" spans="1:74" x14ac:dyDescent="0.3">
      <c r="A229" s="155">
        <v>639</v>
      </c>
      <c r="B229" t="s">
        <v>1667</v>
      </c>
      <c r="D229">
        <v>0</v>
      </c>
      <c r="E229">
        <v>0</v>
      </c>
      <c r="G229">
        <v>0</v>
      </c>
      <c r="H229">
        <v>0</v>
      </c>
      <c r="I229">
        <v>0</v>
      </c>
      <c r="J229">
        <v>0</v>
      </c>
      <c r="K229">
        <v>0</v>
      </c>
      <c r="L229">
        <v>394503</v>
      </c>
      <c r="M229">
        <v>0</v>
      </c>
      <c r="N229">
        <v>0</v>
      </c>
      <c r="O229">
        <v>0</v>
      </c>
      <c r="Q229">
        <v>0</v>
      </c>
      <c r="R229">
        <v>0</v>
      </c>
      <c r="S229">
        <v>0</v>
      </c>
      <c r="T229">
        <v>0</v>
      </c>
      <c r="U229">
        <v>0</v>
      </c>
      <c r="V229">
        <v>0</v>
      </c>
      <c r="X229">
        <v>0</v>
      </c>
      <c r="Y229">
        <v>0</v>
      </c>
      <c r="Z229">
        <v>7942458</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750232</v>
      </c>
      <c r="AW229">
        <v>0</v>
      </c>
      <c r="AX229">
        <v>0</v>
      </c>
      <c r="AY229">
        <v>0</v>
      </c>
      <c r="AZ229">
        <v>949594</v>
      </c>
      <c r="BA229">
        <v>0</v>
      </c>
      <c r="BB229">
        <v>0</v>
      </c>
      <c r="BC229">
        <v>0</v>
      </c>
      <c r="BD229">
        <v>0</v>
      </c>
      <c r="BE229">
        <v>312065</v>
      </c>
      <c r="BF229">
        <v>2480385</v>
      </c>
      <c r="BH229">
        <v>0</v>
      </c>
      <c r="BI229">
        <v>0</v>
      </c>
      <c r="BJ229">
        <v>2142586</v>
      </c>
      <c r="BK229">
        <v>0</v>
      </c>
      <c r="BL229">
        <v>0</v>
      </c>
      <c r="BM229">
        <v>0</v>
      </c>
      <c r="BN229">
        <v>1502905</v>
      </c>
      <c r="BO229">
        <v>0</v>
      </c>
      <c r="BP229">
        <v>0</v>
      </c>
      <c r="BQ229">
        <v>0</v>
      </c>
      <c r="BS229">
        <v>0</v>
      </c>
      <c r="BT229">
        <v>0</v>
      </c>
      <c r="BV229">
        <v>0</v>
      </c>
    </row>
    <row r="230" spans="1:74" x14ac:dyDescent="0.3">
      <c r="A230" s="155">
        <v>640</v>
      </c>
      <c r="B230" t="s">
        <v>1668</v>
      </c>
      <c r="D230">
        <v>0</v>
      </c>
      <c r="E230">
        <v>0</v>
      </c>
      <c r="G230">
        <v>0</v>
      </c>
      <c r="H230">
        <v>0</v>
      </c>
      <c r="I230">
        <v>0</v>
      </c>
      <c r="J230">
        <v>0</v>
      </c>
      <c r="K230">
        <v>0</v>
      </c>
      <c r="L230">
        <v>0</v>
      </c>
      <c r="M230">
        <v>0</v>
      </c>
      <c r="N230">
        <v>0</v>
      </c>
      <c r="O230">
        <v>0</v>
      </c>
      <c r="Q230">
        <v>0</v>
      </c>
      <c r="R230">
        <v>0</v>
      </c>
      <c r="S230">
        <v>0</v>
      </c>
      <c r="T230">
        <v>0</v>
      </c>
      <c r="U230">
        <v>0</v>
      </c>
      <c r="V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H230">
        <v>0</v>
      </c>
      <c r="BI230">
        <v>0</v>
      </c>
      <c r="BJ230">
        <v>0</v>
      </c>
      <c r="BK230">
        <v>0</v>
      </c>
      <c r="BL230">
        <v>0</v>
      </c>
      <c r="BM230">
        <v>0</v>
      </c>
      <c r="BN230">
        <v>0</v>
      </c>
      <c r="BO230">
        <v>0</v>
      </c>
      <c r="BP230">
        <v>0</v>
      </c>
      <c r="BQ230">
        <v>0</v>
      </c>
      <c r="BS230">
        <v>0</v>
      </c>
      <c r="BT230">
        <v>0</v>
      </c>
      <c r="BV230">
        <v>0</v>
      </c>
    </row>
    <row r="231" spans="1:74" x14ac:dyDescent="0.3">
      <c r="A231" s="155">
        <v>641</v>
      </c>
      <c r="B231" t="s">
        <v>1669</v>
      </c>
      <c r="D231">
        <v>0</v>
      </c>
      <c r="E231">
        <v>0</v>
      </c>
      <c r="G231">
        <v>0</v>
      </c>
      <c r="H231">
        <v>0</v>
      </c>
      <c r="I231">
        <v>0</v>
      </c>
      <c r="J231">
        <v>0</v>
      </c>
      <c r="K231">
        <v>0</v>
      </c>
      <c r="L231">
        <v>5000</v>
      </c>
      <c r="M231">
        <v>0</v>
      </c>
      <c r="N231">
        <v>0</v>
      </c>
      <c r="O231">
        <v>0</v>
      </c>
      <c r="Q231">
        <v>0</v>
      </c>
      <c r="R231">
        <v>0</v>
      </c>
      <c r="S231">
        <v>0</v>
      </c>
      <c r="T231">
        <v>0</v>
      </c>
      <c r="U231">
        <v>0</v>
      </c>
      <c r="V231">
        <v>0</v>
      </c>
      <c r="X231">
        <v>0</v>
      </c>
      <c r="Y231">
        <v>0</v>
      </c>
      <c r="Z231">
        <v>230129</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20271</v>
      </c>
      <c r="BA231">
        <v>0</v>
      </c>
      <c r="BB231">
        <v>0</v>
      </c>
      <c r="BC231">
        <v>0</v>
      </c>
      <c r="BD231">
        <v>0</v>
      </c>
      <c r="BE231">
        <v>0</v>
      </c>
      <c r="BF231">
        <v>43088</v>
      </c>
      <c r="BH231">
        <v>0</v>
      </c>
      <c r="BI231">
        <v>0</v>
      </c>
      <c r="BJ231">
        <v>27733</v>
      </c>
      <c r="BK231">
        <v>0</v>
      </c>
      <c r="BL231">
        <v>0</v>
      </c>
      <c r="BM231">
        <v>0</v>
      </c>
      <c r="BN231">
        <v>1859</v>
      </c>
      <c r="BO231">
        <v>0</v>
      </c>
      <c r="BP231">
        <v>0</v>
      </c>
      <c r="BQ231">
        <v>0</v>
      </c>
      <c r="BS231">
        <v>0</v>
      </c>
      <c r="BT231">
        <v>0</v>
      </c>
      <c r="BV231">
        <v>0</v>
      </c>
    </row>
    <row r="232" spans="1:74" x14ac:dyDescent="0.3">
      <c r="A232" s="155">
        <v>642</v>
      </c>
      <c r="B232" t="s">
        <v>1670</v>
      </c>
      <c r="D232">
        <v>0</v>
      </c>
      <c r="E232">
        <v>0</v>
      </c>
      <c r="G232">
        <v>0</v>
      </c>
      <c r="H232">
        <v>0</v>
      </c>
      <c r="I232">
        <v>0</v>
      </c>
      <c r="J232">
        <v>0</v>
      </c>
      <c r="K232">
        <v>0</v>
      </c>
      <c r="L232">
        <v>0</v>
      </c>
      <c r="M232">
        <v>0</v>
      </c>
      <c r="N232">
        <v>0</v>
      </c>
      <c r="O232">
        <v>0</v>
      </c>
      <c r="Q232">
        <v>0</v>
      </c>
      <c r="R232">
        <v>0</v>
      </c>
      <c r="S232">
        <v>0</v>
      </c>
      <c r="T232">
        <v>0</v>
      </c>
      <c r="U232">
        <v>0</v>
      </c>
      <c r="V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H232">
        <v>0</v>
      </c>
      <c r="BI232">
        <v>0</v>
      </c>
      <c r="BJ232">
        <v>0</v>
      </c>
      <c r="BK232">
        <v>0</v>
      </c>
      <c r="BL232">
        <v>0</v>
      </c>
      <c r="BM232">
        <v>0</v>
      </c>
      <c r="BN232">
        <v>0</v>
      </c>
      <c r="BO232">
        <v>0</v>
      </c>
      <c r="BP232">
        <v>0</v>
      </c>
      <c r="BQ232">
        <v>0</v>
      </c>
      <c r="BS232">
        <v>0</v>
      </c>
      <c r="BT232">
        <v>0</v>
      </c>
      <c r="BV232">
        <v>0</v>
      </c>
    </row>
    <row r="233" spans="1:74" x14ac:dyDescent="0.3">
      <c r="A233" s="155">
        <v>643</v>
      </c>
      <c r="B233" t="s">
        <v>1671</v>
      </c>
      <c r="D233">
        <v>0</v>
      </c>
      <c r="E233">
        <v>0</v>
      </c>
      <c r="G233">
        <v>0</v>
      </c>
      <c r="H233">
        <v>0</v>
      </c>
      <c r="I233">
        <v>0</v>
      </c>
      <c r="J233">
        <v>0</v>
      </c>
      <c r="K233">
        <v>0</v>
      </c>
      <c r="L233">
        <v>0</v>
      </c>
      <c r="M233">
        <v>0</v>
      </c>
      <c r="N233">
        <v>0</v>
      </c>
      <c r="O233">
        <v>0</v>
      </c>
      <c r="Q233">
        <v>0</v>
      </c>
      <c r="R233">
        <v>0</v>
      </c>
      <c r="S233">
        <v>0</v>
      </c>
      <c r="T233">
        <v>0</v>
      </c>
      <c r="U233">
        <v>0</v>
      </c>
      <c r="V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198907</v>
      </c>
      <c r="BF233">
        <v>575034</v>
      </c>
      <c r="BH233">
        <v>0</v>
      </c>
      <c r="BI233">
        <v>0</v>
      </c>
      <c r="BJ233">
        <v>0</v>
      </c>
      <c r="BK233">
        <v>0</v>
      </c>
      <c r="BL233">
        <v>0</v>
      </c>
      <c r="BM233">
        <v>0</v>
      </c>
      <c r="BN233">
        <v>0</v>
      </c>
      <c r="BO233">
        <v>0</v>
      </c>
      <c r="BP233">
        <v>0</v>
      </c>
      <c r="BQ233">
        <v>0</v>
      </c>
      <c r="BS233">
        <v>0</v>
      </c>
      <c r="BT233">
        <v>0</v>
      </c>
      <c r="BV233">
        <v>0</v>
      </c>
    </row>
    <row r="234" spans="1:74" x14ac:dyDescent="0.3">
      <c r="A234" s="155">
        <v>644</v>
      </c>
      <c r="B234" t="s">
        <v>1672</v>
      </c>
      <c r="D234">
        <v>0</v>
      </c>
      <c r="E234">
        <v>0</v>
      </c>
      <c r="G234">
        <v>0</v>
      </c>
      <c r="H234">
        <v>0</v>
      </c>
      <c r="I234">
        <v>0</v>
      </c>
      <c r="J234">
        <v>0</v>
      </c>
      <c r="K234">
        <v>0</v>
      </c>
      <c r="L234">
        <v>0</v>
      </c>
      <c r="M234">
        <v>0</v>
      </c>
      <c r="N234">
        <v>0</v>
      </c>
      <c r="O234">
        <v>0</v>
      </c>
      <c r="Q234">
        <v>0</v>
      </c>
      <c r="R234">
        <v>0</v>
      </c>
      <c r="S234">
        <v>0</v>
      </c>
      <c r="T234">
        <v>0</v>
      </c>
      <c r="U234">
        <v>0</v>
      </c>
      <c r="V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H234">
        <v>0</v>
      </c>
      <c r="BI234">
        <v>0</v>
      </c>
      <c r="BJ234">
        <v>0</v>
      </c>
      <c r="BK234">
        <v>0</v>
      </c>
      <c r="BL234">
        <v>0</v>
      </c>
      <c r="BM234">
        <v>0</v>
      </c>
      <c r="BN234">
        <v>0</v>
      </c>
      <c r="BO234">
        <v>0</v>
      </c>
      <c r="BP234">
        <v>0</v>
      </c>
      <c r="BQ234">
        <v>0</v>
      </c>
      <c r="BS234">
        <v>0</v>
      </c>
      <c r="BT234">
        <v>0</v>
      </c>
      <c r="BV234">
        <v>0</v>
      </c>
    </row>
    <row r="235" spans="1:74" x14ac:dyDescent="0.3">
      <c r="A235" s="155">
        <v>645</v>
      </c>
      <c r="B235" t="s">
        <v>386</v>
      </c>
      <c r="D235">
        <v>523632</v>
      </c>
      <c r="E235">
        <v>214304656</v>
      </c>
      <c r="G235">
        <v>0</v>
      </c>
      <c r="H235">
        <v>182091</v>
      </c>
      <c r="I235">
        <v>0</v>
      </c>
      <c r="J235">
        <v>0</v>
      </c>
      <c r="K235">
        <v>0</v>
      </c>
      <c r="L235">
        <v>0</v>
      </c>
      <c r="M235">
        <v>4000</v>
      </c>
      <c r="N235">
        <v>0</v>
      </c>
      <c r="O235">
        <v>0</v>
      </c>
      <c r="Q235">
        <v>0</v>
      </c>
      <c r="R235">
        <v>0</v>
      </c>
      <c r="S235">
        <v>254573</v>
      </c>
      <c r="T235">
        <v>103228</v>
      </c>
      <c r="U235">
        <v>0</v>
      </c>
      <c r="V235">
        <v>0</v>
      </c>
      <c r="X235">
        <v>750000</v>
      </c>
      <c r="Y235">
        <v>119000</v>
      </c>
      <c r="Z235">
        <v>4520486</v>
      </c>
      <c r="AA235">
        <v>2233000</v>
      </c>
      <c r="AB235">
        <v>0</v>
      </c>
      <c r="AC235">
        <v>0</v>
      </c>
      <c r="AD235">
        <v>0</v>
      </c>
      <c r="AE235">
        <v>0</v>
      </c>
      <c r="AF235">
        <v>87500</v>
      </c>
      <c r="AG235">
        <v>0</v>
      </c>
      <c r="AH235">
        <v>0</v>
      </c>
      <c r="AI235">
        <v>0</v>
      </c>
      <c r="AJ235">
        <v>242953</v>
      </c>
      <c r="AK235">
        <v>46138</v>
      </c>
      <c r="AL235">
        <v>15000</v>
      </c>
      <c r="AM235">
        <v>264970</v>
      </c>
      <c r="AN235">
        <v>73000</v>
      </c>
      <c r="AO235">
        <v>3956669</v>
      </c>
      <c r="AP235">
        <v>133486</v>
      </c>
      <c r="AQ235">
        <v>23</v>
      </c>
      <c r="AR235">
        <v>20918</v>
      </c>
      <c r="AS235">
        <v>756641</v>
      </c>
      <c r="AT235">
        <v>75000</v>
      </c>
      <c r="AU235">
        <v>0</v>
      </c>
      <c r="AV235">
        <v>308554</v>
      </c>
      <c r="AW235">
        <v>0</v>
      </c>
      <c r="AX235">
        <v>0</v>
      </c>
      <c r="AY235">
        <v>0</v>
      </c>
      <c r="AZ235">
        <v>174050</v>
      </c>
      <c r="BA235">
        <v>129125</v>
      </c>
      <c r="BB235">
        <v>14983</v>
      </c>
      <c r="BC235">
        <v>16450</v>
      </c>
      <c r="BD235">
        <v>1387497</v>
      </c>
      <c r="BE235">
        <v>0</v>
      </c>
      <c r="BF235">
        <v>0</v>
      </c>
      <c r="BH235">
        <v>0</v>
      </c>
      <c r="BI235">
        <v>10000</v>
      </c>
      <c r="BJ235">
        <v>782534</v>
      </c>
      <c r="BK235">
        <v>0</v>
      </c>
      <c r="BL235">
        <v>2834047</v>
      </c>
      <c r="BM235">
        <v>1270519</v>
      </c>
      <c r="BN235">
        <v>0</v>
      </c>
      <c r="BO235">
        <v>116762</v>
      </c>
      <c r="BP235">
        <v>0</v>
      </c>
      <c r="BQ235">
        <v>287349</v>
      </c>
      <c r="BS235">
        <v>377020</v>
      </c>
      <c r="BT235">
        <v>546124</v>
      </c>
      <c r="BV235">
        <v>0</v>
      </c>
    </row>
    <row r="236" spans="1:74" x14ac:dyDescent="0.3">
      <c r="A236" s="155">
        <v>646</v>
      </c>
      <c r="B236" t="s">
        <v>361</v>
      </c>
      <c r="D236">
        <v>7331786</v>
      </c>
      <c r="E236">
        <v>104219526</v>
      </c>
      <c r="G236">
        <v>4684557</v>
      </c>
      <c r="H236">
        <v>573929</v>
      </c>
      <c r="I236">
        <v>71858</v>
      </c>
      <c r="J236">
        <v>1407871</v>
      </c>
      <c r="K236">
        <v>0</v>
      </c>
      <c r="L236">
        <v>1809731</v>
      </c>
      <c r="M236">
        <v>7735740</v>
      </c>
      <c r="N236">
        <v>758483</v>
      </c>
      <c r="O236">
        <v>961373</v>
      </c>
      <c r="Q236">
        <v>571971</v>
      </c>
      <c r="R236">
        <v>1023770</v>
      </c>
      <c r="S236">
        <v>895501</v>
      </c>
      <c r="T236">
        <v>4118325</v>
      </c>
      <c r="U236">
        <v>834011</v>
      </c>
      <c r="V236">
        <v>1096799</v>
      </c>
      <c r="X236">
        <v>3225198</v>
      </c>
      <c r="Y236">
        <v>1414995</v>
      </c>
      <c r="Z236">
        <v>18918002</v>
      </c>
      <c r="AA236">
        <v>6445226</v>
      </c>
      <c r="AB236">
        <v>256839</v>
      </c>
      <c r="AC236">
        <v>386644</v>
      </c>
      <c r="AD236">
        <v>952192</v>
      </c>
      <c r="AE236">
        <v>1948068</v>
      </c>
      <c r="AF236">
        <v>299867</v>
      </c>
      <c r="AG236">
        <v>377695</v>
      </c>
      <c r="AH236">
        <v>2337923</v>
      </c>
      <c r="AI236">
        <v>276099</v>
      </c>
      <c r="AJ236">
        <v>3054061</v>
      </c>
      <c r="AK236">
        <v>569762</v>
      </c>
      <c r="AL236">
        <v>905592</v>
      </c>
      <c r="AM236">
        <v>1392930</v>
      </c>
      <c r="AN236">
        <v>502982</v>
      </c>
      <c r="AO236">
        <v>6825510</v>
      </c>
      <c r="AP236">
        <v>1057792</v>
      </c>
      <c r="AQ236">
        <v>623394</v>
      </c>
      <c r="AR236">
        <v>575913</v>
      </c>
      <c r="AS236">
        <v>14992210</v>
      </c>
      <c r="AT236">
        <v>320821</v>
      </c>
      <c r="AU236">
        <v>6239639</v>
      </c>
      <c r="AV236">
        <v>412151</v>
      </c>
      <c r="AW236">
        <v>363816</v>
      </c>
      <c r="AX236">
        <v>207263</v>
      </c>
      <c r="AY236">
        <v>425977</v>
      </c>
      <c r="AZ236">
        <v>3132024</v>
      </c>
      <c r="BA236">
        <v>1157536</v>
      </c>
      <c r="BB236">
        <v>170313</v>
      </c>
      <c r="BC236">
        <v>1326373</v>
      </c>
      <c r="BD236">
        <v>5758676</v>
      </c>
      <c r="BE236">
        <v>1098305</v>
      </c>
      <c r="BF236">
        <v>6424760</v>
      </c>
      <c r="BH236">
        <v>262900</v>
      </c>
      <c r="BI236">
        <v>441113</v>
      </c>
      <c r="BJ236">
        <v>11248279</v>
      </c>
      <c r="BK236">
        <v>1280517</v>
      </c>
      <c r="BL236">
        <v>8420430</v>
      </c>
      <c r="BM236">
        <v>5189116</v>
      </c>
      <c r="BN236">
        <v>3434217</v>
      </c>
      <c r="BO236">
        <v>2108281</v>
      </c>
      <c r="BP236">
        <v>40196</v>
      </c>
      <c r="BQ236">
        <v>1692200</v>
      </c>
      <c r="BS236">
        <v>1612406</v>
      </c>
      <c r="BT236">
        <v>1062203</v>
      </c>
      <c r="BV236">
        <v>3349212</v>
      </c>
    </row>
    <row r="237" spans="1:74" x14ac:dyDescent="0.3">
      <c r="A237" s="155">
        <v>647</v>
      </c>
      <c r="B237" t="s">
        <v>968</v>
      </c>
      <c r="D237">
        <v>0</v>
      </c>
      <c r="E237">
        <v>152863210</v>
      </c>
      <c r="G237">
        <v>0</v>
      </c>
      <c r="H237">
        <v>0</v>
      </c>
      <c r="I237">
        <v>0</v>
      </c>
      <c r="J237">
        <v>0</v>
      </c>
      <c r="K237">
        <v>0</v>
      </c>
      <c r="L237">
        <v>0</v>
      </c>
      <c r="M237">
        <v>0</v>
      </c>
      <c r="N237">
        <v>0</v>
      </c>
      <c r="O237">
        <v>0</v>
      </c>
      <c r="Q237">
        <v>0</v>
      </c>
      <c r="R237">
        <v>0</v>
      </c>
      <c r="S237">
        <v>0</v>
      </c>
      <c r="T237">
        <v>0</v>
      </c>
      <c r="U237">
        <v>0</v>
      </c>
      <c r="V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H237">
        <v>0</v>
      </c>
      <c r="BI237">
        <v>0</v>
      </c>
      <c r="BJ237">
        <v>0</v>
      </c>
      <c r="BK237">
        <v>0</v>
      </c>
      <c r="BL237">
        <v>0</v>
      </c>
      <c r="BM237">
        <v>0</v>
      </c>
      <c r="BN237">
        <v>0</v>
      </c>
      <c r="BO237">
        <v>0</v>
      </c>
      <c r="BP237">
        <v>0</v>
      </c>
      <c r="BQ237">
        <v>0</v>
      </c>
      <c r="BS237">
        <v>0</v>
      </c>
      <c r="BT237">
        <v>0</v>
      </c>
      <c r="BV237">
        <v>0</v>
      </c>
    </row>
    <row r="238" spans="1:74" x14ac:dyDescent="0.3">
      <c r="A238" s="155">
        <v>648</v>
      </c>
      <c r="B238" t="s">
        <v>608</v>
      </c>
      <c r="D238">
        <v>0.48</v>
      </c>
      <c r="E238">
        <v>0</v>
      </c>
      <c r="G238">
        <v>0.63</v>
      </c>
      <c r="H238">
        <v>0.4</v>
      </c>
      <c r="I238">
        <v>5.0000000000000001E-3</v>
      </c>
      <c r="J238">
        <v>0.16</v>
      </c>
      <c r="K238">
        <v>0</v>
      </c>
      <c r="L238">
        <v>0.64</v>
      </c>
      <c r="M238">
        <v>7.4000000000000003E-3</v>
      </c>
      <c r="N238">
        <v>1E-3</v>
      </c>
      <c r="O238">
        <v>0.55000000000000004</v>
      </c>
      <c r="Q238">
        <v>0.22</v>
      </c>
      <c r="R238">
        <v>0</v>
      </c>
      <c r="S238">
        <v>0.26</v>
      </c>
      <c r="T238">
        <v>0.65100000000000002</v>
      </c>
      <c r="U238">
        <v>0.74</v>
      </c>
      <c r="V238">
        <v>0.6</v>
      </c>
      <c r="X238">
        <v>0.57999999999999996</v>
      </c>
      <c r="Y238">
        <v>0.46</v>
      </c>
      <c r="Z238">
        <v>0.68500000000000005</v>
      </c>
      <c r="AA238">
        <v>0.46</v>
      </c>
      <c r="AB238">
        <v>0.35</v>
      </c>
      <c r="AC238">
        <v>0.82</v>
      </c>
      <c r="AD238">
        <v>0.75</v>
      </c>
      <c r="AE238">
        <v>0.65</v>
      </c>
      <c r="AF238">
        <v>0.44</v>
      </c>
      <c r="AG238">
        <v>0.79</v>
      </c>
      <c r="AH238">
        <v>0.67</v>
      </c>
      <c r="AI238">
        <v>2.5000000000000001E-3</v>
      </c>
      <c r="AJ238">
        <v>0.31</v>
      </c>
      <c r="AK238">
        <v>0.28000000000000003</v>
      </c>
      <c r="AL238">
        <v>0.12</v>
      </c>
      <c r="AM238">
        <v>0.54</v>
      </c>
      <c r="AN238">
        <v>0.3</v>
      </c>
      <c r="AO238">
        <v>0.71960000000000002</v>
      </c>
      <c r="AP238">
        <v>0.66500000000000004</v>
      </c>
      <c r="AQ238">
        <v>0.25</v>
      </c>
      <c r="AR238">
        <v>0.35</v>
      </c>
      <c r="AS238">
        <v>0.6</v>
      </c>
      <c r="AT238">
        <v>0.57999999999999996</v>
      </c>
      <c r="AU238">
        <v>0</v>
      </c>
      <c r="AV238">
        <v>0.78500000000000003</v>
      </c>
      <c r="AW238">
        <v>0</v>
      </c>
      <c r="AX238">
        <v>0.44</v>
      </c>
      <c r="AY238">
        <v>0.27500000000000002</v>
      </c>
      <c r="AZ238">
        <v>0.56999999999999995</v>
      </c>
      <c r="BA238">
        <v>0.51</v>
      </c>
      <c r="BB238">
        <v>0.54</v>
      </c>
      <c r="BC238">
        <v>0.35</v>
      </c>
      <c r="BD238">
        <v>0.35249999999999998</v>
      </c>
      <c r="BE238">
        <v>0.55000000000000004</v>
      </c>
      <c r="BF238">
        <v>0.52249999999999996</v>
      </c>
      <c r="BH238">
        <v>0.45</v>
      </c>
      <c r="BI238">
        <v>0.5</v>
      </c>
      <c r="BJ238">
        <v>0.56999999999999995</v>
      </c>
      <c r="BK238">
        <v>0</v>
      </c>
      <c r="BL238">
        <v>0.4</v>
      </c>
      <c r="BM238">
        <v>0.1958</v>
      </c>
      <c r="BN238">
        <v>0.29559999999999997</v>
      </c>
      <c r="BO238">
        <v>0.39</v>
      </c>
      <c r="BP238">
        <v>0.3</v>
      </c>
      <c r="BQ238">
        <v>0</v>
      </c>
      <c r="BS238">
        <v>0.59299999999999997</v>
      </c>
      <c r="BT238">
        <v>0</v>
      </c>
      <c r="BV238">
        <v>0.51</v>
      </c>
    </row>
    <row r="239" spans="1:74" x14ac:dyDescent="0.3">
      <c r="A239" s="155">
        <v>654</v>
      </c>
      <c r="B239" t="s">
        <v>416</v>
      </c>
      <c r="D239">
        <v>6757667</v>
      </c>
      <c r="E239">
        <v>516820273</v>
      </c>
      <c r="G239">
        <v>3746871</v>
      </c>
      <c r="H239">
        <v>1931771</v>
      </c>
      <c r="I239">
        <v>0</v>
      </c>
      <c r="J239">
        <v>0</v>
      </c>
      <c r="K239">
        <v>0</v>
      </c>
      <c r="L239">
        <v>813803</v>
      </c>
      <c r="M239">
        <v>13798887</v>
      </c>
      <c r="N239">
        <v>0</v>
      </c>
      <c r="O239">
        <v>505708</v>
      </c>
      <c r="Q239">
        <v>0</v>
      </c>
      <c r="R239">
        <v>0</v>
      </c>
      <c r="S239">
        <v>2374616</v>
      </c>
      <c r="T239">
        <v>0</v>
      </c>
      <c r="U239">
        <v>1739058</v>
      </c>
      <c r="V239">
        <v>594749</v>
      </c>
      <c r="X239">
        <v>3965896</v>
      </c>
      <c r="Y239">
        <v>0</v>
      </c>
      <c r="Z239">
        <v>21132447</v>
      </c>
      <c r="AA239">
        <v>0</v>
      </c>
      <c r="AB239">
        <v>125304</v>
      </c>
      <c r="AC239">
        <v>518734</v>
      </c>
      <c r="AD239">
        <v>954945</v>
      </c>
      <c r="AE239">
        <v>474359</v>
      </c>
      <c r="AF239">
        <v>371868</v>
      </c>
      <c r="AG239">
        <v>202592</v>
      </c>
      <c r="AH239">
        <v>7692565</v>
      </c>
      <c r="AI239">
        <v>0</v>
      </c>
      <c r="AJ239">
        <v>0</v>
      </c>
      <c r="AK239">
        <v>0</v>
      </c>
      <c r="AL239">
        <v>1021536</v>
      </c>
      <c r="AM239">
        <v>1040309</v>
      </c>
      <c r="AN239">
        <v>580736</v>
      </c>
      <c r="AO239">
        <v>56374413</v>
      </c>
      <c r="AP239">
        <v>906829</v>
      </c>
      <c r="AQ239">
        <v>0</v>
      </c>
      <c r="AR239">
        <v>75730</v>
      </c>
      <c r="AS239">
        <v>21712220</v>
      </c>
      <c r="AT239">
        <v>710628</v>
      </c>
      <c r="AU239">
        <v>5075103</v>
      </c>
      <c r="AV239">
        <v>357700</v>
      </c>
      <c r="AW239">
        <v>791011</v>
      </c>
      <c r="AX239">
        <v>0</v>
      </c>
      <c r="AY239">
        <v>15682</v>
      </c>
      <c r="AZ239">
        <v>4656203</v>
      </c>
      <c r="BA239">
        <v>364121</v>
      </c>
      <c r="BB239">
        <v>634172</v>
      </c>
      <c r="BC239">
        <v>581292</v>
      </c>
      <c r="BD239">
        <v>5889566</v>
      </c>
      <c r="BE239">
        <v>604913</v>
      </c>
      <c r="BF239">
        <v>13222853</v>
      </c>
      <c r="BH239">
        <v>0</v>
      </c>
      <c r="BI239">
        <v>801943</v>
      </c>
      <c r="BJ239">
        <v>14293299</v>
      </c>
      <c r="BK239">
        <v>1261544</v>
      </c>
      <c r="BL239">
        <v>17074968</v>
      </c>
      <c r="BM239">
        <v>0</v>
      </c>
      <c r="BN239">
        <v>4912599</v>
      </c>
      <c r="BO239">
        <v>1447106</v>
      </c>
      <c r="BP239">
        <v>0</v>
      </c>
      <c r="BQ239">
        <v>0</v>
      </c>
      <c r="BS239">
        <v>1631155</v>
      </c>
      <c r="BT239">
        <v>562558</v>
      </c>
      <c r="BV239">
        <v>522839</v>
      </c>
    </row>
    <row r="240" spans="1:74" x14ac:dyDescent="0.3">
      <c r="A240" s="155">
        <v>655</v>
      </c>
      <c r="B240" t="s">
        <v>969</v>
      </c>
      <c r="D240">
        <v>59611</v>
      </c>
      <c r="E240">
        <v>0</v>
      </c>
      <c r="G240">
        <v>0</v>
      </c>
      <c r="H240">
        <v>926226</v>
      </c>
      <c r="I240">
        <v>0</v>
      </c>
      <c r="J240">
        <v>0</v>
      </c>
      <c r="K240">
        <v>0</v>
      </c>
      <c r="L240">
        <v>86688</v>
      </c>
      <c r="M240">
        <v>2672160</v>
      </c>
      <c r="N240">
        <v>0</v>
      </c>
      <c r="O240">
        <v>22950</v>
      </c>
      <c r="Q240">
        <v>0</v>
      </c>
      <c r="R240">
        <v>0</v>
      </c>
      <c r="S240">
        <v>0</v>
      </c>
      <c r="T240">
        <v>0</v>
      </c>
      <c r="U240">
        <v>0</v>
      </c>
      <c r="V240">
        <v>71425</v>
      </c>
      <c r="X240">
        <v>0</v>
      </c>
      <c r="Y240">
        <v>0</v>
      </c>
      <c r="Z240">
        <v>1372500</v>
      </c>
      <c r="AA240">
        <v>0</v>
      </c>
      <c r="AB240">
        <v>13950</v>
      </c>
      <c r="AC240">
        <v>72137</v>
      </c>
      <c r="AD240">
        <v>174274</v>
      </c>
      <c r="AE240">
        <v>75797</v>
      </c>
      <c r="AF240">
        <v>71830</v>
      </c>
      <c r="AG240">
        <v>0</v>
      </c>
      <c r="AH240">
        <v>109971</v>
      </c>
      <c r="AI240">
        <v>0</v>
      </c>
      <c r="AJ240">
        <v>0</v>
      </c>
      <c r="AK240">
        <v>0</v>
      </c>
      <c r="AL240">
        <v>0</v>
      </c>
      <c r="AM240">
        <v>0</v>
      </c>
      <c r="AN240">
        <v>16090</v>
      </c>
      <c r="AO240">
        <v>20099282</v>
      </c>
      <c r="AP240">
        <v>105528</v>
      </c>
      <c r="AQ240">
        <v>0</v>
      </c>
      <c r="AR240">
        <v>16130</v>
      </c>
      <c r="AS240">
        <v>1095250</v>
      </c>
      <c r="AT240">
        <v>44337</v>
      </c>
      <c r="AU240">
        <v>92050</v>
      </c>
      <c r="AV240">
        <v>26065</v>
      </c>
      <c r="AW240">
        <v>0</v>
      </c>
      <c r="AX240">
        <v>0</v>
      </c>
      <c r="AY240">
        <v>0</v>
      </c>
      <c r="AZ240">
        <v>109209</v>
      </c>
      <c r="BA240">
        <v>0</v>
      </c>
      <c r="BB240">
        <v>2500</v>
      </c>
      <c r="BC240">
        <v>0</v>
      </c>
      <c r="BD240">
        <v>149435</v>
      </c>
      <c r="BE240">
        <v>115560</v>
      </c>
      <c r="BF240">
        <v>0</v>
      </c>
      <c r="BH240">
        <v>0</v>
      </c>
      <c r="BI240">
        <v>22102</v>
      </c>
      <c r="BJ240">
        <v>154780</v>
      </c>
      <c r="BK240">
        <v>118821</v>
      </c>
      <c r="BL240">
        <v>1251764</v>
      </c>
      <c r="BM240">
        <v>0</v>
      </c>
      <c r="BN240">
        <v>2285210</v>
      </c>
      <c r="BO240">
        <v>42317</v>
      </c>
      <c r="BP240">
        <v>0</v>
      </c>
      <c r="BQ240">
        <v>0</v>
      </c>
      <c r="BS240">
        <v>0</v>
      </c>
      <c r="BT240">
        <v>135762</v>
      </c>
      <c r="BV240">
        <v>54078</v>
      </c>
    </row>
    <row r="241" spans="1:74" x14ac:dyDescent="0.3">
      <c r="A241" s="155">
        <v>656</v>
      </c>
      <c r="B241" t="s">
        <v>422</v>
      </c>
      <c r="D241">
        <v>2</v>
      </c>
      <c r="E241">
        <v>1</v>
      </c>
      <c r="G241">
        <v>2</v>
      </c>
      <c r="H241">
        <v>2</v>
      </c>
      <c r="I241">
        <v>0</v>
      </c>
      <c r="J241">
        <v>0</v>
      </c>
      <c r="K241">
        <v>2</v>
      </c>
      <c r="L241">
        <v>2</v>
      </c>
      <c r="M241">
        <v>2</v>
      </c>
      <c r="N241">
        <v>0</v>
      </c>
      <c r="O241">
        <v>0</v>
      </c>
      <c r="Q241">
        <v>0</v>
      </c>
      <c r="R241">
        <v>0</v>
      </c>
      <c r="S241">
        <v>0</v>
      </c>
      <c r="T241">
        <v>0</v>
      </c>
      <c r="U241">
        <v>0</v>
      </c>
      <c r="V241">
        <v>2</v>
      </c>
      <c r="X241">
        <v>2</v>
      </c>
      <c r="Y241">
        <v>0</v>
      </c>
      <c r="Z241">
        <v>2</v>
      </c>
      <c r="AA241">
        <v>2</v>
      </c>
      <c r="AB241">
        <v>0</v>
      </c>
      <c r="AC241">
        <v>0</v>
      </c>
      <c r="AD241">
        <v>0</v>
      </c>
      <c r="AE241">
        <v>2</v>
      </c>
      <c r="AF241">
        <v>0</v>
      </c>
      <c r="AG241">
        <v>0</v>
      </c>
      <c r="AH241">
        <v>0</v>
      </c>
      <c r="AI241">
        <v>0</v>
      </c>
      <c r="AJ241">
        <v>2</v>
      </c>
      <c r="AK241">
        <v>0</v>
      </c>
      <c r="AL241">
        <v>0</v>
      </c>
      <c r="AM241">
        <v>2</v>
      </c>
      <c r="AN241">
        <v>0</v>
      </c>
      <c r="AO241">
        <v>0</v>
      </c>
      <c r="AP241">
        <v>0</v>
      </c>
      <c r="AQ241">
        <v>2</v>
      </c>
      <c r="AR241">
        <v>0</v>
      </c>
      <c r="AS241">
        <v>2</v>
      </c>
      <c r="AT241">
        <v>0</v>
      </c>
      <c r="AU241">
        <v>0</v>
      </c>
      <c r="AV241">
        <v>2</v>
      </c>
      <c r="AW241">
        <v>0</v>
      </c>
      <c r="AX241">
        <v>0</v>
      </c>
      <c r="AY241">
        <v>2</v>
      </c>
      <c r="AZ241">
        <v>2</v>
      </c>
      <c r="BA241">
        <v>2</v>
      </c>
      <c r="BB241">
        <v>2</v>
      </c>
      <c r="BC241">
        <v>0</v>
      </c>
      <c r="BD241">
        <v>0</v>
      </c>
      <c r="BE241">
        <v>2</v>
      </c>
      <c r="BF241">
        <v>2</v>
      </c>
      <c r="BH241">
        <v>2</v>
      </c>
      <c r="BI241">
        <v>0</v>
      </c>
      <c r="BJ241">
        <v>0</v>
      </c>
      <c r="BK241">
        <v>2</v>
      </c>
      <c r="BL241">
        <v>2</v>
      </c>
      <c r="BM241">
        <v>0</v>
      </c>
      <c r="BN241">
        <v>2</v>
      </c>
      <c r="BO241">
        <v>2</v>
      </c>
      <c r="BP241">
        <v>0</v>
      </c>
      <c r="BQ241">
        <v>0</v>
      </c>
      <c r="BS241">
        <v>2</v>
      </c>
      <c r="BT241">
        <v>2</v>
      </c>
      <c r="BV241">
        <v>2</v>
      </c>
    </row>
    <row r="242" spans="1:74" x14ac:dyDescent="0.3">
      <c r="A242" s="155">
        <v>657</v>
      </c>
      <c r="B242" t="s">
        <v>970</v>
      </c>
      <c r="D242">
        <v>0</v>
      </c>
      <c r="E242">
        <v>0</v>
      </c>
      <c r="G242">
        <v>0</v>
      </c>
      <c r="H242">
        <v>0</v>
      </c>
      <c r="I242">
        <v>0</v>
      </c>
      <c r="J242">
        <v>0</v>
      </c>
      <c r="K242">
        <v>0</v>
      </c>
      <c r="L242">
        <v>1926869</v>
      </c>
      <c r="M242">
        <v>0</v>
      </c>
      <c r="N242">
        <v>0</v>
      </c>
      <c r="O242">
        <v>0</v>
      </c>
      <c r="Q242">
        <v>0</v>
      </c>
      <c r="R242">
        <v>0</v>
      </c>
      <c r="S242">
        <v>0</v>
      </c>
      <c r="T242">
        <v>0</v>
      </c>
      <c r="U242">
        <v>0</v>
      </c>
      <c r="V242">
        <v>0</v>
      </c>
      <c r="X242">
        <v>0</v>
      </c>
      <c r="Y242">
        <v>0</v>
      </c>
      <c r="Z242">
        <v>57582327</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2377420</v>
      </c>
      <c r="AW242">
        <v>0</v>
      </c>
      <c r="AX242">
        <v>0</v>
      </c>
      <c r="AY242">
        <v>0</v>
      </c>
      <c r="AZ242">
        <v>3683217</v>
      </c>
      <c r="BA242">
        <v>0</v>
      </c>
      <c r="BB242">
        <v>0</v>
      </c>
      <c r="BC242">
        <v>0</v>
      </c>
      <c r="BD242">
        <v>0</v>
      </c>
      <c r="BE242">
        <v>2743547</v>
      </c>
      <c r="BF242">
        <v>15320081</v>
      </c>
      <c r="BH242">
        <v>0</v>
      </c>
      <c r="BI242">
        <v>0</v>
      </c>
      <c r="BJ242">
        <v>14456620</v>
      </c>
      <c r="BK242">
        <v>0</v>
      </c>
      <c r="BL242">
        <v>0</v>
      </c>
      <c r="BM242">
        <v>0</v>
      </c>
      <c r="BN242">
        <v>8323867</v>
      </c>
      <c r="BO242">
        <v>0</v>
      </c>
      <c r="BP242">
        <v>0</v>
      </c>
      <c r="BQ242">
        <v>0</v>
      </c>
      <c r="BS242">
        <v>0</v>
      </c>
      <c r="BT242">
        <v>0</v>
      </c>
      <c r="BV242">
        <v>0</v>
      </c>
    </row>
    <row r="243" spans="1:74" x14ac:dyDescent="0.3">
      <c r="A243" s="155">
        <v>658</v>
      </c>
      <c r="B243" t="s">
        <v>971</v>
      </c>
      <c r="D243">
        <v>0</v>
      </c>
      <c r="E243">
        <v>0</v>
      </c>
      <c r="G243">
        <v>0</v>
      </c>
      <c r="H243">
        <v>0</v>
      </c>
      <c r="I243">
        <v>0</v>
      </c>
      <c r="J243">
        <v>0</v>
      </c>
      <c r="K243">
        <v>0</v>
      </c>
      <c r="L243">
        <v>319865</v>
      </c>
      <c r="M243">
        <v>0</v>
      </c>
      <c r="N243">
        <v>0</v>
      </c>
      <c r="O243">
        <v>0</v>
      </c>
      <c r="Q243">
        <v>0</v>
      </c>
      <c r="R243">
        <v>0</v>
      </c>
      <c r="S243">
        <v>0</v>
      </c>
      <c r="T243">
        <v>0</v>
      </c>
      <c r="U243">
        <v>0</v>
      </c>
      <c r="V243">
        <v>0</v>
      </c>
      <c r="X243">
        <v>0</v>
      </c>
      <c r="Y243">
        <v>0</v>
      </c>
      <c r="Z243">
        <v>7654259</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80411</v>
      </c>
      <c r="AW243">
        <v>0</v>
      </c>
      <c r="AX243">
        <v>0</v>
      </c>
      <c r="AY243">
        <v>0</v>
      </c>
      <c r="AZ243">
        <v>9532</v>
      </c>
      <c r="BA243">
        <v>0</v>
      </c>
      <c r="BB243">
        <v>0</v>
      </c>
      <c r="BC243">
        <v>0</v>
      </c>
      <c r="BD243">
        <v>0</v>
      </c>
      <c r="BE243">
        <v>198907</v>
      </c>
      <c r="BF243">
        <v>0</v>
      </c>
      <c r="BH243">
        <v>0</v>
      </c>
      <c r="BI243">
        <v>0</v>
      </c>
      <c r="BJ243">
        <v>559941</v>
      </c>
      <c r="BK243">
        <v>0</v>
      </c>
      <c r="BL243">
        <v>0</v>
      </c>
      <c r="BM243">
        <v>0</v>
      </c>
      <c r="BN243">
        <v>126677</v>
      </c>
      <c r="BO243">
        <v>0</v>
      </c>
      <c r="BP243">
        <v>0</v>
      </c>
      <c r="BQ243">
        <v>0</v>
      </c>
      <c r="BS243">
        <v>0</v>
      </c>
      <c r="BT243">
        <v>0</v>
      </c>
      <c r="BV243">
        <v>0</v>
      </c>
    </row>
    <row r="244" spans="1:74" x14ac:dyDescent="0.3">
      <c r="A244" s="155">
        <v>659</v>
      </c>
      <c r="B244" t="s">
        <v>972</v>
      </c>
      <c r="D244">
        <v>3046188</v>
      </c>
      <c r="E244">
        <v>260364370</v>
      </c>
      <c r="G244">
        <v>1736959</v>
      </c>
      <c r="H244">
        <v>0</v>
      </c>
      <c r="I244">
        <v>0</v>
      </c>
      <c r="J244">
        <v>0</v>
      </c>
      <c r="K244">
        <v>0</v>
      </c>
      <c r="L244">
        <v>2680972</v>
      </c>
      <c r="M244">
        <v>7874920</v>
      </c>
      <c r="N244">
        <v>0</v>
      </c>
      <c r="O244">
        <v>0</v>
      </c>
      <c r="Q244">
        <v>0</v>
      </c>
      <c r="R244">
        <v>0</v>
      </c>
      <c r="S244">
        <v>0</v>
      </c>
      <c r="T244">
        <v>6379708</v>
      </c>
      <c r="U244">
        <v>0</v>
      </c>
      <c r="V244">
        <v>0</v>
      </c>
      <c r="X244">
        <v>4332381</v>
      </c>
      <c r="Y244">
        <v>0</v>
      </c>
      <c r="Z244">
        <v>43720660</v>
      </c>
      <c r="AA244">
        <v>1932550</v>
      </c>
      <c r="AB244">
        <v>0</v>
      </c>
      <c r="AC244">
        <v>0</v>
      </c>
      <c r="AD244">
        <v>566039</v>
      </c>
      <c r="AE244">
        <v>0</v>
      </c>
      <c r="AF244">
        <v>0</v>
      </c>
      <c r="AG244">
        <v>0</v>
      </c>
      <c r="AH244">
        <v>575019</v>
      </c>
      <c r="AI244">
        <v>0</v>
      </c>
      <c r="AJ244">
        <v>1562736</v>
      </c>
      <c r="AK244">
        <v>0</v>
      </c>
      <c r="AL244">
        <v>0</v>
      </c>
      <c r="AM244">
        <v>0</v>
      </c>
      <c r="AN244">
        <v>0</v>
      </c>
      <c r="AO244">
        <v>11571548</v>
      </c>
      <c r="AP244">
        <v>0</v>
      </c>
      <c r="AQ244">
        <v>0</v>
      </c>
      <c r="AR244">
        <v>0</v>
      </c>
      <c r="AS244">
        <v>61452463</v>
      </c>
      <c r="AT244">
        <v>0</v>
      </c>
      <c r="AU244">
        <v>0</v>
      </c>
      <c r="AV244">
        <v>0</v>
      </c>
      <c r="AW244">
        <v>0</v>
      </c>
      <c r="AX244">
        <v>0</v>
      </c>
      <c r="AY244">
        <v>0</v>
      </c>
      <c r="AZ244">
        <v>8301339</v>
      </c>
      <c r="BA244">
        <v>0</v>
      </c>
      <c r="BB244">
        <v>0</v>
      </c>
      <c r="BC244">
        <v>0</v>
      </c>
      <c r="BD244">
        <v>305864</v>
      </c>
      <c r="BE244">
        <v>0</v>
      </c>
      <c r="BF244">
        <v>18818304</v>
      </c>
      <c r="BH244">
        <v>0</v>
      </c>
      <c r="BI244">
        <v>0</v>
      </c>
      <c r="BJ244">
        <v>13853620</v>
      </c>
      <c r="BK244">
        <v>0</v>
      </c>
      <c r="BL244">
        <v>0</v>
      </c>
      <c r="BM244">
        <v>1640367</v>
      </c>
      <c r="BN244">
        <v>5644453</v>
      </c>
      <c r="BO244">
        <v>0</v>
      </c>
      <c r="BP244">
        <v>0</v>
      </c>
      <c r="BQ244">
        <v>0</v>
      </c>
      <c r="BS244">
        <v>2270762</v>
      </c>
      <c r="BT244">
        <v>0</v>
      </c>
      <c r="BV244">
        <v>0</v>
      </c>
    </row>
    <row r="245" spans="1:74" x14ac:dyDescent="0.3">
      <c r="A245" s="155">
        <v>660</v>
      </c>
      <c r="B245" t="s">
        <v>973</v>
      </c>
      <c r="D245">
        <v>0</v>
      </c>
      <c r="E245">
        <v>70430272</v>
      </c>
      <c r="G245">
        <v>0</v>
      </c>
      <c r="H245">
        <v>0</v>
      </c>
      <c r="I245">
        <v>0</v>
      </c>
      <c r="J245">
        <v>0</v>
      </c>
      <c r="K245">
        <v>0</v>
      </c>
      <c r="L245">
        <v>0</v>
      </c>
      <c r="M245">
        <v>0</v>
      </c>
      <c r="N245">
        <v>0</v>
      </c>
      <c r="O245">
        <v>0</v>
      </c>
      <c r="Q245">
        <v>0</v>
      </c>
      <c r="R245">
        <v>0</v>
      </c>
      <c r="S245">
        <v>0</v>
      </c>
      <c r="T245">
        <v>0</v>
      </c>
      <c r="U245">
        <v>0</v>
      </c>
      <c r="V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4223505</v>
      </c>
      <c r="AT245">
        <v>0</v>
      </c>
      <c r="AU245">
        <v>0</v>
      </c>
      <c r="AV245">
        <v>0</v>
      </c>
      <c r="AW245">
        <v>0</v>
      </c>
      <c r="AX245">
        <v>0</v>
      </c>
      <c r="AY245">
        <v>0</v>
      </c>
      <c r="AZ245">
        <v>0</v>
      </c>
      <c r="BA245">
        <v>0</v>
      </c>
      <c r="BB245">
        <v>0</v>
      </c>
      <c r="BC245">
        <v>0</v>
      </c>
      <c r="BD245">
        <v>0</v>
      </c>
      <c r="BE245">
        <v>0</v>
      </c>
      <c r="BF245">
        <v>0</v>
      </c>
      <c r="BH245">
        <v>0</v>
      </c>
      <c r="BI245">
        <v>0</v>
      </c>
      <c r="BJ245">
        <v>0</v>
      </c>
      <c r="BK245">
        <v>0</v>
      </c>
      <c r="BL245">
        <v>0</v>
      </c>
      <c r="BM245">
        <v>0</v>
      </c>
      <c r="BN245">
        <v>0</v>
      </c>
      <c r="BO245">
        <v>0</v>
      </c>
      <c r="BP245">
        <v>0</v>
      </c>
      <c r="BQ245">
        <v>0</v>
      </c>
      <c r="BS245">
        <v>0</v>
      </c>
      <c r="BT245">
        <v>0</v>
      </c>
      <c r="BV245">
        <v>0</v>
      </c>
    </row>
    <row r="246" spans="1:74" x14ac:dyDescent="0.3">
      <c r="A246" s="155">
        <v>661</v>
      </c>
      <c r="B246" t="s">
        <v>421</v>
      </c>
      <c r="D246">
        <v>0</v>
      </c>
      <c r="E246">
        <v>27.1</v>
      </c>
      <c r="G246">
        <v>0</v>
      </c>
      <c r="H246">
        <v>0</v>
      </c>
      <c r="I246">
        <v>0</v>
      </c>
      <c r="J246">
        <v>0</v>
      </c>
      <c r="K246">
        <v>0</v>
      </c>
      <c r="L246">
        <v>0</v>
      </c>
      <c r="M246">
        <v>0</v>
      </c>
      <c r="N246">
        <v>0</v>
      </c>
      <c r="O246">
        <v>0</v>
      </c>
      <c r="Q246">
        <v>0</v>
      </c>
      <c r="R246">
        <v>0</v>
      </c>
      <c r="S246">
        <v>0</v>
      </c>
      <c r="T246">
        <v>0</v>
      </c>
      <c r="U246">
        <v>0</v>
      </c>
      <c r="V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6.9</v>
      </c>
      <c r="AT246">
        <v>0</v>
      </c>
      <c r="AU246">
        <v>0</v>
      </c>
      <c r="AV246">
        <v>0</v>
      </c>
      <c r="AW246">
        <v>0</v>
      </c>
      <c r="AX246">
        <v>0</v>
      </c>
      <c r="AY246">
        <v>0</v>
      </c>
      <c r="AZ246">
        <v>0</v>
      </c>
      <c r="BA246">
        <v>0</v>
      </c>
      <c r="BB246">
        <v>0</v>
      </c>
      <c r="BC246">
        <v>0</v>
      </c>
      <c r="BD246">
        <v>0</v>
      </c>
      <c r="BE246">
        <v>0</v>
      </c>
      <c r="BF246">
        <v>0</v>
      </c>
      <c r="BH246">
        <v>0</v>
      </c>
      <c r="BI246">
        <v>0</v>
      </c>
      <c r="BJ246">
        <v>0</v>
      </c>
      <c r="BK246">
        <v>0</v>
      </c>
      <c r="BL246">
        <v>0</v>
      </c>
      <c r="BM246">
        <v>0</v>
      </c>
      <c r="BN246">
        <v>0</v>
      </c>
      <c r="BO246">
        <v>0</v>
      </c>
      <c r="BP246">
        <v>0</v>
      </c>
      <c r="BQ246">
        <v>0</v>
      </c>
      <c r="BS246">
        <v>0</v>
      </c>
      <c r="BT246">
        <v>0</v>
      </c>
      <c r="BV246">
        <v>0</v>
      </c>
    </row>
    <row r="247" spans="1:74" x14ac:dyDescent="0.3">
      <c r="A247" s="155">
        <v>662</v>
      </c>
      <c r="B247" t="s">
        <v>451</v>
      </c>
      <c r="D247">
        <v>167833</v>
      </c>
      <c r="E247">
        <v>14778211</v>
      </c>
      <c r="L247">
        <v>0</v>
      </c>
      <c r="M247">
        <v>333105</v>
      </c>
      <c r="U247">
        <v>0</v>
      </c>
      <c r="Z247">
        <v>665162</v>
      </c>
      <c r="AH247">
        <v>0</v>
      </c>
      <c r="AO247">
        <v>716454</v>
      </c>
      <c r="AP247">
        <v>51098</v>
      </c>
      <c r="AS247">
        <v>476324</v>
      </c>
      <c r="AT247">
        <v>12638</v>
      </c>
      <c r="AW247">
        <v>23511</v>
      </c>
      <c r="BF247">
        <v>533602</v>
      </c>
      <c r="BJ247">
        <v>421535</v>
      </c>
      <c r="BN247">
        <v>33172</v>
      </c>
      <c r="BO247">
        <v>161837</v>
      </c>
    </row>
    <row r="248" spans="1:74" x14ac:dyDescent="0.3">
      <c r="A248" s="155">
        <v>663</v>
      </c>
      <c r="B248" t="s">
        <v>974</v>
      </c>
      <c r="D248">
        <v>0</v>
      </c>
      <c r="E248">
        <v>2217122</v>
      </c>
      <c r="L248">
        <v>112242</v>
      </c>
      <c r="M248">
        <v>0</v>
      </c>
      <c r="U248">
        <v>0</v>
      </c>
      <c r="Z248">
        <v>0</v>
      </c>
      <c r="AH248">
        <v>0</v>
      </c>
      <c r="AO248">
        <v>0</v>
      </c>
      <c r="AP248">
        <v>0</v>
      </c>
      <c r="AS248">
        <v>0</v>
      </c>
      <c r="AT248">
        <v>0</v>
      </c>
      <c r="AW248">
        <v>0</v>
      </c>
      <c r="BF248">
        <v>0</v>
      </c>
      <c r="BJ248">
        <v>0</v>
      </c>
      <c r="BN248">
        <v>0</v>
      </c>
      <c r="BO248">
        <v>0</v>
      </c>
    </row>
    <row r="249" spans="1:74" x14ac:dyDescent="0.3">
      <c r="A249" s="155">
        <v>906</v>
      </c>
      <c r="B249" t="s">
        <v>975</v>
      </c>
      <c r="D249">
        <v>1</v>
      </c>
      <c r="E249">
        <v>1</v>
      </c>
      <c r="G249">
        <v>1</v>
      </c>
      <c r="H249">
        <v>1</v>
      </c>
      <c r="I249">
        <v>1</v>
      </c>
      <c r="J249">
        <v>1</v>
      </c>
      <c r="K249">
        <v>1</v>
      </c>
      <c r="L249">
        <v>1</v>
      </c>
      <c r="M249">
        <v>1</v>
      </c>
      <c r="N249">
        <v>1</v>
      </c>
      <c r="O249">
        <v>1</v>
      </c>
      <c r="Q249">
        <v>1</v>
      </c>
      <c r="R249">
        <v>1</v>
      </c>
      <c r="S249">
        <v>1</v>
      </c>
      <c r="T249">
        <v>1</v>
      </c>
      <c r="U249">
        <v>1</v>
      </c>
      <c r="V249">
        <v>1</v>
      </c>
      <c r="X249">
        <v>1</v>
      </c>
      <c r="Y249">
        <v>1</v>
      </c>
      <c r="Z249">
        <v>1</v>
      </c>
      <c r="AA249">
        <v>1</v>
      </c>
      <c r="AB249">
        <v>1</v>
      </c>
      <c r="AC249">
        <v>1</v>
      </c>
      <c r="AD249">
        <v>1</v>
      </c>
      <c r="AE249">
        <v>1</v>
      </c>
      <c r="AF249">
        <v>1</v>
      </c>
      <c r="AG249">
        <v>1</v>
      </c>
      <c r="AH249">
        <v>1</v>
      </c>
      <c r="AI249">
        <v>1</v>
      </c>
      <c r="AJ249">
        <v>1</v>
      </c>
      <c r="AK249">
        <v>1</v>
      </c>
      <c r="AL249">
        <v>1</v>
      </c>
      <c r="AM249">
        <v>1</v>
      </c>
      <c r="AN249">
        <v>1</v>
      </c>
      <c r="AO249">
        <v>1</v>
      </c>
      <c r="AP249">
        <v>1</v>
      </c>
      <c r="AQ249">
        <v>1</v>
      </c>
      <c r="AR249">
        <v>1</v>
      </c>
      <c r="AS249">
        <v>1</v>
      </c>
      <c r="AT249">
        <v>1</v>
      </c>
      <c r="AU249">
        <v>1</v>
      </c>
      <c r="AV249">
        <v>1</v>
      </c>
      <c r="AW249">
        <v>1</v>
      </c>
      <c r="AX249">
        <v>1</v>
      </c>
      <c r="AY249">
        <v>1</v>
      </c>
      <c r="AZ249">
        <v>1</v>
      </c>
      <c r="BA249">
        <v>1</v>
      </c>
      <c r="BB249">
        <v>1</v>
      </c>
      <c r="BC249">
        <v>1</v>
      </c>
      <c r="BD249">
        <v>1</v>
      </c>
      <c r="BE249">
        <v>1</v>
      </c>
      <c r="BF249">
        <v>1</v>
      </c>
      <c r="BH249">
        <v>1</v>
      </c>
      <c r="BI249">
        <v>1</v>
      </c>
      <c r="BJ249">
        <v>1</v>
      </c>
      <c r="BK249">
        <v>1</v>
      </c>
      <c r="BL249">
        <v>1</v>
      </c>
      <c r="BM249">
        <v>1</v>
      </c>
      <c r="BN249">
        <v>1</v>
      </c>
      <c r="BO249">
        <v>1</v>
      </c>
      <c r="BP249">
        <v>1</v>
      </c>
      <c r="BQ249">
        <v>1</v>
      </c>
      <c r="BS249">
        <v>1</v>
      </c>
      <c r="BT249">
        <v>1</v>
      </c>
      <c r="BV249">
        <v>1</v>
      </c>
    </row>
    <row r="250" spans="1:74" x14ac:dyDescent="0.3">
      <c r="A250" s="155">
        <v>907</v>
      </c>
      <c r="B250" t="s">
        <v>976</v>
      </c>
      <c r="D250">
        <v>1</v>
      </c>
      <c r="E250">
        <v>2</v>
      </c>
      <c r="G250">
        <v>2</v>
      </c>
      <c r="H250">
        <v>2</v>
      </c>
      <c r="I250">
        <v>1</v>
      </c>
      <c r="J250">
        <v>2</v>
      </c>
      <c r="K250">
        <v>2</v>
      </c>
      <c r="L250">
        <v>2</v>
      </c>
      <c r="M250">
        <v>2</v>
      </c>
      <c r="N250">
        <v>1</v>
      </c>
      <c r="O250">
        <v>2</v>
      </c>
      <c r="Q250">
        <v>1</v>
      </c>
      <c r="R250">
        <v>1</v>
      </c>
      <c r="S250">
        <v>2</v>
      </c>
      <c r="T250">
        <v>2</v>
      </c>
      <c r="U250">
        <v>2</v>
      </c>
      <c r="V250">
        <v>1</v>
      </c>
      <c r="X250">
        <v>2</v>
      </c>
      <c r="Y250">
        <v>2</v>
      </c>
      <c r="Z250">
        <v>2</v>
      </c>
      <c r="AA250">
        <v>2</v>
      </c>
      <c r="AB250">
        <v>2</v>
      </c>
      <c r="AC250">
        <v>2</v>
      </c>
      <c r="AD250">
        <v>2</v>
      </c>
      <c r="AE250">
        <v>1</v>
      </c>
      <c r="AF250">
        <v>2</v>
      </c>
      <c r="AG250">
        <v>2</v>
      </c>
      <c r="AH250">
        <v>2</v>
      </c>
      <c r="AI250">
        <v>1</v>
      </c>
      <c r="AJ250">
        <v>1</v>
      </c>
      <c r="AK250">
        <v>1</v>
      </c>
      <c r="AL250">
        <v>2</v>
      </c>
      <c r="AM250">
        <v>1</v>
      </c>
      <c r="AN250">
        <v>1</v>
      </c>
      <c r="AO250">
        <v>2</v>
      </c>
      <c r="AP250">
        <v>1</v>
      </c>
      <c r="AQ250">
        <v>2</v>
      </c>
      <c r="AR250">
        <v>1</v>
      </c>
      <c r="AS250">
        <v>2</v>
      </c>
      <c r="AT250">
        <v>1</v>
      </c>
      <c r="AU250">
        <v>1</v>
      </c>
      <c r="AV250">
        <v>2</v>
      </c>
      <c r="AW250">
        <v>1</v>
      </c>
      <c r="AX250">
        <v>2</v>
      </c>
      <c r="AY250">
        <v>1</v>
      </c>
      <c r="AZ250">
        <v>2</v>
      </c>
      <c r="BA250">
        <v>2</v>
      </c>
      <c r="BB250">
        <v>1</v>
      </c>
      <c r="BC250">
        <v>1</v>
      </c>
      <c r="BD250">
        <v>2</v>
      </c>
      <c r="BE250">
        <v>1</v>
      </c>
      <c r="BF250">
        <v>2</v>
      </c>
      <c r="BH250">
        <v>1</v>
      </c>
      <c r="BI250">
        <v>1</v>
      </c>
      <c r="BJ250">
        <v>2</v>
      </c>
      <c r="BK250">
        <v>1</v>
      </c>
      <c r="BL250">
        <v>2</v>
      </c>
      <c r="BM250">
        <v>2</v>
      </c>
      <c r="BN250">
        <v>2</v>
      </c>
      <c r="BO250">
        <v>1</v>
      </c>
      <c r="BP250">
        <v>2</v>
      </c>
      <c r="BQ250">
        <v>1</v>
      </c>
      <c r="BS250">
        <v>2</v>
      </c>
      <c r="BT250">
        <v>1</v>
      </c>
      <c r="BV250">
        <v>2</v>
      </c>
    </row>
    <row r="251" spans="1:74" x14ac:dyDescent="0.3">
      <c r="A251" s="155">
        <v>947</v>
      </c>
      <c r="B251" t="s">
        <v>977</v>
      </c>
      <c r="D251" t="s">
        <v>2071</v>
      </c>
      <c r="E251" t="s">
        <v>2072</v>
      </c>
      <c r="G251" t="s">
        <v>2010</v>
      </c>
      <c r="H251" t="s">
        <v>2073</v>
      </c>
      <c r="I251" t="s">
        <v>2021</v>
      </c>
      <c r="J251" t="s">
        <v>2074</v>
      </c>
      <c r="K251" t="s">
        <v>2075</v>
      </c>
      <c r="L251" t="s">
        <v>1998</v>
      </c>
      <c r="M251" t="s">
        <v>2076</v>
      </c>
      <c r="N251" t="s">
        <v>2077</v>
      </c>
      <c r="O251" t="s">
        <v>2078</v>
      </c>
      <c r="Q251" t="s">
        <v>2020</v>
      </c>
      <c r="R251" t="s">
        <v>2079</v>
      </c>
      <c r="S251" t="s">
        <v>2080</v>
      </c>
      <c r="T251" t="s">
        <v>2081</v>
      </c>
      <c r="U251" t="s">
        <v>2082</v>
      </c>
      <c r="V251" t="s">
        <v>2083</v>
      </c>
      <c r="X251" t="s">
        <v>2084</v>
      </c>
      <c r="Y251" t="s">
        <v>2085</v>
      </c>
      <c r="Z251" t="s">
        <v>2086</v>
      </c>
      <c r="AA251" t="s">
        <v>978</v>
      </c>
      <c r="AB251" t="s">
        <v>2087</v>
      </c>
      <c r="AC251" t="s">
        <v>2088</v>
      </c>
      <c r="AD251" t="s">
        <v>2000</v>
      </c>
      <c r="AE251" t="s">
        <v>2089</v>
      </c>
      <c r="AF251" t="s">
        <v>432</v>
      </c>
      <c r="AG251" t="s">
        <v>2090</v>
      </c>
      <c r="AH251" t="s">
        <v>2091</v>
      </c>
      <c r="AI251" t="s">
        <v>2092</v>
      </c>
      <c r="AJ251" t="s">
        <v>1091</v>
      </c>
      <c r="AK251" t="s">
        <v>2093</v>
      </c>
      <c r="AL251" t="s">
        <v>2022</v>
      </c>
      <c r="AM251" t="s">
        <v>2083</v>
      </c>
      <c r="AN251" t="s">
        <v>2094</v>
      </c>
      <c r="AO251" t="s">
        <v>1091</v>
      </c>
      <c r="AP251" t="s">
        <v>2023</v>
      </c>
      <c r="AQ251" t="s">
        <v>2095</v>
      </c>
      <c r="AR251" t="s">
        <v>2039</v>
      </c>
      <c r="AS251" t="s">
        <v>2057</v>
      </c>
      <c r="AT251" t="s">
        <v>2096</v>
      </c>
      <c r="AU251" t="s">
        <v>2097</v>
      </c>
      <c r="AV251" t="s">
        <v>2038</v>
      </c>
      <c r="AW251" t="s">
        <v>2098</v>
      </c>
      <c r="AX251" t="s">
        <v>2099</v>
      </c>
      <c r="AY251" t="s">
        <v>2100</v>
      </c>
      <c r="AZ251" t="s">
        <v>2101</v>
      </c>
      <c r="BA251" t="s">
        <v>2102</v>
      </c>
      <c r="BB251" t="s">
        <v>2103</v>
      </c>
      <c r="BC251" t="s">
        <v>2104</v>
      </c>
      <c r="BD251" t="s">
        <v>2105</v>
      </c>
      <c r="BE251" t="s">
        <v>2106</v>
      </c>
      <c r="BF251" t="s">
        <v>2057</v>
      </c>
      <c r="BH251" t="s">
        <v>979</v>
      </c>
      <c r="BI251" t="s">
        <v>2101</v>
      </c>
      <c r="BJ251" t="s">
        <v>2107</v>
      </c>
      <c r="BK251" t="s">
        <v>2108</v>
      </c>
      <c r="BL251" t="s">
        <v>2109</v>
      </c>
      <c r="BM251" t="s">
        <v>2110</v>
      </c>
      <c r="BN251" t="s">
        <v>2111</v>
      </c>
      <c r="BO251" t="s">
        <v>2112</v>
      </c>
      <c r="BP251" t="s">
        <v>2113</v>
      </c>
      <c r="BQ251" t="s">
        <v>2114</v>
      </c>
      <c r="BS251" t="s">
        <v>2115</v>
      </c>
      <c r="BT251" t="s">
        <v>2116</v>
      </c>
      <c r="BV251" t="s">
        <v>2010</v>
      </c>
    </row>
    <row r="252" spans="1:74" x14ac:dyDescent="0.3">
      <c r="A252" s="155">
        <v>948</v>
      </c>
      <c r="B252" t="s">
        <v>980</v>
      </c>
      <c r="D252" t="s">
        <v>2117</v>
      </c>
      <c r="E252" t="s">
        <v>2118</v>
      </c>
      <c r="G252" t="s">
        <v>2119</v>
      </c>
      <c r="H252" t="s">
        <v>2120</v>
      </c>
      <c r="I252" t="s">
        <v>2121</v>
      </c>
      <c r="J252" t="s">
        <v>2122</v>
      </c>
      <c r="K252" t="s">
        <v>2123</v>
      </c>
      <c r="L252" t="s">
        <v>2124</v>
      </c>
      <c r="M252" t="s">
        <v>2125</v>
      </c>
      <c r="N252" t="s">
        <v>2126</v>
      </c>
      <c r="O252" t="s">
        <v>2127</v>
      </c>
      <c r="Q252" t="s">
        <v>2042</v>
      </c>
      <c r="R252" t="s">
        <v>2128</v>
      </c>
      <c r="S252" t="s">
        <v>2129</v>
      </c>
      <c r="T252" t="s">
        <v>2130</v>
      </c>
      <c r="U252" t="s">
        <v>2131</v>
      </c>
      <c r="V252" t="s">
        <v>1106</v>
      </c>
      <c r="X252" t="s">
        <v>2132</v>
      </c>
      <c r="Y252" t="s">
        <v>1253</v>
      </c>
      <c r="Z252" t="s">
        <v>2133</v>
      </c>
      <c r="AA252" t="s">
        <v>2134</v>
      </c>
      <c r="AB252" t="s">
        <v>2135</v>
      </c>
      <c r="AC252" t="s">
        <v>2136</v>
      </c>
      <c r="AD252" t="s">
        <v>2137</v>
      </c>
      <c r="AE252" t="s">
        <v>437</v>
      </c>
      <c r="AF252" t="s">
        <v>432</v>
      </c>
      <c r="AG252" t="s">
        <v>2138</v>
      </c>
      <c r="AH252" t="s">
        <v>2139</v>
      </c>
      <c r="AI252" t="s">
        <v>2140</v>
      </c>
      <c r="AJ252" t="s">
        <v>2141</v>
      </c>
      <c r="AK252" t="s">
        <v>2142</v>
      </c>
      <c r="AL252" t="s">
        <v>2143</v>
      </c>
      <c r="AM252" t="s">
        <v>2144</v>
      </c>
      <c r="AN252" t="s">
        <v>2145</v>
      </c>
      <c r="AO252" t="s">
        <v>2146</v>
      </c>
      <c r="AP252" t="s">
        <v>2147</v>
      </c>
      <c r="AQ252" t="s">
        <v>2148</v>
      </c>
      <c r="AR252" t="s">
        <v>2041</v>
      </c>
      <c r="AS252" t="s">
        <v>2149</v>
      </c>
      <c r="AT252" t="s">
        <v>1117</v>
      </c>
      <c r="AU252" t="s">
        <v>2150</v>
      </c>
      <c r="AV252" t="s">
        <v>2151</v>
      </c>
      <c r="AW252" t="s">
        <v>2043</v>
      </c>
      <c r="AX252" t="s">
        <v>2152</v>
      </c>
      <c r="AY252" t="s">
        <v>2153</v>
      </c>
      <c r="AZ252" t="s">
        <v>2154</v>
      </c>
      <c r="BA252" t="s">
        <v>2155</v>
      </c>
      <c r="BB252" t="s">
        <v>2156</v>
      </c>
      <c r="BC252" t="s">
        <v>2157</v>
      </c>
      <c r="BD252" t="s">
        <v>2158</v>
      </c>
      <c r="BE252" t="s">
        <v>2159</v>
      </c>
      <c r="BF252" t="s">
        <v>2160</v>
      </c>
      <c r="BH252" t="s">
        <v>2161</v>
      </c>
      <c r="BI252" t="s">
        <v>2162</v>
      </c>
      <c r="BJ252" t="s">
        <v>2163</v>
      </c>
      <c r="BK252" t="s">
        <v>2164</v>
      </c>
      <c r="BL252" t="s">
        <v>2165</v>
      </c>
      <c r="BM252" t="s">
        <v>2166</v>
      </c>
      <c r="BN252" t="s">
        <v>2167</v>
      </c>
      <c r="BO252" t="s">
        <v>2168</v>
      </c>
      <c r="BP252" t="s">
        <v>1266</v>
      </c>
      <c r="BQ252" t="s">
        <v>2169</v>
      </c>
      <c r="BS252" t="s">
        <v>2170</v>
      </c>
      <c r="BT252" t="s">
        <v>2171</v>
      </c>
      <c r="BV252" t="s">
        <v>2121</v>
      </c>
    </row>
    <row r="253" spans="1:74" x14ac:dyDescent="0.3">
      <c r="A253" s="155">
        <v>949</v>
      </c>
      <c r="B253" t="s">
        <v>981</v>
      </c>
      <c r="D253" t="s">
        <v>413</v>
      </c>
      <c r="E253" t="s">
        <v>413</v>
      </c>
      <c r="G253" t="s">
        <v>413</v>
      </c>
      <c r="H253" t="s">
        <v>413</v>
      </c>
      <c r="I253" t="s">
        <v>413</v>
      </c>
      <c r="J253" t="s">
        <v>413</v>
      </c>
      <c r="K253" t="s">
        <v>413</v>
      </c>
      <c r="L253" t="s">
        <v>413</v>
      </c>
      <c r="M253" t="s">
        <v>413</v>
      </c>
      <c r="N253" t="s">
        <v>413</v>
      </c>
      <c r="O253" t="s">
        <v>413</v>
      </c>
      <c r="Q253" t="s">
        <v>413</v>
      </c>
      <c r="R253" t="s">
        <v>413</v>
      </c>
      <c r="S253" t="s">
        <v>413</v>
      </c>
      <c r="T253" t="s">
        <v>413</v>
      </c>
      <c r="U253" t="s">
        <v>413</v>
      </c>
      <c r="V253" t="s">
        <v>413</v>
      </c>
      <c r="X253" t="s">
        <v>413</v>
      </c>
      <c r="Y253" t="s">
        <v>413</v>
      </c>
      <c r="Z253" t="s">
        <v>431</v>
      </c>
      <c r="AA253" t="s">
        <v>413</v>
      </c>
      <c r="AB253" t="s">
        <v>413</v>
      </c>
      <c r="AC253" t="s">
        <v>413</v>
      </c>
      <c r="AD253" t="s">
        <v>413</v>
      </c>
      <c r="AE253" t="s">
        <v>413</v>
      </c>
      <c r="AF253" t="s">
        <v>432</v>
      </c>
      <c r="AG253" t="s">
        <v>413</v>
      </c>
      <c r="AH253" t="s">
        <v>1978</v>
      </c>
      <c r="AI253" t="s">
        <v>413</v>
      </c>
      <c r="AJ253" t="s">
        <v>413</v>
      </c>
      <c r="AK253" t="s">
        <v>413</v>
      </c>
      <c r="AL253" t="s">
        <v>413</v>
      </c>
      <c r="AM253" t="s">
        <v>413</v>
      </c>
      <c r="AN253" t="s">
        <v>413</v>
      </c>
      <c r="AO253" t="s">
        <v>413</v>
      </c>
      <c r="AP253" t="s">
        <v>413</v>
      </c>
      <c r="AQ253" t="s">
        <v>431</v>
      </c>
      <c r="AR253" t="s">
        <v>413</v>
      </c>
      <c r="AS253" t="s">
        <v>413</v>
      </c>
      <c r="AT253" t="s">
        <v>413</v>
      </c>
      <c r="AU253" t="s">
        <v>413</v>
      </c>
      <c r="AV253" t="s">
        <v>413</v>
      </c>
      <c r="AW253" t="s">
        <v>413</v>
      </c>
      <c r="AX253" t="s">
        <v>413</v>
      </c>
      <c r="AY253" t="s">
        <v>413</v>
      </c>
      <c r="AZ253" t="s">
        <v>413</v>
      </c>
      <c r="BA253" t="s">
        <v>413</v>
      </c>
      <c r="BB253" t="s">
        <v>413</v>
      </c>
      <c r="BC253" t="s">
        <v>413</v>
      </c>
      <c r="BD253" t="s">
        <v>413</v>
      </c>
      <c r="BE253" t="s">
        <v>413</v>
      </c>
      <c r="BF253" t="s">
        <v>413</v>
      </c>
      <c r="BH253" t="s">
        <v>413</v>
      </c>
      <c r="BI253" t="s">
        <v>413</v>
      </c>
      <c r="BJ253" t="s">
        <v>413</v>
      </c>
      <c r="BK253" t="s">
        <v>413</v>
      </c>
      <c r="BL253" t="s">
        <v>413</v>
      </c>
      <c r="BM253" t="s">
        <v>413</v>
      </c>
      <c r="BN253" t="s">
        <v>413</v>
      </c>
      <c r="BO253" t="s">
        <v>413</v>
      </c>
      <c r="BP253" t="s">
        <v>413</v>
      </c>
      <c r="BQ253" t="s">
        <v>431</v>
      </c>
      <c r="BS253" t="s">
        <v>413</v>
      </c>
      <c r="BT253" t="s">
        <v>413</v>
      </c>
      <c r="BV253" t="s">
        <v>413</v>
      </c>
    </row>
    <row r="254" spans="1:74" x14ac:dyDescent="0.3">
      <c r="A254" s="155">
        <v>950</v>
      </c>
      <c r="B254" t="s">
        <v>982</v>
      </c>
      <c r="D254" t="s">
        <v>50</v>
      </c>
      <c r="E254" t="s">
        <v>51</v>
      </c>
      <c r="G254" t="s">
        <v>50</v>
      </c>
      <c r="H254" t="s">
        <v>50</v>
      </c>
      <c r="I254" t="s">
        <v>50</v>
      </c>
      <c r="J254" t="s">
        <v>50</v>
      </c>
      <c r="K254" t="s">
        <v>50</v>
      </c>
      <c r="L254" t="s">
        <v>50</v>
      </c>
      <c r="M254" t="s">
        <v>50</v>
      </c>
      <c r="N254" t="s">
        <v>50</v>
      </c>
      <c r="O254" t="s">
        <v>50</v>
      </c>
      <c r="Q254" t="s">
        <v>50</v>
      </c>
      <c r="R254" t="s">
        <v>50</v>
      </c>
      <c r="S254" t="s">
        <v>50</v>
      </c>
      <c r="T254" t="s">
        <v>50</v>
      </c>
      <c r="U254" t="s">
        <v>50</v>
      </c>
      <c r="V254" t="s">
        <v>50</v>
      </c>
      <c r="X254" t="s">
        <v>50</v>
      </c>
      <c r="Y254" t="s">
        <v>50</v>
      </c>
      <c r="Z254" t="s">
        <v>51</v>
      </c>
      <c r="AA254" t="s">
        <v>50</v>
      </c>
      <c r="AB254" t="s">
        <v>50</v>
      </c>
      <c r="AC254" t="s">
        <v>50</v>
      </c>
      <c r="AD254" t="s">
        <v>50</v>
      </c>
      <c r="AE254" t="s">
        <v>50</v>
      </c>
      <c r="AF254" t="s">
        <v>51</v>
      </c>
      <c r="AG254" t="s">
        <v>50</v>
      </c>
      <c r="AH254" t="s">
        <v>50</v>
      </c>
      <c r="AI254" t="s">
        <v>50</v>
      </c>
      <c r="AJ254" t="s">
        <v>50</v>
      </c>
      <c r="AK254" t="s">
        <v>50</v>
      </c>
      <c r="AL254" t="s">
        <v>50</v>
      </c>
      <c r="AM254" t="s">
        <v>50</v>
      </c>
      <c r="AN254" t="s">
        <v>50</v>
      </c>
      <c r="AO254" t="s">
        <v>50</v>
      </c>
      <c r="AP254" t="s">
        <v>50</v>
      </c>
      <c r="AQ254" t="s">
        <v>50</v>
      </c>
      <c r="AR254" t="s">
        <v>50</v>
      </c>
      <c r="AS254" t="s">
        <v>50</v>
      </c>
      <c r="AT254" t="s">
        <v>50</v>
      </c>
      <c r="AU254" t="s">
        <v>50</v>
      </c>
      <c r="AV254" t="s">
        <v>50</v>
      </c>
      <c r="AW254" t="s">
        <v>50</v>
      </c>
      <c r="AX254" t="s">
        <v>50</v>
      </c>
      <c r="AY254" t="s">
        <v>50</v>
      </c>
      <c r="AZ254" t="s">
        <v>50</v>
      </c>
      <c r="BA254" t="s">
        <v>50</v>
      </c>
      <c r="BB254" t="s">
        <v>50</v>
      </c>
      <c r="BC254" t="s">
        <v>50</v>
      </c>
      <c r="BD254" t="s">
        <v>50</v>
      </c>
      <c r="BE254" t="s">
        <v>1674</v>
      </c>
      <c r="BF254" t="s">
        <v>50</v>
      </c>
      <c r="BH254" t="s">
        <v>50</v>
      </c>
      <c r="BI254" t="s">
        <v>50</v>
      </c>
      <c r="BJ254" t="s">
        <v>50</v>
      </c>
      <c r="BK254" t="s">
        <v>50</v>
      </c>
      <c r="BL254" t="s">
        <v>50</v>
      </c>
      <c r="BM254" t="s">
        <v>50</v>
      </c>
      <c r="BN254" t="s">
        <v>50</v>
      </c>
      <c r="BO254" t="s">
        <v>50</v>
      </c>
      <c r="BP254" t="s">
        <v>50</v>
      </c>
      <c r="BQ254" t="s">
        <v>51</v>
      </c>
      <c r="BS254" t="s">
        <v>50</v>
      </c>
      <c r="BT254" t="s">
        <v>50</v>
      </c>
      <c r="BV254" t="s">
        <v>50</v>
      </c>
    </row>
    <row r="255" spans="1:74" x14ac:dyDescent="0.3">
      <c r="A255" s="155">
        <v>951</v>
      </c>
      <c r="B255" t="s">
        <v>983</v>
      </c>
      <c r="D255">
        <v>2</v>
      </c>
      <c r="E255">
        <v>2</v>
      </c>
      <c r="G255">
        <v>2</v>
      </c>
      <c r="H255">
        <v>2</v>
      </c>
      <c r="I255">
        <v>2</v>
      </c>
      <c r="J255">
        <v>2</v>
      </c>
      <c r="K255">
        <v>2</v>
      </c>
      <c r="L255">
        <v>2</v>
      </c>
      <c r="M255">
        <v>2</v>
      </c>
      <c r="N255">
        <v>2</v>
      </c>
      <c r="O255">
        <v>2</v>
      </c>
      <c r="Q255">
        <v>2</v>
      </c>
      <c r="R255">
        <v>1</v>
      </c>
      <c r="S255">
        <v>2</v>
      </c>
      <c r="T255">
        <v>2</v>
      </c>
      <c r="U255">
        <v>2</v>
      </c>
      <c r="V255">
        <v>2</v>
      </c>
      <c r="X255">
        <v>2</v>
      </c>
      <c r="Y255">
        <v>2</v>
      </c>
      <c r="Z255">
        <v>2</v>
      </c>
      <c r="AA255">
        <v>2</v>
      </c>
      <c r="AB255">
        <v>2</v>
      </c>
      <c r="AC255">
        <v>2</v>
      </c>
      <c r="AD255">
        <v>2</v>
      </c>
      <c r="AE255">
        <v>2</v>
      </c>
      <c r="AF255">
        <v>2</v>
      </c>
      <c r="AG255">
        <v>2</v>
      </c>
      <c r="AH255">
        <v>2</v>
      </c>
      <c r="AI255">
        <v>1</v>
      </c>
      <c r="AJ255">
        <v>1</v>
      </c>
      <c r="AK255">
        <v>2</v>
      </c>
      <c r="AL255">
        <v>2</v>
      </c>
      <c r="AM255">
        <v>2</v>
      </c>
      <c r="AN255">
        <v>2</v>
      </c>
      <c r="AO255">
        <v>2</v>
      </c>
      <c r="AP255">
        <v>2</v>
      </c>
      <c r="AQ255">
        <v>2</v>
      </c>
      <c r="AR255">
        <v>2</v>
      </c>
      <c r="AS255">
        <v>2</v>
      </c>
      <c r="AT255">
        <v>2</v>
      </c>
      <c r="AU255">
        <v>2</v>
      </c>
      <c r="AV255">
        <v>2</v>
      </c>
      <c r="AW255">
        <v>1</v>
      </c>
      <c r="AX255">
        <v>2</v>
      </c>
      <c r="AY255">
        <v>1</v>
      </c>
      <c r="AZ255">
        <v>2</v>
      </c>
      <c r="BA255">
        <v>2</v>
      </c>
      <c r="BB255">
        <v>1</v>
      </c>
      <c r="BC255">
        <v>1</v>
      </c>
      <c r="BD255">
        <v>2</v>
      </c>
      <c r="BE255">
        <v>2</v>
      </c>
      <c r="BF255">
        <v>2</v>
      </c>
      <c r="BH255">
        <v>1</v>
      </c>
      <c r="BI255">
        <v>2</v>
      </c>
      <c r="BJ255">
        <v>2</v>
      </c>
      <c r="BK255">
        <v>2</v>
      </c>
      <c r="BL255">
        <v>2</v>
      </c>
      <c r="BM255">
        <v>2</v>
      </c>
      <c r="BN255">
        <v>2</v>
      </c>
      <c r="BO255">
        <v>2</v>
      </c>
      <c r="BP255">
        <v>1</v>
      </c>
      <c r="BQ255">
        <v>2</v>
      </c>
      <c r="BS255">
        <v>2</v>
      </c>
      <c r="BT255">
        <v>2</v>
      </c>
      <c r="BV255">
        <v>2</v>
      </c>
    </row>
    <row r="256" spans="1:74" x14ac:dyDescent="0.3">
      <c r="A256" s="155">
        <v>952</v>
      </c>
      <c r="B256" t="s">
        <v>984</v>
      </c>
      <c r="D256" t="s">
        <v>2172</v>
      </c>
      <c r="H256" t="s">
        <v>2002</v>
      </c>
      <c r="I256" t="s">
        <v>2001</v>
      </c>
      <c r="K256" t="s">
        <v>2173</v>
      </c>
      <c r="L256" t="s">
        <v>2174</v>
      </c>
      <c r="M256" t="s">
        <v>2175</v>
      </c>
      <c r="N256" t="s">
        <v>2044</v>
      </c>
      <c r="O256" t="s">
        <v>2176</v>
      </c>
      <c r="Q256" t="s">
        <v>2177</v>
      </c>
      <c r="R256" t="s">
        <v>2046</v>
      </c>
      <c r="S256" t="s">
        <v>2178</v>
      </c>
      <c r="T256" t="s">
        <v>2179</v>
      </c>
      <c r="U256" t="s">
        <v>985</v>
      </c>
      <c r="V256" t="s">
        <v>1981</v>
      </c>
      <c r="X256" t="s">
        <v>986</v>
      </c>
      <c r="Y256" t="s">
        <v>2180</v>
      </c>
      <c r="AA256" t="s">
        <v>2181</v>
      </c>
      <c r="AB256" t="s">
        <v>1980</v>
      </c>
      <c r="AC256" t="s">
        <v>1979</v>
      </c>
      <c r="AD256" t="s">
        <v>2182</v>
      </c>
      <c r="AE256" t="s">
        <v>2183</v>
      </c>
      <c r="AG256" t="s">
        <v>2184</v>
      </c>
      <c r="AH256" t="s">
        <v>2002</v>
      </c>
      <c r="AI256" t="s">
        <v>985</v>
      </c>
      <c r="AJ256" t="s">
        <v>1980</v>
      </c>
      <c r="AK256" t="s">
        <v>2185</v>
      </c>
      <c r="AL256" t="s">
        <v>2186</v>
      </c>
      <c r="AM256" t="s">
        <v>2187</v>
      </c>
      <c r="AN256" t="s">
        <v>2188</v>
      </c>
      <c r="AO256" t="s">
        <v>2003</v>
      </c>
      <c r="AQ256" t="s">
        <v>2189</v>
      </c>
      <c r="AR256" t="s">
        <v>2044</v>
      </c>
      <c r="AS256" t="s">
        <v>2044</v>
      </c>
      <c r="AT256" t="s">
        <v>985</v>
      </c>
      <c r="AU256" t="s">
        <v>2190</v>
      </c>
      <c r="AV256" t="s">
        <v>2191</v>
      </c>
      <c r="AX256" t="s">
        <v>1980</v>
      </c>
      <c r="AY256" t="s">
        <v>2002</v>
      </c>
      <c r="AZ256" t="s">
        <v>1981</v>
      </c>
      <c r="BA256" t="s">
        <v>985</v>
      </c>
      <c r="BB256" t="s">
        <v>2192</v>
      </c>
      <c r="BC256" t="s">
        <v>2193</v>
      </c>
      <c r="BD256" t="s">
        <v>2194</v>
      </c>
      <c r="BE256" t="s">
        <v>985</v>
      </c>
      <c r="BF256" t="s">
        <v>2195</v>
      </c>
      <c r="BH256" t="s">
        <v>2196</v>
      </c>
      <c r="BI256" t="s">
        <v>1979</v>
      </c>
      <c r="BJ256" t="s">
        <v>2044</v>
      </c>
      <c r="BK256" t="s">
        <v>986</v>
      </c>
      <c r="BL256" t="s">
        <v>986</v>
      </c>
      <c r="BM256" t="s">
        <v>2197</v>
      </c>
      <c r="BN256" t="s">
        <v>2198</v>
      </c>
      <c r="BO256" t="s">
        <v>2199</v>
      </c>
      <c r="BP256" t="s">
        <v>2044</v>
      </c>
      <c r="BQ256" t="s">
        <v>2200</v>
      </c>
      <c r="BS256" t="s">
        <v>986</v>
      </c>
      <c r="BV256" t="s">
        <v>2201</v>
      </c>
    </row>
    <row r="257" spans="1:74" x14ac:dyDescent="0.3">
      <c r="A257" s="155">
        <v>953</v>
      </c>
      <c r="B257" t="s">
        <v>987</v>
      </c>
      <c r="D257">
        <v>2</v>
      </c>
      <c r="E257">
        <v>2</v>
      </c>
      <c r="G257">
        <v>2</v>
      </c>
      <c r="H257">
        <v>2</v>
      </c>
      <c r="I257">
        <v>2</v>
      </c>
      <c r="J257">
        <v>2</v>
      </c>
      <c r="K257">
        <v>2</v>
      </c>
      <c r="L257">
        <v>2</v>
      </c>
      <c r="M257">
        <v>2</v>
      </c>
      <c r="N257">
        <v>2</v>
      </c>
      <c r="O257">
        <v>2</v>
      </c>
      <c r="Q257">
        <v>2</v>
      </c>
      <c r="R257">
        <v>2</v>
      </c>
      <c r="S257">
        <v>2</v>
      </c>
      <c r="T257">
        <v>2</v>
      </c>
      <c r="U257">
        <v>2</v>
      </c>
      <c r="V257">
        <v>2</v>
      </c>
      <c r="X257">
        <v>2</v>
      </c>
      <c r="Y257">
        <v>2</v>
      </c>
      <c r="Z257">
        <v>2</v>
      </c>
      <c r="AA257">
        <v>2</v>
      </c>
      <c r="AB257">
        <v>2</v>
      </c>
      <c r="AC257">
        <v>2</v>
      </c>
      <c r="AD257">
        <v>2</v>
      </c>
      <c r="AE257">
        <v>2</v>
      </c>
      <c r="AF257">
        <v>2</v>
      </c>
      <c r="AG257">
        <v>2</v>
      </c>
      <c r="AH257">
        <v>2</v>
      </c>
      <c r="AI257">
        <v>2</v>
      </c>
      <c r="AJ257">
        <v>2</v>
      </c>
      <c r="AK257">
        <v>2</v>
      </c>
      <c r="AL257">
        <v>2</v>
      </c>
      <c r="AM257">
        <v>2</v>
      </c>
      <c r="AN257">
        <v>2</v>
      </c>
      <c r="AO257">
        <v>2</v>
      </c>
      <c r="AP257">
        <v>2</v>
      </c>
      <c r="AQ257">
        <v>2</v>
      </c>
      <c r="AR257">
        <v>2</v>
      </c>
      <c r="AS257">
        <v>2</v>
      </c>
      <c r="AT257">
        <v>2</v>
      </c>
      <c r="AU257">
        <v>2</v>
      </c>
      <c r="AV257">
        <v>2</v>
      </c>
      <c r="AW257">
        <v>2</v>
      </c>
      <c r="AX257">
        <v>2</v>
      </c>
      <c r="AY257">
        <v>2</v>
      </c>
      <c r="AZ257">
        <v>2</v>
      </c>
      <c r="BA257">
        <v>2</v>
      </c>
      <c r="BB257">
        <v>2</v>
      </c>
      <c r="BC257">
        <v>2</v>
      </c>
      <c r="BD257">
        <v>2</v>
      </c>
      <c r="BE257">
        <v>2</v>
      </c>
      <c r="BF257">
        <v>2</v>
      </c>
      <c r="BH257">
        <v>2</v>
      </c>
      <c r="BI257">
        <v>2</v>
      </c>
      <c r="BJ257">
        <v>2</v>
      </c>
      <c r="BK257">
        <v>2</v>
      </c>
      <c r="BL257">
        <v>2</v>
      </c>
      <c r="BM257">
        <v>2</v>
      </c>
      <c r="BN257">
        <v>2</v>
      </c>
      <c r="BO257">
        <v>2</v>
      </c>
      <c r="BP257">
        <v>2</v>
      </c>
      <c r="BQ257">
        <v>2</v>
      </c>
      <c r="BS257">
        <v>2</v>
      </c>
      <c r="BT257">
        <v>2</v>
      </c>
      <c r="BV257">
        <v>2</v>
      </c>
    </row>
    <row r="258" spans="1:74" x14ac:dyDescent="0.3">
      <c r="A258" s="155">
        <v>954</v>
      </c>
      <c r="B258" t="s">
        <v>411</v>
      </c>
      <c r="D258" t="s">
        <v>50</v>
      </c>
      <c r="E258" t="s">
        <v>50</v>
      </c>
      <c r="G258" t="s">
        <v>50</v>
      </c>
      <c r="H258" t="s">
        <v>50</v>
      </c>
      <c r="I258" t="s">
        <v>50</v>
      </c>
      <c r="J258" t="s">
        <v>50</v>
      </c>
      <c r="K258" t="s">
        <v>50</v>
      </c>
      <c r="L258" t="s">
        <v>50</v>
      </c>
      <c r="M258" t="s">
        <v>50</v>
      </c>
      <c r="N258" t="s">
        <v>50</v>
      </c>
      <c r="O258" t="s">
        <v>50</v>
      </c>
      <c r="Q258" t="s">
        <v>50</v>
      </c>
      <c r="R258" t="s">
        <v>50</v>
      </c>
      <c r="S258" t="s">
        <v>50</v>
      </c>
      <c r="T258" t="s">
        <v>50</v>
      </c>
      <c r="U258" t="s">
        <v>50</v>
      </c>
      <c r="V258" t="s">
        <v>50</v>
      </c>
      <c r="X258" t="s">
        <v>50</v>
      </c>
      <c r="Y258" t="s">
        <v>50</v>
      </c>
      <c r="Z258" t="s">
        <v>50</v>
      </c>
      <c r="AA258" t="s">
        <v>50</v>
      </c>
      <c r="AB258" t="s">
        <v>50</v>
      </c>
      <c r="AC258" t="s">
        <v>50</v>
      </c>
      <c r="AD258" t="s">
        <v>50</v>
      </c>
      <c r="AE258" t="s">
        <v>50</v>
      </c>
      <c r="AF258" t="s">
        <v>51</v>
      </c>
      <c r="AG258" t="s">
        <v>50</v>
      </c>
      <c r="AH258" t="s">
        <v>50</v>
      </c>
      <c r="AI258" t="s">
        <v>50</v>
      </c>
      <c r="AJ258" t="s">
        <v>50</v>
      </c>
      <c r="AK258" t="s">
        <v>50</v>
      </c>
      <c r="AL258" t="s">
        <v>50</v>
      </c>
      <c r="AM258" t="s">
        <v>50</v>
      </c>
      <c r="AN258" t="s">
        <v>50</v>
      </c>
      <c r="AO258" t="s">
        <v>50</v>
      </c>
      <c r="AP258" t="s">
        <v>50</v>
      </c>
      <c r="AQ258" t="s">
        <v>50</v>
      </c>
      <c r="AR258" t="s">
        <v>50</v>
      </c>
      <c r="AS258" t="s">
        <v>50</v>
      </c>
      <c r="AT258" t="s">
        <v>50</v>
      </c>
      <c r="AU258" t="s">
        <v>50</v>
      </c>
      <c r="AV258" t="s">
        <v>50</v>
      </c>
      <c r="AW258" t="s">
        <v>50</v>
      </c>
      <c r="AX258" t="s">
        <v>50</v>
      </c>
      <c r="AY258" t="s">
        <v>50</v>
      </c>
      <c r="AZ258" t="s">
        <v>50</v>
      </c>
      <c r="BA258" t="s">
        <v>50</v>
      </c>
      <c r="BB258" t="s">
        <v>50</v>
      </c>
      <c r="BC258" t="s">
        <v>50</v>
      </c>
      <c r="BD258" t="s">
        <v>50</v>
      </c>
      <c r="BE258" t="s">
        <v>50</v>
      </c>
      <c r="BF258" t="s">
        <v>50</v>
      </c>
      <c r="BH258" t="s">
        <v>50</v>
      </c>
      <c r="BI258" t="s">
        <v>50</v>
      </c>
      <c r="BJ258" t="s">
        <v>50</v>
      </c>
      <c r="BK258" t="s">
        <v>50</v>
      </c>
      <c r="BL258" t="s">
        <v>50</v>
      </c>
      <c r="BM258" t="s">
        <v>50</v>
      </c>
      <c r="BN258" t="s">
        <v>50</v>
      </c>
      <c r="BO258" t="s">
        <v>50</v>
      </c>
      <c r="BP258" t="s">
        <v>50</v>
      </c>
      <c r="BQ258" t="s">
        <v>50</v>
      </c>
      <c r="BS258" t="s">
        <v>50</v>
      </c>
      <c r="BT258" t="s">
        <v>50</v>
      </c>
      <c r="BV258" t="s">
        <v>50</v>
      </c>
    </row>
    <row r="259" spans="1:74" x14ac:dyDescent="0.3">
      <c r="A259" s="155">
        <v>955</v>
      </c>
      <c r="B259" t="s">
        <v>988</v>
      </c>
      <c r="D259">
        <v>0</v>
      </c>
      <c r="E259">
        <v>0</v>
      </c>
      <c r="G259">
        <v>0</v>
      </c>
      <c r="H259">
        <v>0</v>
      </c>
      <c r="I259">
        <v>0</v>
      </c>
      <c r="J259">
        <v>0</v>
      </c>
      <c r="K259">
        <v>0</v>
      </c>
      <c r="L259">
        <v>2</v>
      </c>
      <c r="M259">
        <v>0</v>
      </c>
      <c r="N259">
        <v>0</v>
      </c>
      <c r="O259">
        <v>0</v>
      </c>
      <c r="Q259">
        <v>2</v>
      </c>
      <c r="R259">
        <v>0</v>
      </c>
      <c r="S259">
        <v>0</v>
      </c>
      <c r="T259">
        <v>0</v>
      </c>
      <c r="U259">
        <v>3</v>
      </c>
      <c r="V259">
        <v>1</v>
      </c>
      <c r="X259">
        <v>0</v>
      </c>
      <c r="Y259">
        <v>1</v>
      </c>
      <c r="Z259">
        <v>0</v>
      </c>
      <c r="AA259">
        <v>0</v>
      </c>
      <c r="AB259">
        <v>0</v>
      </c>
      <c r="AC259">
        <v>0</v>
      </c>
      <c r="AD259">
        <v>0</v>
      </c>
      <c r="AE259">
        <v>1</v>
      </c>
      <c r="AF259">
        <v>1</v>
      </c>
      <c r="AG259">
        <v>1</v>
      </c>
      <c r="AH259">
        <v>0</v>
      </c>
      <c r="AI259">
        <v>0</v>
      </c>
      <c r="AJ259">
        <v>0</v>
      </c>
      <c r="AK259">
        <v>1</v>
      </c>
      <c r="AL259">
        <v>0</v>
      </c>
      <c r="AM259">
        <v>0</v>
      </c>
      <c r="AN259">
        <v>0</v>
      </c>
      <c r="AO259">
        <v>0</v>
      </c>
      <c r="AP259">
        <v>0</v>
      </c>
      <c r="AQ259">
        <v>0</v>
      </c>
      <c r="AR259">
        <v>0</v>
      </c>
      <c r="AS259">
        <v>0</v>
      </c>
      <c r="AT259">
        <v>0</v>
      </c>
      <c r="AU259">
        <v>0</v>
      </c>
      <c r="AV259">
        <v>0</v>
      </c>
      <c r="AW259">
        <v>0</v>
      </c>
      <c r="AX259">
        <v>1</v>
      </c>
      <c r="AY259">
        <v>0</v>
      </c>
      <c r="AZ259">
        <v>0</v>
      </c>
      <c r="BA259">
        <v>0</v>
      </c>
      <c r="BB259">
        <v>1</v>
      </c>
      <c r="BC259">
        <v>0</v>
      </c>
      <c r="BD259">
        <v>1</v>
      </c>
      <c r="BE259">
        <v>0</v>
      </c>
      <c r="BF259">
        <v>0</v>
      </c>
      <c r="BH259">
        <v>0</v>
      </c>
      <c r="BI259">
        <v>0</v>
      </c>
      <c r="BJ259">
        <v>0</v>
      </c>
      <c r="BK259">
        <v>1</v>
      </c>
      <c r="BL259">
        <v>0</v>
      </c>
      <c r="BM259">
        <v>0</v>
      </c>
      <c r="BN259">
        <v>0</v>
      </c>
      <c r="BO259">
        <v>0</v>
      </c>
      <c r="BP259">
        <v>5</v>
      </c>
      <c r="BQ259">
        <v>0</v>
      </c>
      <c r="BS259">
        <v>0</v>
      </c>
      <c r="BT259">
        <v>3</v>
      </c>
      <c r="BV259">
        <v>0</v>
      </c>
    </row>
    <row r="260" spans="1:74" x14ac:dyDescent="0.3">
      <c r="A260" s="155">
        <v>956</v>
      </c>
      <c r="B260" t="s">
        <v>412</v>
      </c>
      <c r="D260" t="s">
        <v>50</v>
      </c>
      <c r="E260" t="s">
        <v>50</v>
      </c>
      <c r="G260" t="s">
        <v>50</v>
      </c>
      <c r="H260" t="s">
        <v>50</v>
      </c>
      <c r="I260" t="s">
        <v>50</v>
      </c>
      <c r="J260" t="s">
        <v>50</v>
      </c>
      <c r="K260" t="s">
        <v>50</v>
      </c>
      <c r="L260" t="s">
        <v>50</v>
      </c>
      <c r="M260" t="s">
        <v>50</v>
      </c>
      <c r="N260" t="s">
        <v>50</v>
      </c>
      <c r="O260" t="s">
        <v>50</v>
      </c>
      <c r="Q260" t="s">
        <v>50</v>
      </c>
      <c r="R260" t="s">
        <v>50</v>
      </c>
      <c r="S260" t="s">
        <v>50</v>
      </c>
      <c r="T260" t="s">
        <v>50</v>
      </c>
      <c r="U260" t="s">
        <v>50</v>
      </c>
      <c r="V260" t="s">
        <v>50</v>
      </c>
      <c r="X260" t="s">
        <v>50</v>
      </c>
      <c r="Y260" t="s">
        <v>50</v>
      </c>
      <c r="Z260" t="s">
        <v>50</v>
      </c>
      <c r="AA260" t="s">
        <v>50</v>
      </c>
      <c r="AB260" t="s">
        <v>50</v>
      </c>
      <c r="AC260" t="s">
        <v>50</v>
      </c>
      <c r="AD260" t="s">
        <v>50</v>
      </c>
      <c r="AE260" t="s">
        <v>50</v>
      </c>
      <c r="AF260" t="s">
        <v>51</v>
      </c>
      <c r="AG260" t="s">
        <v>50</v>
      </c>
      <c r="AH260" t="s">
        <v>50</v>
      </c>
      <c r="AI260" t="s">
        <v>50</v>
      </c>
      <c r="AJ260" t="s">
        <v>50</v>
      </c>
      <c r="AK260" t="s">
        <v>50</v>
      </c>
      <c r="AL260" t="s">
        <v>50</v>
      </c>
      <c r="AM260" t="s">
        <v>50</v>
      </c>
      <c r="AN260" t="s">
        <v>50</v>
      </c>
      <c r="AO260" t="s">
        <v>50</v>
      </c>
      <c r="AP260" t="s">
        <v>50</v>
      </c>
      <c r="AQ260" t="s">
        <v>50</v>
      </c>
      <c r="AR260" t="s">
        <v>50</v>
      </c>
      <c r="AS260" t="s">
        <v>50</v>
      </c>
      <c r="AT260" t="s">
        <v>50</v>
      </c>
      <c r="AU260" t="s">
        <v>50</v>
      </c>
      <c r="AV260" t="s">
        <v>50</v>
      </c>
      <c r="AW260" t="s">
        <v>50</v>
      </c>
      <c r="AX260" t="s">
        <v>50</v>
      </c>
      <c r="AY260" t="s">
        <v>50</v>
      </c>
      <c r="AZ260" t="s">
        <v>50</v>
      </c>
      <c r="BA260" t="s">
        <v>50</v>
      </c>
      <c r="BB260" t="s">
        <v>50</v>
      </c>
      <c r="BC260" t="s">
        <v>50</v>
      </c>
      <c r="BD260" t="s">
        <v>50</v>
      </c>
      <c r="BE260" t="s">
        <v>50</v>
      </c>
      <c r="BF260" t="s">
        <v>50</v>
      </c>
      <c r="BH260" t="s">
        <v>50</v>
      </c>
      <c r="BI260" t="s">
        <v>50</v>
      </c>
      <c r="BJ260" t="s">
        <v>50</v>
      </c>
      <c r="BK260" t="s">
        <v>50</v>
      </c>
      <c r="BL260" t="s">
        <v>50</v>
      </c>
      <c r="BM260" t="s">
        <v>50</v>
      </c>
      <c r="BN260" t="s">
        <v>50</v>
      </c>
      <c r="BO260" t="s">
        <v>50</v>
      </c>
      <c r="BP260" t="s">
        <v>50</v>
      </c>
      <c r="BQ260" t="s">
        <v>50</v>
      </c>
      <c r="BS260" t="s">
        <v>50</v>
      </c>
      <c r="BT260" t="s">
        <v>50</v>
      </c>
      <c r="BV260" t="s">
        <v>50</v>
      </c>
    </row>
    <row r="261" spans="1:74" x14ac:dyDescent="0.3">
      <c r="A261" s="155">
        <v>957</v>
      </c>
      <c r="B261" t="s">
        <v>989</v>
      </c>
      <c r="D261">
        <v>0</v>
      </c>
      <c r="E261">
        <v>0</v>
      </c>
      <c r="G261">
        <v>0</v>
      </c>
      <c r="H261">
        <v>0</v>
      </c>
      <c r="I261">
        <v>0</v>
      </c>
      <c r="J261">
        <v>0</v>
      </c>
      <c r="K261">
        <v>0</v>
      </c>
      <c r="L261">
        <v>0</v>
      </c>
      <c r="M261">
        <v>0</v>
      </c>
      <c r="N261">
        <v>0</v>
      </c>
      <c r="O261">
        <v>0</v>
      </c>
      <c r="Q261">
        <v>0</v>
      </c>
      <c r="R261">
        <v>0</v>
      </c>
      <c r="S261">
        <v>0</v>
      </c>
      <c r="T261">
        <v>0</v>
      </c>
      <c r="U261">
        <v>0</v>
      </c>
      <c r="V261">
        <v>0</v>
      </c>
      <c r="X261">
        <v>0</v>
      </c>
      <c r="Y261">
        <v>0</v>
      </c>
      <c r="Z261">
        <v>0</v>
      </c>
      <c r="AA261">
        <v>0</v>
      </c>
      <c r="AB261">
        <v>0</v>
      </c>
      <c r="AC261">
        <v>0</v>
      </c>
      <c r="AD261">
        <v>0</v>
      </c>
      <c r="AE261">
        <v>0</v>
      </c>
      <c r="AF261">
        <v>1</v>
      </c>
      <c r="AG261">
        <v>0</v>
      </c>
      <c r="AH261">
        <v>0</v>
      </c>
      <c r="AI261">
        <v>2</v>
      </c>
      <c r="AJ261">
        <v>0</v>
      </c>
      <c r="AK261">
        <v>0</v>
      </c>
      <c r="AL261">
        <v>1</v>
      </c>
      <c r="AM261">
        <v>1</v>
      </c>
      <c r="AN261">
        <v>0</v>
      </c>
      <c r="AO261">
        <v>0</v>
      </c>
      <c r="AP261">
        <v>0</v>
      </c>
      <c r="AQ261">
        <v>0</v>
      </c>
      <c r="AR261">
        <v>0</v>
      </c>
      <c r="AS261">
        <v>0</v>
      </c>
      <c r="AT261">
        <v>0</v>
      </c>
      <c r="AU261">
        <v>0</v>
      </c>
      <c r="AV261">
        <v>2</v>
      </c>
      <c r="AW261">
        <v>0</v>
      </c>
      <c r="AX261">
        <v>0</v>
      </c>
      <c r="AY261">
        <v>0</v>
      </c>
      <c r="AZ261">
        <v>0</v>
      </c>
      <c r="BA261">
        <v>1</v>
      </c>
      <c r="BB261">
        <v>0</v>
      </c>
      <c r="BC261">
        <v>0</v>
      </c>
      <c r="BD261">
        <v>0</v>
      </c>
      <c r="BE261">
        <v>4</v>
      </c>
      <c r="BF261">
        <v>1</v>
      </c>
      <c r="BH261">
        <v>0</v>
      </c>
      <c r="BI261">
        <v>1</v>
      </c>
      <c r="BJ261">
        <v>0</v>
      </c>
      <c r="BK261">
        <v>0</v>
      </c>
      <c r="BL261">
        <v>0</v>
      </c>
      <c r="BM261">
        <v>0</v>
      </c>
      <c r="BN261">
        <v>0</v>
      </c>
      <c r="BO261">
        <v>0</v>
      </c>
      <c r="BP261">
        <v>0</v>
      </c>
      <c r="BQ261">
        <v>1</v>
      </c>
      <c r="BS261">
        <v>0</v>
      </c>
      <c r="BT261">
        <v>3</v>
      </c>
      <c r="BV261">
        <v>0</v>
      </c>
    </row>
    <row r="262" spans="1:74" x14ac:dyDescent="0.3">
      <c r="A262" s="155">
        <v>958</v>
      </c>
      <c r="B262" t="s">
        <v>990</v>
      </c>
      <c r="D262" t="s">
        <v>50</v>
      </c>
      <c r="E262" t="s">
        <v>50</v>
      </c>
      <c r="G262" t="s">
        <v>50</v>
      </c>
      <c r="H262" t="s">
        <v>50</v>
      </c>
      <c r="I262" t="s">
        <v>50</v>
      </c>
      <c r="J262" t="s">
        <v>50</v>
      </c>
      <c r="K262" t="s">
        <v>50</v>
      </c>
      <c r="L262" t="s">
        <v>50</v>
      </c>
      <c r="M262" t="s">
        <v>50</v>
      </c>
      <c r="N262" t="s">
        <v>50</v>
      </c>
      <c r="O262" t="s">
        <v>50</v>
      </c>
      <c r="Q262" t="s">
        <v>50</v>
      </c>
      <c r="R262" t="s">
        <v>50</v>
      </c>
      <c r="S262" t="s">
        <v>50</v>
      </c>
      <c r="T262" t="s">
        <v>50</v>
      </c>
      <c r="U262" t="s">
        <v>50</v>
      </c>
      <c r="V262" t="s">
        <v>50</v>
      </c>
      <c r="X262" t="s">
        <v>50</v>
      </c>
      <c r="Y262" t="s">
        <v>50</v>
      </c>
      <c r="Z262" t="s">
        <v>50</v>
      </c>
      <c r="AA262" t="s">
        <v>50</v>
      </c>
      <c r="AB262" t="s">
        <v>50</v>
      </c>
      <c r="AC262" t="s">
        <v>50</v>
      </c>
      <c r="AD262" t="s">
        <v>50</v>
      </c>
      <c r="AE262" t="s">
        <v>50</v>
      </c>
      <c r="AF262" t="s">
        <v>51</v>
      </c>
      <c r="AG262" t="s">
        <v>50</v>
      </c>
      <c r="AH262" t="s">
        <v>50</v>
      </c>
      <c r="AI262" t="s">
        <v>50</v>
      </c>
      <c r="AJ262" t="s">
        <v>50</v>
      </c>
      <c r="AK262" t="s">
        <v>50</v>
      </c>
      <c r="AL262" t="s">
        <v>50</v>
      </c>
      <c r="AM262" t="s">
        <v>50</v>
      </c>
      <c r="AN262" t="s">
        <v>50</v>
      </c>
      <c r="AO262" t="s">
        <v>50</v>
      </c>
      <c r="AP262" t="s">
        <v>50</v>
      </c>
      <c r="AQ262" t="s">
        <v>50</v>
      </c>
      <c r="AR262" t="s">
        <v>50</v>
      </c>
      <c r="AS262" t="s">
        <v>50</v>
      </c>
      <c r="AT262" t="s">
        <v>50</v>
      </c>
      <c r="AU262" t="s">
        <v>50</v>
      </c>
      <c r="AV262" t="s">
        <v>50</v>
      </c>
      <c r="AW262" t="s">
        <v>50</v>
      </c>
      <c r="AX262" t="s">
        <v>50</v>
      </c>
      <c r="AY262" t="s">
        <v>50</v>
      </c>
      <c r="AZ262" t="s">
        <v>50</v>
      </c>
      <c r="BA262" t="s">
        <v>50</v>
      </c>
      <c r="BB262" t="s">
        <v>50</v>
      </c>
      <c r="BC262" t="s">
        <v>50</v>
      </c>
      <c r="BD262" t="s">
        <v>50</v>
      </c>
      <c r="BE262" t="s">
        <v>50</v>
      </c>
      <c r="BF262" t="s">
        <v>50</v>
      </c>
      <c r="BH262" t="s">
        <v>50</v>
      </c>
      <c r="BI262" t="s">
        <v>50</v>
      </c>
      <c r="BJ262" t="s">
        <v>50</v>
      </c>
      <c r="BK262" t="s">
        <v>50</v>
      </c>
      <c r="BL262" t="s">
        <v>50</v>
      </c>
      <c r="BM262" t="s">
        <v>50</v>
      </c>
      <c r="BN262" t="s">
        <v>50</v>
      </c>
      <c r="BO262" t="s">
        <v>50</v>
      </c>
      <c r="BP262" t="s">
        <v>50</v>
      </c>
      <c r="BQ262" t="s">
        <v>50</v>
      </c>
      <c r="BS262" t="s">
        <v>50</v>
      </c>
      <c r="BT262" t="s">
        <v>50</v>
      </c>
      <c r="BV262" t="s">
        <v>50</v>
      </c>
    </row>
    <row r="263" spans="1:74" x14ac:dyDescent="0.3">
      <c r="A263" s="155">
        <v>959</v>
      </c>
      <c r="B263" t="s">
        <v>991</v>
      </c>
      <c r="D263">
        <v>2</v>
      </c>
      <c r="E263">
        <v>2</v>
      </c>
      <c r="G263">
        <v>2</v>
      </c>
      <c r="H263">
        <v>2</v>
      </c>
      <c r="I263">
        <v>3</v>
      </c>
      <c r="J263">
        <v>2</v>
      </c>
      <c r="K263">
        <v>3</v>
      </c>
      <c r="L263">
        <v>2</v>
      </c>
      <c r="M263">
        <v>2</v>
      </c>
      <c r="N263">
        <v>3</v>
      </c>
      <c r="O263">
        <v>2</v>
      </c>
      <c r="Q263">
        <v>2</v>
      </c>
      <c r="R263">
        <v>2</v>
      </c>
      <c r="S263">
        <v>2</v>
      </c>
      <c r="T263">
        <v>2</v>
      </c>
      <c r="U263">
        <v>2</v>
      </c>
      <c r="V263">
        <v>2</v>
      </c>
      <c r="X263">
        <v>2</v>
      </c>
      <c r="Y263">
        <v>2</v>
      </c>
      <c r="Z263">
        <v>2</v>
      </c>
      <c r="AA263">
        <v>2</v>
      </c>
      <c r="AB263">
        <v>2</v>
      </c>
      <c r="AC263">
        <v>3</v>
      </c>
      <c r="AD263">
        <v>2</v>
      </c>
      <c r="AE263">
        <v>2</v>
      </c>
      <c r="AF263">
        <v>2</v>
      </c>
      <c r="AG263">
        <v>2</v>
      </c>
      <c r="AH263">
        <v>3</v>
      </c>
      <c r="AI263">
        <v>2</v>
      </c>
      <c r="AJ263">
        <v>2</v>
      </c>
      <c r="AK263">
        <v>3</v>
      </c>
      <c r="AL263">
        <v>2</v>
      </c>
      <c r="AM263">
        <v>2</v>
      </c>
      <c r="AN263">
        <v>3</v>
      </c>
      <c r="AO263">
        <v>2</v>
      </c>
      <c r="AP263">
        <v>2</v>
      </c>
      <c r="AQ263">
        <v>2</v>
      </c>
      <c r="AR263">
        <v>2</v>
      </c>
      <c r="AS263">
        <v>2</v>
      </c>
      <c r="AT263">
        <v>2</v>
      </c>
      <c r="AU263">
        <v>2</v>
      </c>
      <c r="AV263">
        <v>2</v>
      </c>
      <c r="AW263">
        <v>2</v>
      </c>
      <c r="AX263">
        <v>3</v>
      </c>
      <c r="AY263">
        <v>3</v>
      </c>
      <c r="AZ263">
        <v>2</v>
      </c>
      <c r="BA263">
        <v>2</v>
      </c>
      <c r="BB263">
        <v>3</v>
      </c>
      <c r="BC263">
        <v>2</v>
      </c>
      <c r="BD263">
        <v>2</v>
      </c>
      <c r="BE263">
        <v>2</v>
      </c>
      <c r="BF263">
        <v>2</v>
      </c>
      <c r="BH263">
        <v>3</v>
      </c>
      <c r="BI263">
        <v>2</v>
      </c>
      <c r="BJ263">
        <v>2</v>
      </c>
      <c r="BK263">
        <v>2</v>
      </c>
      <c r="BL263">
        <v>2</v>
      </c>
      <c r="BM263">
        <v>2</v>
      </c>
      <c r="BN263">
        <v>2</v>
      </c>
      <c r="BO263">
        <v>2</v>
      </c>
      <c r="BP263">
        <v>2</v>
      </c>
      <c r="BQ263">
        <v>2</v>
      </c>
      <c r="BS263">
        <v>2</v>
      </c>
      <c r="BT263">
        <v>2</v>
      </c>
      <c r="BV263">
        <v>2</v>
      </c>
    </row>
    <row r="264" spans="1:74" x14ac:dyDescent="0.3">
      <c r="A264" s="155">
        <v>960</v>
      </c>
      <c r="B264" t="s">
        <v>992</v>
      </c>
      <c r="D264" t="s">
        <v>2202</v>
      </c>
      <c r="E264" t="s">
        <v>2203</v>
      </c>
      <c r="G264" t="s">
        <v>2204</v>
      </c>
      <c r="H264" t="s">
        <v>2205</v>
      </c>
      <c r="I264" t="s">
        <v>2206</v>
      </c>
      <c r="J264" t="s">
        <v>2207</v>
      </c>
      <c r="K264" t="s">
        <v>2208</v>
      </c>
      <c r="L264" t="s">
        <v>2209</v>
      </c>
      <c r="M264" t="s">
        <v>2210</v>
      </c>
      <c r="N264" t="s">
        <v>2211</v>
      </c>
      <c r="O264" t="s">
        <v>2212</v>
      </c>
      <c r="Q264" t="s">
        <v>2213</v>
      </c>
      <c r="R264" t="s">
        <v>2214</v>
      </c>
      <c r="S264" t="s">
        <v>2215</v>
      </c>
      <c r="T264" t="s">
        <v>2216</v>
      </c>
      <c r="U264" t="s">
        <v>2217</v>
      </c>
      <c r="V264" t="s">
        <v>2218</v>
      </c>
      <c r="X264" t="s">
        <v>2219</v>
      </c>
      <c r="Y264" t="s">
        <v>2220</v>
      </c>
      <c r="Z264" t="s">
        <v>2221</v>
      </c>
      <c r="AA264" t="s">
        <v>2222</v>
      </c>
      <c r="AB264" t="s">
        <v>2223</v>
      </c>
      <c r="AC264" t="s">
        <v>2224</v>
      </c>
      <c r="AD264" t="s">
        <v>2225</v>
      </c>
      <c r="AE264" t="s">
        <v>2226</v>
      </c>
      <c r="AF264" t="s">
        <v>432</v>
      </c>
      <c r="AG264" t="s">
        <v>2227</v>
      </c>
      <c r="AI264" t="s">
        <v>2228</v>
      </c>
      <c r="AJ264" t="s">
        <v>2229</v>
      </c>
      <c r="AK264" t="s">
        <v>2230</v>
      </c>
      <c r="AL264" t="s">
        <v>2231</v>
      </c>
      <c r="AM264" t="s">
        <v>2232</v>
      </c>
      <c r="AN264" t="s">
        <v>2233</v>
      </c>
      <c r="AO264" t="s">
        <v>2234</v>
      </c>
      <c r="AP264" t="s">
        <v>2235</v>
      </c>
      <c r="AQ264" t="s">
        <v>2236</v>
      </c>
      <c r="AR264" t="s">
        <v>2047</v>
      </c>
      <c r="AS264" t="s">
        <v>2237</v>
      </c>
      <c r="AT264" t="s">
        <v>2238</v>
      </c>
      <c r="AU264" t="s">
        <v>2239</v>
      </c>
      <c r="AV264" t="s">
        <v>2240</v>
      </c>
      <c r="AW264" t="s">
        <v>2241</v>
      </c>
      <c r="AX264" t="s">
        <v>2242</v>
      </c>
      <c r="AY264" t="s">
        <v>2243</v>
      </c>
      <c r="AZ264" t="s">
        <v>2244</v>
      </c>
      <c r="BA264" t="s">
        <v>2245</v>
      </c>
      <c r="BB264" t="s">
        <v>2246</v>
      </c>
      <c r="BC264" t="s">
        <v>2247</v>
      </c>
      <c r="BD264" t="s">
        <v>2248</v>
      </c>
      <c r="BE264" t="s">
        <v>2249</v>
      </c>
      <c r="BF264" t="s">
        <v>2250</v>
      </c>
      <c r="BH264" t="s">
        <v>2251</v>
      </c>
      <c r="BI264" t="s">
        <v>2252</v>
      </c>
      <c r="BJ264" t="s">
        <v>2253</v>
      </c>
      <c r="BK264" t="s">
        <v>2254</v>
      </c>
      <c r="BL264" t="s">
        <v>2255</v>
      </c>
      <c r="BM264" t="s">
        <v>2256</v>
      </c>
      <c r="BN264" t="s">
        <v>2257</v>
      </c>
      <c r="BO264" t="s">
        <v>2258</v>
      </c>
      <c r="BP264" t="s">
        <v>2259</v>
      </c>
      <c r="BQ264" t="s">
        <v>2260</v>
      </c>
      <c r="BS264" t="s">
        <v>2261</v>
      </c>
      <c r="BT264" t="s">
        <v>2262</v>
      </c>
      <c r="BV264" t="s">
        <v>2263</v>
      </c>
    </row>
    <row r="265" spans="1:74" x14ac:dyDescent="0.3">
      <c r="A265" s="155">
        <v>962</v>
      </c>
      <c r="B265" t="s">
        <v>993</v>
      </c>
      <c r="D265" t="s">
        <v>2264</v>
      </c>
      <c r="E265" t="s">
        <v>1982</v>
      </c>
      <c r="G265" t="s">
        <v>994</v>
      </c>
      <c r="H265" t="s">
        <v>994</v>
      </c>
      <c r="I265" t="s">
        <v>995</v>
      </c>
      <c r="J265" t="s">
        <v>995</v>
      </c>
      <c r="K265" t="s">
        <v>996</v>
      </c>
      <c r="L265" t="s">
        <v>994</v>
      </c>
      <c r="M265" t="s">
        <v>994</v>
      </c>
      <c r="N265" t="s">
        <v>995</v>
      </c>
      <c r="O265" t="s">
        <v>2024</v>
      </c>
      <c r="Q265" t="s">
        <v>997</v>
      </c>
      <c r="R265" t="s">
        <v>997</v>
      </c>
      <c r="S265" t="s">
        <v>995</v>
      </c>
      <c r="T265" t="s">
        <v>994</v>
      </c>
      <c r="U265" t="s">
        <v>995</v>
      </c>
      <c r="V265" t="s">
        <v>995</v>
      </c>
      <c r="X265" t="s">
        <v>995</v>
      </c>
      <c r="Y265" t="s">
        <v>998</v>
      </c>
      <c r="Z265" t="s">
        <v>1983</v>
      </c>
      <c r="AA265" t="s">
        <v>994</v>
      </c>
      <c r="AB265" t="s">
        <v>2059</v>
      </c>
      <c r="AC265" t="s">
        <v>2265</v>
      </c>
      <c r="AD265" t="s">
        <v>995</v>
      </c>
      <c r="AE265" t="s">
        <v>995</v>
      </c>
      <c r="AF265" t="s">
        <v>432</v>
      </c>
      <c r="AG265" t="s">
        <v>995</v>
      </c>
      <c r="AI265" t="s">
        <v>996</v>
      </c>
      <c r="AJ265" t="s">
        <v>995</v>
      </c>
      <c r="AK265" t="s">
        <v>995</v>
      </c>
      <c r="AL265" t="s">
        <v>995</v>
      </c>
      <c r="AM265" t="s">
        <v>994</v>
      </c>
      <c r="AN265" t="s">
        <v>2266</v>
      </c>
      <c r="AO265" t="s">
        <v>994</v>
      </c>
      <c r="AP265" t="s">
        <v>995</v>
      </c>
      <c r="AQ265" t="s">
        <v>995</v>
      </c>
      <c r="AR265" t="s">
        <v>995</v>
      </c>
      <c r="AS265" t="s">
        <v>2004</v>
      </c>
      <c r="AT265" t="s">
        <v>995</v>
      </c>
      <c r="AU265" t="s">
        <v>995</v>
      </c>
      <c r="AV265" t="s">
        <v>995</v>
      </c>
      <c r="AW265" t="s">
        <v>2267</v>
      </c>
      <c r="AX265" t="s">
        <v>996</v>
      </c>
      <c r="AY265" t="s">
        <v>995</v>
      </c>
      <c r="AZ265" t="s">
        <v>994</v>
      </c>
      <c r="BA265" t="s">
        <v>995</v>
      </c>
      <c r="BB265" t="s">
        <v>997</v>
      </c>
      <c r="BC265" t="s">
        <v>996</v>
      </c>
      <c r="BD265" t="s">
        <v>994</v>
      </c>
      <c r="BE265" t="s">
        <v>995</v>
      </c>
      <c r="BF265" t="s">
        <v>994</v>
      </c>
      <c r="BH265" t="s">
        <v>2268</v>
      </c>
      <c r="BI265" t="s">
        <v>995</v>
      </c>
      <c r="BJ265" t="s">
        <v>994</v>
      </c>
      <c r="BK265" t="s">
        <v>995</v>
      </c>
      <c r="BL265" t="s">
        <v>994</v>
      </c>
      <c r="BM265" t="s">
        <v>995</v>
      </c>
      <c r="BN265" t="s">
        <v>994</v>
      </c>
      <c r="BO265" t="s">
        <v>998</v>
      </c>
      <c r="BP265" t="s">
        <v>996</v>
      </c>
      <c r="BQ265" t="s">
        <v>2269</v>
      </c>
      <c r="BS265" t="s">
        <v>994</v>
      </c>
      <c r="BT265" t="s">
        <v>995</v>
      </c>
      <c r="BV265" t="s">
        <v>995</v>
      </c>
    </row>
    <row r="266" spans="1:74" x14ac:dyDescent="0.3">
      <c r="A266" s="155">
        <v>964</v>
      </c>
      <c r="B266" t="s">
        <v>999</v>
      </c>
      <c r="D266" t="s">
        <v>2270</v>
      </c>
      <c r="E266" t="s">
        <v>1002</v>
      </c>
      <c r="G266" t="s">
        <v>1002</v>
      </c>
      <c r="H266" t="s">
        <v>1985</v>
      </c>
      <c r="I266" t="s">
        <v>2005</v>
      </c>
      <c r="J266" t="s">
        <v>1006</v>
      </c>
      <c r="K266" t="s">
        <v>2271</v>
      </c>
      <c r="L266" t="s">
        <v>2272</v>
      </c>
      <c r="M266" t="s">
        <v>1015</v>
      </c>
      <c r="N266" t="s">
        <v>2052</v>
      </c>
      <c r="O266" t="s">
        <v>2273</v>
      </c>
      <c r="Q266" t="s">
        <v>2274</v>
      </c>
      <c r="R266" t="s">
        <v>1001</v>
      </c>
      <c r="S266" t="s">
        <v>2029</v>
      </c>
      <c r="T266" t="s">
        <v>2053</v>
      </c>
      <c r="U266" t="s">
        <v>2275</v>
      </c>
      <c r="V266" t="s">
        <v>2276</v>
      </c>
      <c r="X266" t="s">
        <v>1002</v>
      </c>
      <c r="Y266" t="s">
        <v>2049</v>
      </c>
      <c r="Z266" t="s">
        <v>2277</v>
      </c>
      <c r="AA266" t="s">
        <v>2278</v>
      </c>
      <c r="AB266" t="s">
        <v>2279</v>
      </c>
      <c r="AC266" t="s">
        <v>2280</v>
      </c>
      <c r="AD266" t="s">
        <v>2007</v>
      </c>
      <c r="AE266" t="s">
        <v>2281</v>
      </c>
      <c r="AF266" t="s">
        <v>2282</v>
      </c>
      <c r="AG266" t="s">
        <v>2283</v>
      </c>
      <c r="AI266" t="s">
        <v>2284</v>
      </c>
      <c r="AJ266" t="s">
        <v>1984</v>
      </c>
      <c r="AK266" t="s">
        <v>2006</v>
      </c>
      <c r="AL266" t="s">
        <v>2285</v>
      </c>
      <c r="AM266" t="s">
        <v>1004</v>
      </c>
      <c r="AN266" t="s">
        <v>2054</v>
      </c>
      <c r="AO266" t="s">
        <v>2286</v>
      </c>
      <c r="AP266" t="s">
        <v>2025</v>
      </c>
      <c r="AQ266" t="s">
        <v>2287</v>
      </c>
      <c r="AR266" t="s">
        <v>2288</v>
      </c>
      <c r="AS266" t="s">
        <v>1003</v>
      </c>
      <c r="AT266" t="s">
        <v>2289</v>
      </c>
      <c r="AU266" t="s">
        <v>1003</v>
      </c>
      <c r="AV266" t="s">
        <v>1002</v>
      </c>
      <c r="AW266" t="s">
        <v>2290</v>
      </c>
      <c r="AX266" t="s">
        <v>1005</v>
      </c>
      <c r="AY266" t="s">
        <v>1005</v>
      </c>
      <c r="AZ266" t="s">
        <v>2291</v>
      </c>
      <c r="BA266" t="s">
        <v>2273</v>
      </c>
      <c r="BB266" t="s">
        <v>1006</v>
      </c>
      <c r="BC266" t="s">
        <v>2292</v>
      </c>
      <c r="BD266" t="s">
        <v>2293</v>
      </c>
      <c r="BE266" t="s">
        <v>2294</v>
      </c>
      <c r="BF266" t="s">
        <v>2291</v>
      </c>
      <c r="BH266" t="s">
        <v>2295</v>
      </c>
      <c r="BI266" t="s">
        <v>2050</v>
      </c>
      <c r="BJ266" t="s">
        <v>1985</v>
      </c>
      <c r="BK266" t="s">
        <v>2028</v>
      </c>
      <c r="BL266" t="s">
        <v>2027</v>
      </c>
      <c r="BM266" t="s">
        <v>1622</v>
      </c>
      <c r="BN266" t="s">
        <v>1985</v>
      </c>
      <c r="BO266" t="s">
        <v>1006</v>
      </c>
      <c r="BP266" t="s">
        <v>2296</v>
      </c>
      <c r="BQ266" t="s">
        <v>2051</v>
      </c>
      <c r="BS266" t="s">
        <v>2297</v>
      </c>
      <c r="BT266" t="s">
        <v>1990</v>
      </c>
      <c r="BV266" t="s">
        <v>2281</v>
      </c>
    </row>
    <row r="267" spans="1:74" x14ac:dyDescent="0.3">
      <c r="A267" s="155">
        <v>965</v>
      </c>
      <c r="B267" t="s">
        <v>1008</v>
      </c>
      <c r="D267">
        <v>0</v>
      </c>
      <c r="E267">
        <v>0</v>
      </c>
      <c r="G267">
        <v>0</v>
      </c>
      <c r="H267">
        <v>0</v>
      </c>
      <c r="I267">
        <v>0</v>
      </c>
      <c r="J267">
        <v>0</v>
      </c>
      <c r="K267">
        <v>0</v>
      </c>
      <c r="L267">
        <v>0</v>
      </c>
      <c r="M267">
        <v>0</v>
      </c>
      <c r="N267">
        <v>0</v>
      </c>
      <c r="O267">
        <v>0</v>
      </c>
      <c r="Q267">
        <v>0</v>
      </c>
      <c r="R267">
        <v>0</v>
      </c>
      <c r="S267">
        <v>0</v>
      </c>
      <c r="T267">
        <v>0</v>
      </c>
      <c r="U267">
        <v>0</v>
      </c>
      <c r="V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H267">
        <v>0</v>
      </c>
      <c r="BI267">
        <v>0</v>
      </c>
      <c r="BJ267">
        <v>0</v>
      </c>
      <c r="BK267">
        <v>0</v>
      </c>
      <c r="BL267">
        <v>0</v>
      </c>
      <c r="BM267">
        <v>0</v>
      </c>
      <c r="BN267">
        <v>0</v>
      </c>
      <c r="BO267">
        <v>0</v>
      </c>
      <c r="BP267">
        <v>0</v>
      </c>
      <c r="BQ267">
        <v>0</v>
      </c>
      <c r="BS267">
        <v>0</v>
      </c>
      <c r="BT267">
        <v>0</v>
      </c>
      <c r="BV267">
        <v>0</v>
      </c>
    </row>
    <row r="268" spans="1:74" x14ac:dyDescent="0.3">
      <c r="A268" s="155">
        <v>966</v>
      </c>
      <c r="B268" t="s">
        <v>1009</v>
      </c>
      <c r="D268" t="s">
        <v>2298</v>
      </c>
      <c r="E268" t="s">
        <v>2299</v>
      </c>
      <c r="G268" t="s">
        <v>2300</v>
      </c>
      <c r="H268" t="s">
        <v>2301</v>
      </c>
      <c r="I268" t="s">
        <v>2302</v>
      </c>
      <c r="J268" t="s">
        <v>2303</v>
      </c>
      <c r="K268" t="s">
        <v>2304</v>
      </c>
      <c r="L268" t="s">
        <v>2305</v>
      </c>
      <c r="M268" t="s">
        <v>2306</v>
      </c>
      <c r="N268" t="s">
        <v>2307</v>
      </c>
      <c r="O268" t="s">
        <v>2308</v>
      </c>
      <c r="Q268" t="s">
        <v>2309</v>
      </c>
      <c r="R268" t="s">
        <v>2310</v>
      </c>
      <c r="S268" t="s">
        <v>2311</v>
      </c>
      <c r="T268" t="s">
        <v>2312</v>
      </c>
      <c r="U268" t="s">
        <v>2313</v>
      </c>
      <c r="V268" t="s">
        <v>2314</v>
      </c>
      <c r="X268" t="s">
        <v>2315</v>
      </c>
      <c r="Y268" t="s">
        <v>2316</v>
      </c>
      <c r="Z268" t="s">
        <v>2317</v>
      </c>
      <c r="AA268" t="s">
        <v>2318</v>
      </c>
      <c r="AB268" t="s">
        <v>2319</v>
      </c>
      <c r="AC268" t="s">
        <v>2320</v>
      </c>
      <c r="AD268" t="s">
        <v>2321</v>
      </c>
      <c r="AE268" t="s">
        <v>2322</v>
      </c>
      <c r="AF268" t="s">
        <v>2323</v>
      </c>
      <c r="AG268" t="s">
        <v>2324</v>
      </c>
      <c r="AI268" t="s">
        <v>2325</v>
      </c>
      <c r="AJ268" t="s">
        <v>2326</v>
      </c>
      <c r="AK268" t="s">
        <v>2327</v>
      </c>
      <c r="AL268" t="s">
        <v>2328</v>
      </c>
      <c r="AM268" t="s">
        <v>2329</v>
      </c>
      <c r="AN268" t="s">
        <v>2330</v>
      </c>
      <c r="AO268" t="s">
        <v>2331</v>
      </c>
      <c r="AP268" t="s">
        <v>2332</v>
      </c>
      <c r="AQ268" t="s">
        <v>2333</v>
      </c>
      <c r="AR268" t="s">
        <v>2334</v>
      </c>
      <c r="AS268" t="s">
        <v>2335</v>
      </c>
      <c r="AT268" t="s">
        <v>2336</v>
      </c>
      <c r="AU268" t="s">
        <v>2337</v>
      </c>
      <c r="AV268" t="s">
        <v>2338</v>
      </c>
      <c r="AW268" t="s">
        <v>2339</v>
      </c>
      <c r="AX268" t="s">
        <v>2340</v>
      </c>
      <c r="AY268" t="s">
        <v>2341</v>
      </c>
      <c r="AZ268" t="s">
        <v>2342</v>
      </c>
      <c r="BA268" t="s">
        <v>2343</v>
      </c>
      <c r="BB268" t="s">
        <v>2344</v>
      </c>
      <c r="BC268" t="s">
        <v>2345</v>
      </c>
      <c r="BD268" t="s">
        <v>2346</v>
      </c>
      <c r="BE268" t="s">
        <v>2347</v>
      </c>
      <c r="BF268" t="s">
        <v>2348</v>
      </c>
      <c r="BH268" t="s">
        <v>2349</v>
      </c>
      <c r="BI268" t="s">
        <v>2350</v>
      </c>
      <c r="BJ268" t="s">
        <v>2351</v>
      </c>
      <c r="BK268" t="s">
        <v>2352</v>
      </c>
      <c r="BL268" t="s">
        <v>2353</v>
      </c>
      <c r="BM268" t="s">
        <v>2354</v>
      </c>
      <c r="BN268" t="s">
        <v>2355</v>
      </c>
      <c r="BO268" t="s">
        <v>2356</v>
      </c>
      <c r="BP268" t="s">
        <v>2357</v>
      </c>
      <c r="BQ268" t="s">
        <v>2358</v>
      </c>
      <c r="BS268" t="s">
        <v>2359</v>
      </c>
      <c r="BT268" t="s">
        <v>2360</v>
      </c>
      <c r="BV268" t="s">
        <v>2361</v>
      </c>
    </row>
    <row r="269" spans="1:74" x14ac:dyDescent="0.3">
      <c r="A269" s="155">
        <v>968</v>
      </c>
      <c r="B269" t="s">
        <v>1010</v>
      </c>
      <c r="D269" t="s">
        <v>2362</v>
      </c>
      <c r="E269" t="s">
        <v>2363</v>
      </c>
      <c r="G269" t="s">
        <v>2364</v>
      </c>
      <c r="H269" t="s">
        <v>2365</v>
      </c>
      <c r="I269" t="s">
        <v>2366</v>
      </c>
      <c r="J269" t="s">
        <v>2367</v>
      </c>
      <c r="K269" t="s">
        <v>2368</v>
      </c>
      <c r="L269" t="s">
        <v>2369</v>
      </c>
      <c r="M269" t="s">
        <v>2370</v>
      </c>
      <c r="N269" t="s">
        <v>2371</v>
      </c>
      <c r="O269" t="s">
        <v>2372</v>
      </c>
      <c r="Q269" t="s">
        <v>2373</v>
      </c>
      <c r="R269" t="s">
        <v>2374</v>
      </c>
      <c r="S269" t="s">
        <v>2375</v>
      </c>
      <c r="T269" t="s">
        <v>2376</v>
      </c>
      <c r="U269" t="s">
        <v>2377</v>
      </c>
      <c r="V269" t="s">
        <v>2378</v>
      </c>
      <c r="X269" t="s">
        <v>2379</v>
      </c>
      <c r="Y269" t="s">
        <v>2380</v>
      </c>
      <c r="Z269" t="s">
        <v>2381</v>
      </c>
      <c r="AA269" t="s">
        <v>2382</v>
      </c>
      <c r="AB269" t="s">
        <v>2383</v>
      </c>
      <c r="AC269" t="s">
        <v>2384</v>
      </c>
      <c r="AD269" t="s">
        <v>2385</v>
      </c>
      <c r="AE269" t="s">
        <v>2386</v>
      </c>
      <c r="AF269" t="s">
        <v>2387</v>
      </c>
      <c r="AG269" t="s">
        <v>2388</v>
      </c>
      <c r="AI269" t="s">
        <v>2389</v>
      </c>
      <c r="AJ269" t="s">
        <v>2390</v>
      </c>
      <c r="AK269" t="s">
        <v>2391</v>
      </c>
      <c r="AL269" t="s">
        <v>2392</v>
      </c>
      <c r="AM269" t="s">
        <v>2393</v>
      </c>
      <c r="AN269" t="s">
        <v>2394</v>
      </c>
      <c r="AO269" t="s">
        <v>2395</v>
      </c>
      <c r="AP269" t="s">
        <v>2396</v>
      </c>
      <c r="AQ269" t="s">
        <v>2397</v>
      </c>
      <c r="AR269" t="s">
        <v>2398</v>
      </c>
      <c r="AS269" t="s">
        <v>2399</v>
      </c>
      <c r="AT269" t="s">
        <v>2400</v>
      </c>
      <c r="AU269" t="s">
        <v>2401</v>
      </c>
      <c r="AV269" t="s">
        <v>2402</v>
      </c>
      <c r="AW269" t="s">
        <v>2403</v>
      </c>
      <c r="AX269" t="s">
        <v>2404</v>
      </c>
      <c r="AY269" t="s">
        <v>2405</v>
      </c>
      <c r="AZ269" t="s">
        <v>2406</v>
      </c>
      <c r="BA269" t="s">
        <v>2407</v>
      </c>
      <c r="BB269" t="s">
        <v>2408</v>
      </c>
      <c r="BC269" t="s">
        <v>2409</v>
      </c>
      <c r="BD269" t="s">
        <v>2410</v>
      </c>
      <c r="BE269" t="s">
        <v>2411</v>
      </c>
      <c r="BF269" t="s">
        <v>2412</v>
      </c>
      <c r="BH269" t="s">
        <v>2413</v>
      </c>
      <c r="BI269" t="s">
        <v>2414</v>
      </c>
      <c r="BJ269" t="s">
        <v>2415</v>
      </c>
      <c r="BK269" t="s">
        <v>2416</v>
      </c>
      <c r="BL269" t="s">
        <v>2417</v>
      </c>
      <c r="BM269" t="s">
        <v>2418</v>
      </c>
      <c r="BN269" t="s">
        <v>2419</v>
      </c>
      <c r="BO269" t="s">
        <v>2420</v>
      </c>
      <c r="BP269" t="s">
        <v>2421</v>
      </c>
      <c r="BQ269" t="s">
        <v>2422</v>
      </c>
      <c r="BS269" t="s">
        <v>2423</v>
      </c>
      <c r="BT269" t="s">
        <v>2424</v>
      </c>
      <c r="BV269" t="s">
        <v>2425</v>
      </c>
    </row>
    <row r="270" spans="1:74" x14ac:dyDescent="0.3">
      <c r="A270" s="155">
        <v>973</v>
      </c>
      <c r="B270" t="s">
        <v>626</v>
      </c>
      <c r="D270">
        <v>0</v>
      </c>
      <c r="E270">
        <v>0</v>
      </c>
      <c r="G270">
        <v>0</v>
      </c>
      <c r="H270">
        <v>0</v>
      </c>
      <c r="I270">
        <v>0</v>
      </c>
      <c r="J270">
        <v>0</v>
      </c>
      <c r="K270">
        <v>0</v>
      </c>
      <c r="L270">
        <v>0</v>
      </c>
      <c r="M270">
        <v>0</v>
      </c>
      <c r="N270">
        <v>0</v>
      </c>
      <c r="O270">
        <v>0</v>
      </c>
      <c r="Q270">
        <v>2</v>
      </c>
      <c r="R270">
        <v>0</v>
      </c>
      <c r="S270">
        <v>0</v>
      </c>
      <c r="T270">
        <v>0</v>
      </c>
      <c r="U270">
        <v>3</v>
      </c>
      <c r="V270">
        <v>0</v>
      </c>
      <c r="X270">
        <v>0</v>
      </c>
      <c r="Y270">
        <v>0</v>
      </c>
      <c r="Z270">
        <v>0</v>
      </c>
      <c r="AA270">
        <v>0</v>
      </c>
      <c r="AB270">
        <v>0</v>
      </c>
      <c r="AC270">
        <v>0</v>
      </c>
      <c r="AD270">
        <v>0</v>
      </c>
      <c r="AE270">
        <v>0</v>
      </c>
      <c r="AF270">
        <v>1</v>
      </c>
      <c r="AG270">
        <v>0</v>
      </c>
      <c r="AH270">
        <v>0</v>
      </c>
      <c r="AI270">
        <v>0</v>
      </c>
      <c r="AJ270">
        <v>0</v>
      </c>
      <c r="AK270">
        <v>0</v>
      </c>
      <c r="AL270">
        <v>0</v>
      </c>
      <c r="AM270">
        <v>0</v>
      </c>
      <c r="AN270">
        <v>0</v>
      </c>
      <c r="AO270">
        <v>0</v>
      </c>
      <c r="AP270">
        <v>0</v>
      </c>
      <c r="AQ270">
        <v>0</v>
      </c>
      <c r="AR270">
        <v>0</v>
      </c>
      <c r="AS270">
        <v>0</v>
      </c>
      <c r="AT270">
        <v>2</v>
      </c>
      <c r="AU270">
        <v>0</v>
      </c>
      <c r="AV270">
        <v>0</v>
      </c>
      <c r="AW270">
        <v>0</v>
      </c>
      <c r="AX270">
        <v>0</v>
      </c>
      <c r="AY270">
        <v>0</v>
      </c>
      <c r="AZ270">
        <v>0</v>
      </c>
      <c r="BA270">
        <v>0</v>
      </c>
      <c r="BB270">
        <v>0</v>
      </c>
      <c r="BC270">
        <v>0</v>
      </c>
      <c r="BD270">
        <v>0</v>
      </c>
      <c r="BE270">
        <v>0</v>
      </c>
      <c r="BF270">
        <v>0</v>
      </c>
      <c r="BH270">
        <v>0</v>
      </c>
      <c r="BI270">
        <v>0</v>
      </c>
      <c r="BJ270">
        <v>0</v>
      </c>
      <c r="BK270">
        <v>0</v>
      </c>
      <c r="BL270">
        <v>0</v>
      </c>
      <c r="BM270">
        <v>0</v>
      </c>
      <c r="BN270">
        <v>0</v>
      </c>
      <c r="BO270">
        <v>0</v>
      </c>
      <c r="BP270">
        <v>0</v>
      </c>
      <c r="BQ270">
        <v>0</v>
      </c>
      <c r="BS270">
        <v>0</v>
      </c>
      <c r="BT270">
        <v>0</v>
      </c>
      <c r="BV270">
        <v>0</v>
      </c>
    </row>
    <row r="271" spans="1:74" x14ac:dyDescent="0.3">
      <c r="A271" s="155">
        <v>974</v>
      </c>
      <c r="B271" t="s">
        <v>1011</v>
      </c>
      <c r="D271">
        <v>2</v>
      </c>
      <c r="E271">
        <v>2</v>
      </c>
      <c r="G271">
        <v>2</v>
      </c>
      <c r="H271">
        <v>3</v>
      </c>
      <c r="I271">
        <v>2</v>
      </c>
      <c r="J271">
        <v>3</v>
      </c>
      <c r="K271">
        <v>2</v>
      </c>
      <c r="L271">
        <v>1</v>
      </c>
      <c r="M271">
        <v>2</v>
      </c>
      <c r="N271">
        <v>2</v>
      </c>
      <c r="O271">
        <v>2</v>
      </c>
      <c r="Q271">
        <v>2</v>
      </c>
      <c r="R271">
        <v>2</v>
      </c>
      <c r="S271">
        <v>2</v>
      </c>
      <c r="T271">
        <v>2</v>
      </c>
      <c r="U271">
        <v>2</v>
      </c>
      <c r="V271">
        <v>2</v>
      </c>
      <c r="X271">
        <v>2</v>
      </c>
      <c r="Y271">
        <v>2</v>
      </c>
      <c r="Z271">
        <v>2</v>
      </c>
      <c r="AA271">
        <v>2</v>
      </c>
      <c r="AB271">
        <v>2</v>
      </c>
      <c r="AC271">
        <v>2</v>
      </c>
      <c r="AD271">
        <v>2</v>
      </c>
      <c r="AE271">
        <v>2</v>
      </c>
      <c r="AF271">
        <v>2</v>
      </c>
      <c r="AG271">
        <v>2</v>
      </c>
      <c r="AH271">
        <v>2</v>
      </c>
      <c r="AI271">
        <v>2</v>
      </c>
      <c r="AJ271">
        <v>2</v>
      </c>
      <c r="AK271">
        <v>3</v>
      </c>
      <c r="AL271">
        <v>2</v>
      </c>
      <c r="AM271">
        <v>2</v>
      </c>
      <c r="AN271">
        <v>2</v>
      </c>
      <c r="AO271">
        <v>2</v>
      </c>
      <c r="AP271">
        <v>3</v>
      </c>
      <c r="AQ271">
        <v>2</v>
      </c>
      <c r="AR271">
        <v>2</v>
      </c>
      <c r="AS271">
        <v>2</v>
      </c>
      <c r="AT271">
        <v>2</v>
      </c>
      <c r="AU271">
        <v>2</v>
      </c>
      <c r="AV271">
        <v>2</v>
      </c>
      <c r="AW271">
        <v>2</v>
      </c>
      <c r="AX271">
        <v>3</v>
      </c>
      <c r="AY271">
        <v>3</v>
      </c>
      <c r="AZ271">
        <v>2</v>
      </c>
      <c r="BA271">
        <v>2</v>
      </c>
      <c r="BB271">
        <v>3</v>
      </c>
      <c r="BC271">
        <v>2</v>
      </c>
      <c r="BD271">
        <v>2</v>
      </c>
      <c r="BE271">
        <v>1</v>
      </c>
      <c r="BF271">
        <v>2</v>
      </c>
      <c r="BH271">
        <v>3</v>
      </c>
      <c r="BI271">
        <v>2</v>
      </c>
      <c r="BJ271">
        <v>2</v>
      </c>
      <c r="BK271">
        <v>2</v>
      </c>
      <c r="BL271">
        <v>3</v>
      </c>
      <c r="BM271">
        <v>2</v>
      </c>
      <c r="BN271">
        <v>2</v>
      </c>
      <c r="BO271">
        <v>2</v>
      </c>
      <c r="BP271">
        <v>2</v>
      </c>
      <c r="BQ271">
        <v>2</v>
      </c>
      <c r="BS271">
        <v>2</v>
      </c>
      <c r="BT271">
        <v>2</v>
      </c>
      <c r="BV271">
        <v>2</v>
      </c>
    </row>
    <row r="272" spans="1:74" x14ac:dyDescent="0.3">
      <c r="A272" s="155">
        <v>975</v>
      </c>
      <c r="B272" t="s">
        <v>606</v>
      </c>
      <c r="D272">
        <v>1</v>
      </c>
      <c r="E272">
        <v>2</v>
      </c>
      <c r="G272">
        <v>2</v>
      </c>
      <c r="H272">
        <v>1</v>
      </c>
      <c r="I272">
        <v>1</v>
      </c>
      <c r="J272">
        <v>2</v>
      </c>
      <c r="K272">
        <v>2</v>
      </c>
      <c r="L272">
        <v>1</v>
      </c>
      <c r="M272">
        <v>1</v>
      </c>
      <c r="N272">
        <v>1</v>
      </c>
      <c r="O272">
        <v>2</v>
      </c>
      <c r="Q272">
        <v>1</v>
      </c>
      <c r="R272">
        <v>1</v>
      </c>
      <c r="S272">
        <v>1</v>
      </c>
      <c r="T272">
        <v>2</v>
      </c>
      <c r="U272">
        <v>1</v>
      </c>
      <c r="V272">
        <v>1</v>
      </c>
      <c r="X272">
        <v>1</v>
      </c>
      <c r="Y272">
        <v>1</v>
      </c>
      <c r="Z272">
        <v>2</v>
      </c>
      <c r="AA272">
        <v>2</v>
      </c>
      <c r="AB272">
        <v>1</v>
      </c>
      <c r="AC272">
        <v>1</v>
      </c>
      <c r="AD272">
        <v>1</v>
      </c>
      <c r="AE272">
        <v>1</v>
      </c>
      <c r="AF272">
        <v>1</v>
      </c>
      <c r="AG272">
        <v>1</v>
      </c>
      <c r="AH272">
        <v>1</v>
      </c>
      <c r="AI272">
        <v>1</v>
      </c>
      <c r="AJ272">
        <v>1</v>
      </c>
      <c r="AK272">
        <v>1</v>
      </c>
      <c r="AL272">
        <v>1</v>
      </c>
      <c r="AM272">
        <v>1</v>
      </c>
      <c r="AN272">
        <v>1</v>
      </c>
      <c r="AO272">
        <v>1</v>
      </c>
      <c r="AP272">
        <v>1</v>
      </c>
      <c r="AQ272">
        <v>1</v>
      </c>
      <c r="AR272">
        <v>1</v>
      </c>
      <c r="AS272">
        <v>2</v>
      </c>
      <c r="AT272">
        <v>1</v>
      </c>
      <c r="AU272">
        <v>1</v>
      </c>
      <c r="AV272">
        <v>1</v>
      </c>
      <c r="AW272">
        <v>1</v>
      </c>
      <c r="AX272">
        <v>1</v>
      </c>
      <c r="AY272">
        <v>1</v>
      </c>
      <c r="AZ272">
        <v>2</v>
      </c>
      <c r="BA272">
        <v>1</v>
      </c>
      <c r="BB272">
        <v>1</v>
      </c>
      <c r="BC272">
        <v>2</v>
      </c>
      <c r="BD272">
        <v>1</v>
      </c>
      <c r="BE272">
        <v>1</v>
      </c>
      <c r="BF272">
        <v>1</v>
      </c>
      <c r="BH272">
        <v>1</v>
      </c>
      <c r="BI272">
        <v>1</v>
      </c>
      <c r="BJ272">
        <v>2</v>
      </c>
      <c r="BK272">
        <v>1</v>
      </c>
      <c r="BL272">
        <v>2</v>
      </c>
      <c r="BM272">
        <v>2</v>
      </c>
      <c r="BN272">
        <v>2</v>
      </c>
      <c r="BO272">
        <v>1</v>
      </c>
      <c r="BP272">
        <v>1</v>
      </c>
      <c r="BQ272">
        <v>1</v>
      </c>
      <c r="BS272">
        <v>1</v>
      </c>
      <c r="BT272">
        <v>1</v>
      </c>
      <c r="BV272">
        <v>1</v>
      </c>
    </row>
    <row r="273" spans="1:74" x14ac:dyDescent="0.3">
      <c r="A273" s="155">
        <v>976</v>
      </c>
      <c r="B273" t="s">
        <v>627</v>
      </c>
      <c r="D273">
        <v>1</v>
      </c>
      <c r="E273">
        <v>3</v>
      </c>
      <c r="G273">
        <v>3</v>
      </c>
      <c r="H273">
        <v>1</v>
      </c>
      <c r="I273">
        <v>1</v>
      </c>
      <c r="J273">
        <v>3</v>
      </c>
      <c r="K273">
        <v>3</v>
      </c>
      <c r="L273">
        <v>1</v>
      </c>
      <c r="M273">
        <v>1</v>
      </c>
      <c r="N273">
        <v>1</v>
      </c>
      <c r="O273">
        <v>3</v>
      </c>
      <c r="Q273">
        <v>1</v>
      </c>
      <c r="R273">
        <v>1</v>
      </c>
      <c r="S273">
        <v>3</v>
      </c>
      <c r="T273">
        <v>3</v>
      </c>
      <c r="U273">
        <v>1</v>
      </c>
      <c r="V273">
        <v>1</v>
      </c>
      <c r="X273">
        <v>1</v>
      </c>
      <c r="Y273">
        <v>1</v>
      </c>
      <c r="Z273">
        <v>3</v>
      </c>
      <c r="AA273">
        <v>3</v>
      </c>
      <c r="AB273">
        <v>1</v>
      </c>
      <c r="AC273">
        <v>1</v>
      </c>
      <c r="AD273">
        <v>1</v>
      </c>
      <c r="AE273">
        <v>1</v>
      </c>
      <c r="AF273">
        <v>1</v>
      </c>
      <c r="AG273">
        <v>1</v>
      </c>
      <c r="AH273">
        <v>1</v>
      </c>
      <c r="AI273">
        <v>1</v>
      </c>
      <c r="AJ273">
        <v>1</v>
      </c>
      <c r="AK273">
        <v>1</v>
      </c>
      <c r="AL273">
        <v>3</v>
      </c>
      <c r="AM273">
        <v>1</v>
      </c>
      <c r="AN273">
        <v>1</v>
      </c>
      <c r="AO273">
        <v>1</v>
      </c>
      <c r="AP273">
        <v>1</v>
      </c>
      <c r="AQ273">
        <v>1</v>
      </c>
      <c r="AR273">
        <v>1</v>
      </c>
      <c r="AS273">
        <v>3</v>
      </c>
      <c r="AT273">
        <v>1</v>
      </c>
      <c r="AU273">
        <v>1</v>
      </c>
      <c r="AV273">
        <v>1</v>
      </c>
      <c r="AW273">
        <v>1</v>
      </c>
      <c r="AX273">
        <v>1</v>
      </c>
      <c r="AY273">
        <v>1</v>
      </c>
      <c r="AZ273">
        <v>3</v>
      </c>
      <c r="BA273">
        <v>1</v>
      </c>
      <c r="BB273">
        <v>1</v>
      </c>
      <c r="BC273">
        <v>3</v>
      </c>
      <c r="BD273">
        <v>1</v>
      </c>
      <c r="BE273">
        <v>1</v>
      </c>
      <c r="BF273">
        <v>1</v>
      </c>
      <c r="BH273">
        <v>1</v>
      </c>
      <c r="BI273">
        <v>1</v>
      </c>
      <c r="BJ273">
        <v>3</v>
      </c>
      <c r="BK273">
        <v>1</v>
      </c>
      <c r="BL273">
        <v>3</v>
      </c>
      <c r="BM273">
        <v>3</v>
      </c>
      <c r="BN273">
        <v>3</v>
      </c>
      <c r="BO273">
        <v>1</v>
      </c>
      <c r="BP273">
        <v>3</v>
      </c>
      <c r="BQ273">
        <v>1</v>
      </c>
      <c r="BS273">
        <v>1</v>
      </c>
      <c r="BT273">
        <v>1</v>
      </c>
      <c r="BV273">
        <v>1</v>
      </c>
    </row>
    <row r="274" spans="1:74" x14ac:dyDescent="0.3">
      <c r="A274" s="155">
        <v>977</v>
      </c>
      <c r="B274" t="s">
        <v>1012</v>
      </c>
      <c r="D274">
        <v>1</v>
      </c>
      <c r="E274">
        <v>1</v>
      </c>
      <c r="F274" s="581"/>
      <c r="G274">
        <v>1</v>
      </c>
      <c r="H274">
        <v>1</v>
      </c>
      <c r="I274">
        <v>1</v>
      </c>
      <c r="J274">
        <v>1</v>
      </c>
      <c r="K274">
        <v>1</v>
      </c>
      <c r="L274">
        <v>1</v>
      </c>
      <c r="M274">
        <v>1</v>
      </c>
      <c r="N274">
        <v>1</v>
      </c>
      <c r="O274">
        <v>1</v>
      </c>
      <c r="Q274">
        <v>2</v>
      </c>
      <c r="R274">
        <v>1</v>
      </c>
      <c r="S274">
        <v>1</v>
      </c>
      <c r="T274">
        <v>1</v>
      </c>
      <c r="U274">
        <v>2</v>
      </c>
      <c r="V274">
        <v>1</v>
      </c>
      <c r="X274">
        <v>1</v>
      </c>
      <c r="Y274">
        <v>1</v>
      </c>
      <c r="Z274">
        <v>1</v>
      </c>
      <c r="AA274">
        <v>1</v>
      </c>
      <c r="AB274">
        <v>1</v>
      </c>
      <c r="AC274">
        <v>1</v>
      </c>
      <c r="AD274">
        <v>1</v>
      </c>
      <c r="AE274">
        <v>1</v>
      </c>
      <c r="AF274">
        <v>2</v>
      </c>
      <c r="AG274">
        <v>1</v>
      </c>
      <c r="AH274">
        <v>1</v>
      </c>
      <c r="AI274">
        <v>1</v>
      </c>
      <c r="AJ274">
        <v>1</v>
      </c>
      <c r="AK274">
        <v>1</v>
      </c>
      <c r="AL274">
        <v>1</v>
      </c>
      <c r="AM274">
        <v>1</v>
      </c>
      <c r="AN274">
        <v>1</v>
      </c>
      <c r="AO274">
        <v>1</v>
      </c>
      <c r="AP274">
        <v>1</v>
      </c>
      <c r="AQ274">
        <v>1</v>
      </c>
      <c r="AR274">
        <v>2</v>
      </c>
      <c r="AS274">
        <v>1</v>
      </c>
      <c r="AT274">
        <v>1</v>
      </c>
      <c r="AU274">
        <v>1</v>
      </c>
      <c r="AV274">
        <v>1</v>
      </c>
      <c r="AW274">
        <v>2</v>
      </c>
      <c r="AX274">
        <v>1</v>
      </c>
      <c r="AY274">
        <v>1</v>
      </c>
      <c r="AZ274">
        <v>1</v>
      </c>
      <c r="BA274">
        <v>1</v>
      </c>
      <c r="BB274">
        <v>1</v>
      </c>
      <c r="BC274">
        <v>1</v>
      </c>
      <c r="BD274">
        <v>1</v>
      </c>
      <c r="BE274">
        <v>1</v>
      </c>
      <c r="BF274">
        <v>1</v>
      </c>
      <c r="BH274">
        <v>1</v>
      </c>
      <c r="BI274">
        <v>1</v>
      </c>
      <c r="BJ274">
        <v>1</v>
      </c>
      <c r="BK274">
        <v>1</v>
      </c>
      <c r="BL274">
        <v>1</v>
      </c>
      <c r="BM274">
        <v>1</v>
      </c>
      <c r="BN274">
        <v>1</v>
      </c>
      <c r="BO274">
        <v>1</v>
      </c>
      <c r="BP274">
        <v>1</v>
      </c>
      <c r="BQ274">
        <v>1</v>
      </c>
      <c r="BS274">
        <v>1</v>
      </c>
      <c r="BT274">
        <v>1</v>
      </c>
      <c r="BV274">
        <v>1</v>
      </c>
    </row>
    <row r="275" spans="1:74" x14ac:dyDescent="0.3">
      <c r="A275" s="155">
        <v>978</v>
      </c>
      <c r="B275" t="s">
        <v>593</v>
      </c>
      <c r="D275">
        <v>2</v>
      </c>
      <c r="E275">
        <v>2</v>
      </c>
      <c r="G275">
        <v>2</v>
      </c>
      <c r="H275">
        <v>2</v>
      </c>
      <c r="I275">
        <v>1</v>
      </c>
      <c r="J275">
        <v>2</v>
      </c>
      <c r="K275">
        <v>2</v>
      </c>
      <c r="L275">
        <v>2</v>
      </c>
      <c r="M275">
        <v>2</v>
      </c>
      <c r="N275">
        <v>2</v>
      </c>
      <c r="O275">
        <v>2</v>
      </c>
      <c r="Q275">
        <v>2</v>
      </c>
      <c r="R275">
        <v>2</v>
      </c>
      <c r="S275">
        <v>2</v>
      </c>
      <c r="T275">
        <v>2</v>
      </c>
      <c r="U275">
        <v>2</v>
      </c>
      <c r="V275">
        <v>2</v>
      </c>
      <c r="X275">
        <v>2</v>
      </c>
      <c r="Y275">
        <v>2</v>
      </c>
      <c r="Z275">
        <v>2</v>
      </c>
      <c r="AA275">
        <v>2</v>
      </c>
      <c r="AB275">
        <v>2</v>
      </c>
      <c r="AC275">
        <v>2</v>
      </c>
      <c r="AD275">
        <v>2</v>
      </c>
      <c r="AE275">
        <v>2</v>
      </c>
      <c r="AF275">
        <v>2</v>
      </c>
      <c r="AG275">
        <v>2</v>
      </c>
      <c r="AH275">
        <v>2</v>
      </c>
      <c r="AI275">
        <v>2</v>
      </c>
      <c r="AJ275">
        <v>2</v>
      </c>
      <c r="AK275">
        <v>2</v>
      </c>
      <c r="AL275">
        <v>2</v>
      </c>
      <c r="AM275">
        <v>2</v>
      </c>
      <c r="AN275">
        <v>2</v>
      </c>
      <c r="AO275">
        <v>1</v>
      </c>
      <c r="AP275">
        <v>2</v>
      </c>
      <c r="AQ275">
        <v>2</v>
      </c>
      <c r="AR275">
        <v>1</v>
      </c>
      <c r="AS275">
        <v>2</v>
      </c>
      <c r="AT275">
        <v>2</v>
      </c>
      <c r="AU275">
        <v>2</v>
      </c>
      <c r="AV275">
        <v>2</v>
      </c>
      <c r="AW275">
        <v>2</v>
      </c>
      <c r="AX275">
        <v>2</v>
      </c>
      <c r="AY275">
        <v>2</v>
      </c>
      <c r="AZ275">
        <v>2</v>
      </c>
      <c r="BA275">
        <v>2</v>
      </c>
      <c r="BB275">
        <v>2</v>
      </c>
      <c r="BC275">
        <v>2</v>
      </c>
      <c r="BD275">
        <v>2</v>
      </c>
      <c r="BE275">
        <v>2</v>
      </c>
      <c r="BF275">
        <v>2</v>
      </c>
      <c r="BH275">
        <v>2</v>
      </c>
      <c r="BI275">
        <v>1</v>
      </c>
      <c r="BJ275">
        <v>2</v>
      </c>
      <c r="BK275">
        <v>2</v>
      </c>
      <c r="BL275">
        <v>2</v>
      </c>
      <c r="BM275">
        <v>2</v>
      </c>
      <c r="BN275">
        <v>2</v>
      </c>
      <c r="BO275">
        <v>2</v>
      </c>
      <c r="BP275">
        <v>2</v>
      </c>
      <c r="BQ275">
        <v>2</v>
      </c>
      <c r="BS275">
        <v>1</v>
      </c>
      <c r="BT275">
        <v>2</v>
      </c>
      <c r="BV275">
        <v>2</v>
      </c>
    </row>
    <row r="276" spans="1:74" x14ac:dyDescent="0.3">
      <c r="A276" s="155">
        <v>979</v>
      </c>
      <c r="B276" t="s">
        <v>1013</v>
      </c>
      <c r="D276">
        <v>2</v>
      </c>
      <c r="E276">
        <v>1</v>
      </c>
      <c r="G276">
        <v>1</v>
      </c>
      <c r="H276">
        <v>1</v>
      </c>
      <c r="I276">
        <v>1</v>
      </c>
      <c r="J276">
        <v>1</v>
      </c>
      <c r="K276">
        <v>1</v>
      </c>
      <c r="L276">
        <v>1</v>
      </c>
      <c r="M276">
        <v>2</v>
      </c>
      <c r="N276">
        <v>2</v>
      </c>
      <c r="O276">
        <v>1</v>
      </c>
      <c r="Q276">
        <v>2</v>
      </c>
      <c r="R276">
        <v>1</v>
      </c>
      <c r="S276">
        <v>2</v>
      </c>
      <c r="T276">
        <v>1</v>
      </c>
      <c r="U276">
        <v>2</v>
      </c>
      <c r="V276">
        <v>1</v>
      </c>
      <c r="X276">
        <v>1</v>
      </c>
      <c r="Y276">
        <v>2</v>
      </c>
      <c r="Z276">
        <v>1</v>
      </c>
      <c r="AA276">
        <v>1</v>
      </c>
      <c r="AB276">
        <v>2</v>
      </c>
      <c r="AC276">
        <v>2</v>
      </c>
      <c r="AD276">
        <v>1</v>
      </c>
      <c r="AE276">
        <v>1</v>
      </c>
      <c r="AF276">
        <v>2</v>
      </c>
      <c r="AG276">
        <v>2</v>
      </c>
      <c r="AH276">
        <v>2</v>
      </c>
      <c r="AI276">
        <v>1</v>
      </c>
      <c r="AJ276">
        <v>1</v>
      </c>
      <c r="AK276">
        <v>1</v>
      </c>
      <c r="AL276">
        <v>1</v>
      </c>
      <c r="AM276">
        <v>1</v>
      </c>
      <c r="AN276">
        <v>2</v>
      </c>
      <c r="AO276">
        <v>2</v>
      </c>
      <c r="AP276">
        <v>1</v>
      </c>
      <c r="AQ276">
        <v>2</v>
      </c>
      <c r="AR276">
        <v>2</v>
      </c>
      <c r="AS276">
        <v>1</v>
      </c>
      <c r="AT276">
        <v>2</v>
      </c>
      <c r="AU276">
        <v>1</v>
      </c>
      <c r="AV276">
        <v>1</v>
      </c>
      <c r="AW276">
        <v>2</v>
      </c>
      <c r="AX276">
        <v>1</v>
      </c>
      <c r="AY276">
        <v>1</v>
      </c>
      <c r="AZ276">
        <v>1</v>
      </c>
      <c r="BA276">
        <v>1</v>
      </c>
      <c r="BB276">
        <v>1</v>
      </c>
      <c r="BC276">
        <v>1</v>
      </c>
      <c r="BD276">
        <v>1</v>
      </c>
      <c r="BE276">
        <v>2</v>
      </c>
      <c r="BF276">
        <v>1</v>
      </c>
      <c r="BH276">
        <v>1</v>
      </c>
      <c r="BI276">
        <v>2</v>
      </c>
      <c r="BJ276">
        <v>1</v>
      </c>
      <c r="BK276">
        <v>1</v>
      </c>
      <c r="BL276">
        <v>1</v>
      </c>
      <c r="BM276">
        <v>1</v>
      </c>
      <c r="BN276">
        <v>1</v>
      </c>
      <c r="BO276">
        <v>1</v>
      </c>
      <c r="BP276">
        <v>2</v>
      </c>
      <c r="BQ276">
        <v>2</v>
      </c>
      <c r="BS276">
        <v>2</v>
      </c>
      <c r="BT276">
        <v>2</v>
      </c>
      <c r="BV276">
        <v>1</v>
      </c>
    </row>
    <row r="277" spans="1:74" x14ac:dyDescent="0.3">
      <c r="A277" s="155">
        <v>980</v>
      </c>
      <c r="B277" t="s">
        <v>592</v>
      </c>
      <c r="D277" t="s">
        <v>2282</v>
      </c>
      <c r="E277" t="s">
        <v>2284</v>
      </c>
      <c r="G277" t="s">
        <v>1006</v>
      </c>
      <c r="H277" t="s">
        <v>2426</v>
      </c>
      <c r="I277" t="s">
        <v>2270</v>
      </c>
      <c r="J277" t="s">
        <v>2427</v>
      </c>
      <c r="K277" t="s">
        <v>1017</v>
      </c>
      <c r="L277" t="s">
        <v>2428</v>
      </c>
      <c r="M277" t="s">
        <v>2429</v>
      </c>
      <c r="N277" t="s">
        <v>2052</v>
      </c>
      <c r="O277" t="s">
        <v>2430</v>
      </c>
      <c r="Q277" t="s">
        <v>2431</v>
      </c>
      <c r="R277" t="s">
        <v>1016</v>
      </c>
      <c r="S277" t="s">
        <v>2026</v>
      </c>
      <c r="T277" t="s">
        <v>2284</v>
      </c>
      <c r="U277" t="s">
        <v>2432</v>
      </c>
      <c r="V277" t="s">
        <v>2433</v>
      </c>
      <c r="X277" t="s">
        <v>1015</v>
      </c>
      <c r="Y277" t="s">
        <v>2434</v>
      </c>
      <c r="Z277" t="s">
        <v>1987</v>
      </c>
      <c r="AA277" t="s">
        <v>2008</v>
      </c>
      <c r="AB277" t="s">
        <v>1676</v>
      </c>
      <c r="AC277" t="s">
        <v>2429</v>
      </c>
      <c r="AD277" t="s">
        <v>1017</v>
      </c>
      <c r="AE277" t="s">
        <v>2284</v>
      </c>
      <c r="AF277" t="s">
        <v>2030</v>
      </c>
      <c r="AG277" t="s">
        <v>2282</v>
      </c>
      <c r="AH277" t="s">
        <v>2435</v>
      </c>
      <c r="AI277" t="s">
        <v>1007</v>
      </c>
      <c r="AJ277" t="s">
        <v>1014</v>
      </c>
      <c r="AK277" t="s">
        <v>1015</v>
      </c>
      <c r="AL277" t="s">
        <v>2045</v>
      </c>
      <c r="AM277" t="s">
        <v>1001</v>
      </c>
      <c r="AN277" t="s">
        <v>2282</v>
      </c>
      <c r="AO277" t="s">
        <v>2436</v>
      </c>
      <c r="AP277" t="s">
        <v>2031</v>
      </c>
      <c r="AQ277" t="s">
        <v>1988</v>
      </c>
      <c r="AR277" t="s">
        <v>2437</v>
      </c>
      <c r="AS277" t="s">
        <v>1018</v>
      </c>
      <c r="AT277" t="s">
        <v>2055</v>
      </c>
      <c r="AU277" t="s">
        <v>1015</v>
      </c>
      <c r="AV277" t="s">
        <v>2027</v>
      </c>
      <c r="AW277" t="s">
        <v>2437</v>
      </c>
      <c r="AX277" t="s">
        <v>2436</v>
      </c>
      <c r="AY277" t="s">
        <v>2438</v>
      </c>
      <c r="AZ277" t="s">
        <v>2291</v>
      </c>
      <c r="BA277" t="s">
        <v>2439</v>
      </c>
      <c r="BB277" t="s">
        <v>2288</v>
      </c>
      <c r="BC277" t="s">
        <v>2184</v>
      </c>
      <c r="BD277" t="s">
        <v>2436</v>
      </c>
      <c r="BE277" t="s">
        <v>2048</v>
      </c>
      <c r="BF277" t="s">
        <v>1000</v>
      </c>
      <c r="BH277" t="s">
        <v>2440</v>
      </c>
      <c r="BI277" t="s">
        <v>2441</v>
      </c>
      <c r="BJ277" t="s">
        <v>1018</v>
      </c>
      <c r="BK277" t="s">
        <v>2442</v>
      </c>
      <c r="BL277" t="s">
        <v>1003</v>
      </c>
      <c r="BM277" t="s">
        <v>2443</v>
      </c>
      <c r="BN277" t="s">
        <v>2444</v>
      </c>
      <c r="BO277" t="s">
        <v>2436</v>
      </c>
      <c r="BP277" t="s">
        <v>2294</v>
      </c>
      <c r="BQ277" t="s">
        <v>2445</v>
      </c>
      <c r="BS277" t="s">
        <v>1990</v>
      </c>
      <c r="BT277" t="s">
        <v>2056</v>
      </c>
      <c r="BV277" t="s">
        <v>1001</v>
      </c>
    </row>
    <row r="278" spans="1:74" x14ac:dyDescent="0.3">
      <c r="A278" s="155">
        <v>984</v>
      </c>
      <c r="B278" t="s">
        <v>1019</v>
      </c>
      <c r="D278">
        <v>2507476</v>
      </c>
      <c r="E278">
        <v>275621842</v>
      </c>
      <c r="G278">
        <v>2828088</v>
      </c>
      <c r="H278">
        <v>1158979</v>
      </c>
      <c r="I278">
        <v>1729</v>
      </c>
      <c r="J278">
        <v>90695</v>
      </c>
      <c r="K278">
        <v>0</v>
      </c>
      <c r="L278">
        <v>1231586</v>
      </c>
      <c r="M278">
        <v>9025953</v>
      </c>
      <c r="N278">
        <v>11319</v>
      </c>
      <c r="O278">
        <v>242041</v>
      </c>
      <c r="Q278">
        <v>163226</v>
      </c>
      <c r="R278">
        <v>663966</v>
      </c>
      <c r="S278">
        <v>809357</v>
      </c>
      <c r="T278">
        <v>8281637</v>
      </c>
      <c r="U278">
        <v>543126</v>
      </c>
      <c r="V278">
        <v>331968</v>
      </c>
      <c r="X278">
        <v>4026624</v>
      </c>
      <c r="Y278">
        <v>907666</v>
      </c>
      <c r="Z278">
        <v>28732213</v>
      </c>
      <c r="AA278">
        <v>5884008</v>
      </c>
      <c r="AB278">
        <v>69840</v>
      </c>
      <c r="AC278">
        <v>145732</v>
      </c>
      <c r="AD278">
        <v>557051</v>
      </c>
      <c r="AE278">
        <v>566082</v>
      </c>
      <c r="AF278">
        <v>104101</v>
      </c>
      <c r="AG278">
        <v>424391</v>
      </c>
      <c r="AH278">
        <v>4670847</v>
      </c>
      <c r="AI278">
        <v>27040</v>
      </c>
      <c r="AJ278">
        <v>1355715</v>
      </c>
      <c r="AK278">
        <v>97451</v>
      </c>
      <c r="AL278">
        <v>169084</v>
      </c>
      <c r="AM278">
        <v>2128705</v>
      </c>
      <c r="AN278">
        <v>105768</v>
      </c>
      <c r="AO278">
        <v>23171591</v>
      </c>
      <c r="AP278">
        <v>805858</v>
      </c>
      <c r="AQ278">
        <v>50072</v>
      </c>
      <c r="AR278">
        <v>75393</v>
      </c>
      <c r="AS278">
        <v>17635742</v>
      </c>
      <c r="AT278">
        <v>150856</v>
      </c>
      <c r="AU278">
        <v>521519</v>
      </c>
      <c r="AV278">
        <v>748225</v>
      </c>
      <c r="AW278">
        <v>139156</v>
      </c>
      <c r="AX278">
        <v>210794</v>
      </c>
      <c r="AY278">
        <v>155868</v>
      </c>
      <c r="AZ278">
        <v>3100008</v>
      </c>
      <c r="BA278">
        <v>841761</v>
      </c>
      <c r="BB278">
        <v>16411</v>
      </c>
      <c r="BC278">
        <v>224001</v>
      </c>
      <c r="BD278">
        <v>2590216</v>
      </c>
      <c r="BE278">
        <v>402750</v>
      </c>
      <c r="BF278">
        <v>13274915</v>
      </c>
      <c r="BH278">
        <v>112241</v>
      </c>
      <c r="BI278">
        <v>106713</v>
      </c>
      <c r="BJ278">
        <v>7393534</v>
      </c>
      <c r="BK278">
        <v>0</v>
      </c>
      <c r="BL278">
        <v>11209507</v>
      </c>
      <c r="BM278">
        <v>3208461</v>
      </c>
      <c r="BN278">
        <v>3226365</v>
      </c>
      <c r="BO278">
        <v>598759</v>
      </c>
      <c r="BP278">
        <v>14331</v>
      </c>
      <c r="BQ278">
        <v>1677751</v>
      </c>
      <c r="BS278">
        <v>1529370</v>
      </c>
      <c r="BT278">
        <v>628723</v>
      </c>
      <c r="BV278">
        <v>1413259</v>
      </c>
    </row>
    <row r="279" spans="1:74" x14ac:dyDescent="0.3">
      <c r="A279" s="155">
        <v>985</v>
      </c>
      <c r="B279" t="s">
        <v>1020</v>
      </c>
      <c r="D279">
        <v>2511454</v>
      </c>
      <c r="E279">
        <v>274728496</v>
      </c>
      <c r="G279">
        <v>2700000</v>
      </c>
      <c r="H279">
        <v>1157000</v>
      </c>
      <c r="I279">
        <v>2353</v>
      </c>
      <c r="J279">
        <v>85000</v>
      </c>
      <c r="K279">
        <v>0</v>
      </c>
      <c r="L279">
        <v>1234200</v>
      </c>
      <c r="M279">
        <v>8473700</v>
      </c>
      <c r="N279">
        <v>2600</v>
      </c>
      <c r="O279">
        <v>234700</v>
      </c>
      <c r="Q279">
        <v>158000</v>
      </c>
      <c r="R279">
        <v>626500</v>
      </c>
      <c r="S279">
        <v>796447</v>
      </c>
      <c r="T279">
        <v>7729466</v>
      </c>
      <c r="U279">
        <v>477500</v>
      </c>
      <c r="V279">
        <v>302620</v>
      </c>
      <c r="X279">
        <v>3993063</v>
      </c>
      <c r="Y279">
        <v>887500</v>
      </c>
      <c r="Z279">
        <v>27845000</v>
      </c>
      <c r="AA279">
        <v>5556500</v>
      </c>
      <c r="AB279">
        <v>67400</v>
      </c>
      <c r="AC279">
        <v>143600</v>
      </c>
      <c r="AD279">
        <v>496100</v>
      </c>
      <c r="AE279">
        <v>521500</v>
      </c>
      <c r="AF279">
        <v>94500</v>
      </c>
      <c r="AG279">
        <v>548415</v>
      </c>
      <c r="AH279">
        <v>4758036</v>
      </c>
      <c r="AI279">
        <v>0</v>
      </c>
      <c r="AJ279">
        <v>1291045</v>
      </c>
      <c r="AK279">
        <v>87165</v>
      </c>
      <c r="AL279">
        <v>159000</v>
      </c>
      <c r="AM279">
        <v>2062974</v>
      </c>
      <c r="AN279">
        <v>101317</v>
      </c>
      <c r="AO279">
        <v>22192839</v>
      </c>
      <c r="AP279">
        <v>775000</v>
      </c>
      <c r="AQ279">
        <v>44092</v>
      </c>
      <c r="AR279">
        <v>60084</v>
      </c>
      <c r="AS279">
        <v>16896001</v>
      </c>
      <c r="AT279">
        <v>141322</v>
      </c>
      <c r="AU279">
        <v>476450</v>
      </c>
      <c r="AV279">
        <v>675300</v>
      </c>
      <c r="AW279">
        <v>105682</v>
      </c>
      <c r="AX279">
        <v>207400</v>
      </c>
      <c r="AY279">
        <v>145100</v>
      </c>
      <c r="AZ279">
        <v>2886333</v>
      </c>
      <c r="BA279">
        <v>838092</v>
      </c>
      <c r="BB279">
        <v>13600</v>
      </c>
      <c r="BC279">
        <v>222500</v>
      </c>
      <c r="BD279">
        <v>2346418</v>
      </c>
      <c r="BE279">
        <v>396800</v>
      </c>
      <c r="BF279">
        <v>12573292</v>
      </c>
      <c r="BH279">
        <v>104232</v>
      </c>
      <c r="BI279">
        <v>95000</v>
      </c>
      <c r="BJ279">
        <v>7061000</v>
      </c>
      <c r="BK279">
        <v>0</v>
      </c>
      <c r="BL279">
        <v>10877565</v>
      </c>
      <c r="BM279">
        <v>3071936</v>
      </c>
      <c r="BN279">
        <v>3022160</v>
      </c>
      <c r="BO279">
        <v>559532</v>
      </c>
      <c r="BP279">
        <v>14000</v>
      </c>
      <c r="BQ279">
        <v>1592074</v>
      </c>
      <c r="BS279">
        <v>1440300</v>
      </c>
      <c r="BT279">
        <v>578900</v>
      </c>
      <c r="BV279">
        <v>1403926</v>
      </c>
    </row>
    <row r="280" spans="1:74" x14ac:dyDescent="0.3">
      <c r="A280" s="155">
        <v>986</v>
      </c>
      <c r="B280" t="s">
        <v>594</v>
      </c>
      <c r="D280">
        <v>0</v>
      </c>
      <c r="E280">
        <v>90000</v>
      </c>
      <c r="G280">
        <v>0</v>
      </c>
      <c r="H280">
        <v>0</v>
      </c>
      <c r="I280">
        <v>0</v>
      </c>
      <c r="J280">
        <v>0</v>
      </c>
      <c r="K280">
        <v>0</v>
      </c>
      <c r="L280">
        <v>0</v>
      </c>
      <c r="M280">
        <v>0</v>
      </c>
      <c r="N280">
        <v>0</v>
      </c>
      <c r="O280">
        <v>0</v>
      </c>
      <c r="Q280">
        <v>0</v>
      </c>
      <c r="R280">
        <v>0</v>
      </c>
      <c r="S280">
        <v>0</v>
      </c>
      <c r="T280">
        <v>0</v>
      </c>
      <c r="U280">
        <v>0</v>
      </c>
      <c r="V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H280">
        <v>0</v>
      </c>
      <c r="BI280">
        <v>0</v>
      </c>
      <c r="BJ280">
        <v>0</v>
      </c>
      <c r="BK280">
        <v>0</v>
      </c>
      <c r="BL280">
        <v>0</v>
      </c>
      <c r="BM280">
        <v>0</v>
      </c>
      <c r="BN280">
        <v>0</v>
      </c>
      <c r="BO280">
        <v>0</v>
      </c>
      <c r="BP280">
        <v>0</v>
      </c>
      <c r="BQ280">
        <v>0</v>
      </c>
      <c r="BS280">
        <v>0</v>
      </c>
      <c r="BT280">
        <v>0</v>
      </c>
      <c r="BV280">
        <v>0</v>
      </c>
    </row>
    <row r="281" spans="1:74" x14ac:dyDescent="0.3">
      <c r="A281" s="155">
        <v>987</v>
      </c>
      <c r="B281" t="s">
        <v>1021</v>
      </c>
      <c r="D281">
        <v>0</v>
      </c>
      <c r="E281">
        <v>0</v>
      </c>
      <c r="G281">
        <v>0</v>
      </c>
      <c r="H281">
        <v>0</v>
      </c>
      <c r="I281">
        <v>0</v>
      </c>
      <c r="J281">
        <v>0</v>
      </c>
      <c r="K281">
        <v>0</v>
      </c>
      <c r="L281">
        <v>0</v>
      </c>
      <c r="M281">
        <v>0</v>
      </c>
      <c r="N281">
        <v>0</v>
      </c>
      <c r="O281">
        <v>0</v>
      </c>
      <c r="Q281">
        <v>0</v>
      </c>
      <c r="R281">
        <v>0</v>
      </c>
      <c r="S281">
        <v>0</v>
      </c>
      <c r="T281">
        <v>0</v>
      </c>
      <c r="U281">
        <v>0</v>
      </c>
      <c r="V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H281">
        <v>0</v>
      </c>
      <c r="BI281">
        <v>0</v>
      </c>
      <c r="BJ281">
        <v>0</v>
      </c>
      <c r="BK281">
        <v>0</v>
      </c>
      <c r="BL281">
        <v>0</v>
      </c>
      <c r="BM281">
        <v>0</v>
      </c>
      <c r="BN281">
        <v>0</v>
      </c>
      <c r="BO281">
        <v>0</v>
      </c>
      <c r="BP281">
        <v>0</v>
      </c>
      <c r="BQ281">
        <v>0</v>
      </c>
      <c r="BS281">
        <v>0</v>
      </c>
      <c r="BT281">
        <v>0</v>
      </c>
      <c r="BV281">
        <v>0</v>
      </c>
    </row>
    <row r="282" spans="1:74" x14ac:dyDescent="0.3">
      <c r="A282" s="155">
        <v>988</v>
      </c>
      <c r="B282" t="s">
        <v>1022</v>
      </c>
      <c r="D282">
        <v>2</v>
      </c>
      <c r="E282">
        <v>2</v>
      </c>
      <c r="G282">
        <v>2</v>
      </c>
      <c r="H282">
        <v>2</v>
      </c>
      <c r="I282">
        <v>2</v>
      </c>
      <c r="J282">
        <v>2</v>
      </c>
      <c r="K282">
        <v>2</v>
      </c>
      <c r="L282">
        <v>2</v>
      </c>
      <c r="M282">
        <v>2</v>
      </c>
      <c r="N282">
        <v>2</v>
      </c>
      <c r="O282">
        <v>2</v>
      </c>
      <c r="Q282">
        <v>0</v>
      </c>
      <c r="R282">
        <v>2</v>
      </c>
      <c r="S282">
        <v>2</v>
      </c>
      <c r="T282">
        <v>2</v>
      </c>
      <c r="U282">
        <v>2</v>
      </c>
      <c r="V282">
        <v>2</v>
      </c>
      <c r="X282">
        <v>0</v>
      </c>
      <c r="Y282">
        <v>2</v>
      </c>
      <c r="Z282">
        <v>2</v>
      </c>
      <c r="AA282">
        <v>2</v>
      </c>
      <c r="AB282">
        <v>2</v>
      </c>
      <c r="AC282">
        <v>0</v>
      </c>
      <c r="AD282">
        <v>2</v>
      </c>
      <c r="AE282">
        <v>2</v>
      </c>
      <c r="AF282">
        <v>2</v>
      </c>
      <c r="AG282">
        <v>2</v>
      </c>
      <c r="AH282">
        <v>2</v>
      </c>
      <c r="AI282">
        <v>0</v>
      </c>
      <c r="AJ282">
        <v>2</v>
      </c>
      <c r="AK282">
        <v>0</v>
      </c>
      <c r="AL282">
        <v>2</v>
      </c>
      <c r="AM282">
        <v>2</v>
      </c>
      <c r="AN282">
        <v>0</v>
      </c>
      <c r="AO282">
        <v>2</v>
      </c>
      <c r="AP282">
        <v>2</v>
      </c>
      <c r="AQ282">
        <v>2</v>
      </c>
      <c r="AR282">
        <v>2</v>
      </c>
      <c r="AS282">
        <v>2</v>
      </c>
      <c r="AT282">
        <v>2</v>
      </c>
      <c r="AU282">
        <v>2</v>
      </c>
      <c r="AV282">
        <v>2</v>
      </c>
      <c r="AW282">
        <v>0</v>
      </c>
      <c r="AX282">
        <v>2</v>
      </c>
      <c r="AY282">
        <v>2</v>
      </c>
      <c r="AZ282">
        <v>2</v>
      </c>
      <c r="BA282">
        <v>2</v>
      </c>
      <c r="BB282">
        <v>2</v>
      </c>
      <c r="BC282">
        <v>2</v>
      </c>
      <c r="BD282">
        <v>2</v>
      </c>
      <c r="BE282">
        <v>2</v>
      </c>
      <c r="BF282">
        <v>2</v>
      </c>
      <c r="BH282">
        <v>2</v>
      </c>
      <c r="BI282">
        <v>2</v>
      </c>
      <c r="BJ282">
        <v>2</v>
      </c>
      <c r="BK282">
        <v>0</v>
      </c>
      <c r="BL282">
        <v>2</v>
      </c>
      <c r="BM282">
        <v>0</v>
      </c>
      <c r="BN282">
        <v>2</v>
      </c>
      <c r="BO282">
        <v>2</v>
      </c>
      <c r="BP282">
        <v>0</v>
      </c>
      <c r="BQ282">
        <v>2</v>
      </c>
      <c r="BS282">
        <v>2</v>
      </c>
      <c r="BT282">
        <v>0</v>
      </c>
      <c r="BV282">
        <v>2</v>
      </c>
    </row>
    <row r="283" spans="1:74" x14ac:dyDescent="0.3">
      <c r="A283" s="155">
        <v>989</v>
      </c>
      <c r="B283" t="s">
        <v>1023</v>
      </c>
      <c r="D283">
        <v>0</v>
      </c>
      <c r="E283">
        <v>3</v>
      </c>
      <c r="G283">
        <v>0</v>
      </c>
      <c r="H283">
        <v>3</v>
      </c>
      <c r="I283">
        <v>3</v>
      </c>
      <c r="J283">
        <v>3</v>
      </c>
      <c r="K283">
        <v>0</v>
      </c>
      <c r="L283">
        <v>3</v>
      </c>
      <c r="M283">
        <v>3</v>
      </c>
      <c r="N283">
        <v>3</v>
      </c>
      <c r="O283">
        <v>0</v>
      </c>
      <c r="Q283">
        <v>0</v>
      </c>
      <c r="R283">
        <v>3</v>
      </c>
      <c r="S283">
        <v>0</v>
      </c>
      <c r="T283">
        <v>3</v>
      </c>
      <c r="U283">
        <v>3</v>
      </c>
      <c r="V283">
        <v>3</v>
      </c>
      <c r="X283">
        <v>0</v>
      </c>
      <c r="Y283">
        <v>0</v>
      </c>
      <c r="Z283">
        <v>3</v>
      </c>
      <c r="AA283">
        <v>3</v>
      </c>
      <c r="AB283">
        <v>3</v>
      </c>
      <c r="AC283">
        <v>0</v>
      </c>
      <c r="AD283">
        <v>3</v>
      </c>
      <c r="AE283">
        <v>0</v>
      </c>
      <c r="AF283">
        <v>0</v>
      </c>
      <c r="AG283">
        <v>3</v>
      </c>
      <c r="AH283">
        <v>3</v>
      </c>
      <c r="AI283">
        <v>0</v>
      </c>
      <c r="AJ283">
        <v>3</v>
      </c>
      <c r="AK283">
        <v>3</v>
      </c>
      <c r="AL283">
        <v>0</v>
      </c>
      <c r="AM283">
        <v>3</v>
      </c>
      <c r="AN283">
        <v>0</v>
      </c>
      <c r="AO283">
        <v>0</v>
      </c>
      <c r="AP283">
        <v>3</v>
      </c>
      <c r="AQ283">
        <v>3</v>
      </c>
      <c r="AR283">
        <v>3</v>
      </c>
      <c r="AS283">
        <v>3</v>
      </c>
      <c r="AT283">
        <v>0</v>
      </c>
      <c r="AU283">
        <v>0</v>
      </c>
      <c r="AV283">
        <v>0</v>
      </c>
      <c r="AW283">
        <v>0</v>
      </c>
      <c r="AX283">
        <v>3</v>
      </c>
      <c r="AY283">
        <v>3</v>
      </c>
      <c r="AZ283">
        <v>3</v>
      </c>
      <c r="BA283">
        <v>3</v>
      </c>
      <c r="BB283">
        <v>3</v>
      </c>
      <c r="BC283">
        <v>3</v>
      </c>
      <c r="BD283">
        <v>0</v>
      </c>
      <c r="BE283">
        <v>3</v>
      </c>
      <c r="BF283">
        <v>3</v>
      </c>
      <c r="BH283">
        <v>3</v>
      </c>
      <c r="BI283">
        <v>3</v>
      </c>
      <c r="BJ283">
        <v>3</v>
      </c>
      <c r="BK283">
        <v>0</v>
      </c>
      <c r="BL283">
        <v>3</v>
      </c>
      <c r="BM283">
        <v>0</v>
      </c>
      <c r="BN283">
        <v>3</v>
      </c>
      <c r="BO283">
        <v>3</v>
      </c>
      <c r="BP283">
        <v>0</v>
      </c>
      <c r="BQ283">
        <v>3</v>
      </c>
      <c r="BS283">
        <v>3</v>
      </c>
      <c r="BT283">
        <v>0</v>
      </c>
      <c r="BV283">
        <v>3</v>
      </c>
    </row>
    <row r="284" spans="1:74" x14ac:dyDescent="0.3">
      <c r="A284" s="155">
        <v>990</v>
      </c>
      <c r="B284" t="s">
        <v>583</v>
      </c>
      <c r="D284">
        <v>0</v>
      </c>
      <c r="E284">
        <v>0</v>
      </c>
      <c r="G284">
        <v>0</v>
      </c>
      <c r="H284">
        <v>0</v>
      </c>
      <c r="I284">
        <v>0</v>
      </c>
      <c r="J284">
        <v>0</v>
      </c>
      <c r="K284">
        <v>0</v>
      </c>
      <c r="L284">
        <v>0</v>
      </c>
      <c r="M284">
        <v>0</v>
      </c>
      <c r="N284">
        <v>0</v>
      </c>
      <c r="O284">
        <v>0</v>
      </c>
      <c r="Q284">
        <v>0</v>
      </c>
      <c r="R284">
        <v>0</v>
      </c>
      <c r="S284">
        <v>0</v>
      </c>
      <c r="T284">
        <v>0</v>
      </c>
      <c r="U284">
        <v>0</v>
      </c>
      <c r="V284">
        <v>0</v>
      </c>
      <c r="X284">
        <v>0</v>
      </c>
      <c r="Y284">
        <v>0</v>
      </c>
      <c r="Z284">
        <v>567520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H284">
        <v>0</v>
      </c>
      <c r="BI284">
        <v>0</v>
      </c>
      <c r="BJ284">
        <v>0</v>
      </c>
      <c r="BK284">
        <v>0</v>
      </c>
      <c r="BL284">
        <v>0</v>
      </c>
      <c r="BM284">
        <v>0</v>
      </c>
      <c r="BN284">
        <v>0</v>
      </c>
      <c r="BO284">
        <v>0</v>
      </c>
      <c r="BP284">
        <v>0</v>
      </c>
      <c r="BQ284">
        <v>0</v>
      </c>
      <c r="BS284">
        <v>0</v>
      </c>
      <c r="BT284">
        <v>0</v>
      </c>
      <c r="BV284">
        <v>0</v>
      </c>
    </row>
    <row r="285" spans="1:74" x14ac:dyDescent="0.3">
      <c r="A285" s="155">
        <v>991</v>
      </c>
      <c r="B285" t="s">
        <v>1024</v>
      </c>
      <c r="D285">
        <v>20</v>
      </c>
      <c r="E285">
        <v>0</v>
      </c>
      <c r="G285">
        <v>23</v>
      </c>
      <c r="H285">
        <v>23</v>
      </c>
      <c r="I285">
        <v>22</v>
      </c>
      <c r="J285">
        <v>20</v>
      </c>
      <c r="K285">
        <v>23</v>
      </c>
      <c r="L285">
        <v>23</v>
      </c>
      <c r="M285">
        <v>22</v>
      </c>
      <c r="N285">
        <v>22</v>
      </c>
      <c r="O285">
        <v>23</v>
      </c>
      <c r="Q285">
        <v>23</v>
      </c>
      <c r="R285">
        <v>20</v>
      </c>
      <c r="S285">
        <v>0</v>
      </c>
      <c r="T285">
        <v>23</v>
      </c>
      <c r="U285">
        <v>0</v>
      </c>
      <c r="V285">
        <v>22</v>
      </c>
      <c r="X285">
        <v>22</v>
      </c>
      <c r="Y285">
        <v>23</v>
      </c>
      <c r="Z285">
        <v>23</v>
      </c>
      <c r="AA285">
        <v>23</v>
      </c>
      <c r="AB285">
        <v>23</v>
      </c>
      <c r="AC285">
        <v>23</v>
      </c>
      <c r="AD285">
        <v>20</v>
      </c>
      <c r="AE285">
        <v>23</v>
      </c>
      <c r="AF285">
        <v>0</v>
      </c>
      <c r="AG285">
        <v>22</v>
      </c>
      <c r="AH285">
        <v>23</v>
      </c>
      <c r="AI285">
        <v>0</v>
      </c>
      <c r="AJ285">
        <v>23</v>
      </c>
      <c r="AK285">
        <v>23</v>
      </c>
      <c r="AL285">
        <v>23</v>
      </c>
      <c r="AM285">
        <v>0</v>
      </c>
      <c r="AN285">
        <v>23</v>
      </c>
      <c r="AO285">
        <v>23</v>
      </c>
      <c r="AP285">
        <v>23</v>
      </c>
      <c r="AQ285">
        <v>23</v>
      </c>
      <c r="AR285">
        <v>23</v>
      </c>
      <c r="AS285">
        <v>23</v>
      </c>
      <c r="AT285">
        <v>0</v>
      </c>
      <c r="AU285">
        <v>0</v>
      </c>
      <c r="AV285">
        <v>22</v>
      </c>
      <c r="AW285">
        <v>0</v>
      </c>
      <c r="AX285">
        <v>23</v>
      </c>
      <c r="AY285">
        <v>23</v>
      </c>
      <c r="AZ285">
        <v>23</v>
      </c>
      <c r="BA285">
        <v>20</v>
      </c>
      <c r="BB285">
        <v>23</v>
      </c>
      <c r="BC285">
        <v>22</v>
      </c>
      <c r="BD285">
        <v>23</v>
      </c>
      <c r="BE285">
        <v>0</v>
      </c>
      <c r="BF285">
        <v>23</v>
      </c>
      <c r="BH285">
        <v>23</v>
      </c>
      <c r="BI285">
        <v>23</v>
      </c>
      <c r="BJ285">
        <v>0</v>
      </c>
      <c r="BK285">
        <v>0</v>
      </c>
      <c r="BL285">
        <v>23</v>
      </c>
      <c r="BM285">
        <v>0</v>
      </c>
      <c r="BN285">
        <v>23</v>
      </c>
      <c r="BO285">
        <v>23</v>
      </c>
      <c r="BP285">
        <v>0</v>
      </c>
      <c r="BQ285">
        <v>23</v>
      </c>
      <c r="BS285">
        <v>23</v>
      </c>
      <c r="BT285">
        <v>0</v>
      </c>
      <c r="BV285">
        <v>20</v>
      </c>
    </row>
    <row r="286" spans="1:74" x14ac:dyDescent="0.3">
      <c r="A286" s="155">
        <v>995</v>
      </c>
      <c r="B286" t="s">
        <v>1719</v>
      </c>
      <c r="D286">
        <v>0</v>
      </c>
      <c r="E286">
        <v>0</v>
      </c>
      <c r="F286">
        <v>0</v>
      </c>
      <c r="G286">
        <v>0</v>
      </c>
      <c r="H286">
        <v>0</v>
      </c>
      <c r="I286">
        <v>0</v>
      </c>
      <c r="J286">
        <v>0</v>
      </c>
      <c r="K286">
        <v>0</v>
      </c>
      <c r="L286">
        <v>0.08</v>
      </c>
      <c r="M286">
        <v>0</v>
      </c>
      <c r="N286">
        <v>0</v>
      </c>
      <c r="O286">
        <v>0</v>
      </c>
      <c r="P286">
        <v>0</v>
      </c>
      <c r="Q286">
        <v>0</v>
      </c>
      <c r="R286">
        <v>0</v>
      </c>
      <c r="S286">
        <v>0</v>
      </c>
      <c r="T286">
        <v>0</v>
      </c>
      <c r="U286">
        <v>0</v>
      </c>
      <c r="V286">
        <v>0</v>
      </c>
      <c r="W286">
        <v>0.08</v>
      </c>
      <c r="X286">
        <v>0</v>
      </c>
      <c r="Y286">
        <v>0</v>
      </c>
      <c r="Z286">
        <v>0.08</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0.08</v>
      </c>
      <c r="AW286">
        <v>0</v>
      </c>
      <c r="AX286">
        <v>0</v>
      </c>
      <c r="AY286">
        <v>0</v>
      </c>
      <c r="AZ286">
        <v>0.08</v>
      </c>
      <c r="BA286">
        <v>0</v>
      </c>
      <c r="BB286">
        <v>0</v>
      </c>
      <c r="BC286">
        <v>0</v>
      </c>
      <c r="BD286">
        <v>0</v>
      </c>
      <c r="BE286">
        <v>0.09</v>
      </c>
      <c r="BF286">
        <v>7.0000000000000007E-2</v>
      </c>
      <c r="BG286">
        <v>0</v>
      </c>
      <c r="BH286">
        <v>0</v>
      </c>
      <c r="BI286">
        <v>0</v>
      </c>
      <c r="BJ286">
        <v>0.08</v>
      </c>
      <c r="BK286">
        <v>0</v>
      </c>
      <c r="BL286">
        <v>0</v>
      </c>
      <c r="BM286">
        <v>0</v>
      </c>
      <c r="BN286">
        <v>0.08</v>
      </c>
      <c r="BO286">
        <v>0</v>
      </c>
      <c r="BP286">
        <v>0</v>
      </c>
      <c r="BQ286">
        <v>0</v>
      </c>
      <c r="BR286">
        <v>0</v>
      </c>
      <c r="BS286">
        <v>0</v>
      </c>
      <c r="BT286">
        <v>0</v>
      </c>
      <c r="BU286">
        <v>0</v>
      </c>
      <c r="BV286">
        <v>0</v>
      </c>
    </row>
    <row r="287" spans="1:74" x14ac:dyDescent="0.3">
      <c r="A287" s="155">
        <v>996</v>
      </c>
      <c r="B287" t="s">
        <v>276</v>
      </c>
      <c r="D287">
        <v>0.01</v>
      </c>
      <c r="E287">
        <v>0.01</v>
      </c>
      <c r="F287">
        <v>0.01</v>
      </c>
      <c r="G287">
        <v>0.01</v>
      </c>
      <c r="H287">
        <v>0.01</v>
      </c>
      <c r="I287">
        <v>0</v>
      </c>
      <c r="J287">
        <v>0</v>
      </c>
      <c r="K287">
        <v>0</v>
      </c>
      <c r="L287">
        <v>0.01</v>
      </c>
      <c r="M287">
        <v>0.01</v>
      </c>
      <c r="N287">
        <v>0</v>
      </c>
      <c r="O287">
        <v>0.01</v>
      </c>
      <c r="P287">
        <v>0.01</v>
      </c>
      <c r="Q287">
        <v>0</v>
      </c>
      <c r="R287">
        <v>0</v>
      </c>
      <c r="S287">
        <v>0.01</v>
      </c>
      <c r="T287">
        <v>0</v>
      </c>
      <c r="U287">
        <v>0.01</v>
      </c>
      <c r="V287">
        <v>0.01</v>
      </c>
      <c r="W287">
        <v>0.01</v>
      </c>
      <c r="X287">
        <v>0.01</v>
      </c>
      <c r="Y287">
        <v>0</v>
      </c>
      <c r="Z287">
        <v>0.01</v>
      </c>
      <c r="AA287">
        <v>0</v>
      </c>
      <c r="AB287">
        <v>0.01</v>
      </c>
      <c r="AC287">
        <v>0.01</v>
      </c>
      <c r="AD287">
        <v>0.01</v>
      </c>
      <c r="AE287">
        <v>0.01</v>
      </c>
      <c r="AF287">
        <v>0.01</v>
      </c>
      <c r="AG287">
        <v>0.01</v>
      </c>
      <c r="AH287">
        <v>0.01</v>
      </c>
      <c r="AI287">
        <v>0</v>
      </c>
      <c r="AJ287">
        <v>0</v>
      </c>
      <c r="AK287">
        <v>0</v>
      </c>
      <c r="AL287">
        <v>0.01</v>
      </c>
      <c r="AM287">
        <v>0.01</v>
      </c>
      <c r="AN287">
        <v>0.01</v>
      </c>
      <c r="AO287">
        <v>0.01</v>
      </c>
      <c r="AP287">
        <v>0.01</v>
      </c>
      <c r="AQ287">
        <v>0</v>
      </c>
      <c r="AR287">
        <v>0.01</v>
      </c>
      <c r="AS287">
        <v>0.01</v>
      </c>
      <c r="AT287">
        <v>0.01</v>
      </c>
      <c r="AU287">
        <v>0.01</v>
      </c>
      <c r="AV287">
        <v>0.01</v>
      </c>
      <c r="AW287">
        <v>0.01</v>
      </c>
      <c r="AX287">
        <v>0</v>
      </c>
      <c r="AY287">
        <v>0</v>
      </c>
      <c r="AZ287">
        <v>0.01</v>
      </c>
      <c r="BA287">
        <v>0.01</v>
      </c>
      <c r="BB287">
        <v>0.01</v>
      </c>
      <c r="BC287">
        <v>0.01</v>
      </c>
      <c r="BD287">
        <v>0.01</v>
      </c>
      <c r="BE287">
        <v>0.01</v>
      </c>
      <c r="BF287">
        <v>0.01</v>
      </c>
      <c r="BG287">
        <v>0.01</v>
      </c>
      <c r="BH287">
        <v>0</v>
      </c>
      <c r="BI287">
        <v>0.01</v>
      </c>
      <c r="BJ287">
        <v>0.01</v>
      </c>
      <c r="BK287">
        <v>0.01</v>
      </c>
      <c r="BL287">
        <v>0.01</v>
      </c>
      <c r="BM287">
        <v>0</v>
      </c>
      <c r="BN287">
        <v>0.01</v>
      </c>
      <c r="BO287">
        <v>0.01</v>
      </c>
      <c r="BP287">
        <v>0</v>
      </c>
      <c r="BQ287">
        <v>0</v>
      </c>
      <c r="BR287">
        <v>0</v>
      </c>
      <c r="BS287">
        <v>0.01</v>
      </c>
      <c r="BT287">
        <v>0.01</v>
      </c>
      <c r="BU287">
        <v>0.01</v>
      </c>
      <c r="BV287">
        <v>0.01</v>
      </c>
    </row>
    <row r="288" spans="1:74" x14ac:dyDescent="0.3">
      <c r="A288" s="155">
        <v>998</v>
      </c>
      <c r="B288" t="s">
        <v>277</v>
      </c>
      <c r="D288">
        <v>50</v>
      </c>
      <c r="E288">
        <v>50</v>
      </c>
      <c r="F288">
        <v>50</v>
      </c>
      <c r="G288">
        <v>50</v>
      </c>
      <c r="H288">
        <v>50</v>
      </c>
      <c r="I288">
        <v>50</v>
      </c>
      <c r="J288">
        <v>50</v>
      </c>
      <c r="K288">
        <v>50</v>
      </c>
      <c r="L288">
        <v>50</v>
      </c>
      <c r="M288">
        <v>50</v>
      </c>
      <c r="N288">
        <v>50</v>
      </c>
      <c r="O288">
        <v>50</v>
      </c>
      <c r="P288">
        <v>50</v>
      </c>
      <c r="Q288">
        <v>50</v>
      </c>
      <c r="R288">
        <v>50</v>
      </c>
      <c r="S288">
        <v>50</v>
      </c>
      <c r="T288">
        <v>50</v>
      </c>
      <c r="U288">
        <v>50</v>
      </c>
      <c r="V288">
        <v>50</v>
      </c>
      <c r="W288">
        <v>50</v>
      </c>
      <c r="X288">
        <v>50</v>
      </c>
      <c r="Y288">
        <v>50</v>
      </c>
      <c r="Z288">
        <v>50</v>
      </c>
      <c r="AA288">
        <v>50</v>
      </c>
      <c r="AB288">
        <v>51</v>
      </c>
      <c r="AC288">
        <v>50</v>
      </c>
      <c r="AD288">
        <v>50</v>
      </c>
      <c r="AE288">
        <v>50</v>
      </c>
      <c r="AF288">
        <v>50</v>
      </c>
      <c r="AG288">
        <v>50</v>
      </c>
      <c r="AH288">
        <v>50</v>
      </c>
      <c r="AI288">
        <v>50</v>
      </c>
      <c r="AJ288">
        <v>50</v>
      </c>
      <c r="AK288">
        <v>50</v>
      </c>
      <c r="AL288">
        <v>50</v>
      </c>
      <c r="AM288">
        <v>50</v>
      </c>
      <c r="AN288">
        <v>50</v>
      </c>
      <c r="AO288">
        <v>50</v>
      </c>
      <c r="AP288">
        <v>50</v>
      </c>
      <c r="AQ288">
        <v>50</v>
      </c>
      <c r="AR288">
        <v>50</v>
      </c>
      <c r="AS288">
        <v>50</v>
      </c>
      <c r="AT288">
        <v>50</v>
      </c>
      <c r="AU288">
        <v>50</v>
      </c>
      <c r="AV288">
        <v>50</v>
      </c>
      <c r="AW288">
        <v>50</v>
      </c>
      <c r="AX288">
        <v>50</v>
      </c>
      <c r="AY288">
        <v>50</v>
      </c>
      <c r="AZ288">
        <v>50</v>
      </c>
      <c r="BA288">
        <v>50</v>
      </c>
      <c r="BB288">
        <v>50</v>
      </c>
      <c r="BC288">
        <v>50</v>
      </c>
      <c r="BD288">
        <v>50</v>
      </c>
      <c r="BE288">
        <v>50</v>
      </c>
      <c r="BF288">
        <v>50</v>
      </c>
      <c r="BG288">
        <v>50</v>
      </c>
      <c r="BH288">
        <v>50</v>
      </c>
      <c r="BI288">
        <v>50</v>
      </c>
      <c r="BJ288">
        <v>50</v>
      </c>
      <c r="BK288">
        <v>50</v>
      </c>
      <c r="BL288">
        <v>50</v>
      </c>
      <c r="BM288">
        <v>50</v>
      </c>
      <c r="BN288">
        <v>50</v>
      </c>
      <c r="BO288">
        <v>50</v>
      </c>
      <c r="BP288">
        <v>50</v>
      </c>
      <c r="BQ288">
        <v>50</v>
      </c>
      <c r="BR288">
        <v>50</v>
      </c>
      <c r="BS288">
        <v>50</v>
      </c>
      <c r="BT288">
        <v>50</v>
      </c>
      <c r="BU288">
        <v>50</v>
      </c>
      <c r="BV288">
        <v>50</v>
      </c>
    </row>
    <row r="289" spans="1:74" x14ac:dyDescent="0.3">
      <c r="A289" s="155">
        <v>999</v>
      </c>
      <c r="B289" t="s">
        <v>278</v>
      </c>
      <c r="D289">
        <v>50312</v>
      </c>
      <c r="E289">
        <v>50313</v>
      </c>
      <c r="F289">
        <v>50314</v>
      </c>
      <c r="G289">
        <v>50315</v>
      </c>
      <c r="H289">
        <v>50316</v>
      </c>
      <c r="I289">
        <v>50481</v>
      </c>
      <c r="J289">
        <v>50561</v>
      </c>
      <c r="K289">
        <v>50317</v>
      </c>
      <c r="L289">
        <v>50318</v>
      </c>
      <c r="M289">
        <v>50319</v>
      </c>
      <c r="N289">
        <v>50489</v>
      </c>
      <c r="O289">
        <v>50320</v>
      </c>
      <c r="P289">
        <v>50323</v>
      </c>
      <c r="Q289">
        <v>50321</v>
      </c>
      <c r="R289">
        <v>50322</v>
      </c>
      <c r="S289">
        <v>50490</v>
      </c>
      <c r="T289">
        <v>50324</v>
      </c>
      <c r="U289">
        <v>50325</v>
      </c>
      <c r="V289">
        <v>50326</v>
      </c>
      <c r="W289">
        <v>50327</v>
      </c>
      <c r="X289">
        <v>50328</v>
      </c>
      <c r="Y289">
        <v>50329</v>
      </c>
      <c r="Z289">
        <v>50330</v>
      </c>
      <c r="AA289">
        <v>50331</v>
      </c>
      <c r="AB289">
        <v>50332</v>
      </c>
      <c r="AC289">
        <v>50333</v>
      </c>
      <c r="AD289">
        <v>50335</v>
      </c>
      <c r="AE289">
        <v>50334</v>
      </c>
      <c r="AF289">
        <v>50336</v>
      </c>
      <c r="AG289">
        <v>50337</v>
      </c>
      <c r="AH289">
        <v>50338</v>
      </c>
      <c r="AI289">
        <v>50339</v>
      </c>
      <c r="AJ289">
        <v>50443</v>
      </c>
      <c r="AK289">
        <v>50340</v>
      </c>
      <c r="AL289">
        <v>50456</v>
      </c>
      <c r="AM289">
        <v>50341</v>
      </c>
      <c r="AN289">
        <v>50342</v>
      </c>
      <c r="AO289">
        <v>50344</v>
      </c>
      <c r="AP289">
        <v>50345</v>
      </c>
      <c r="AQ289">
        <v>50503</v>
      </c>
      <c r="AR289">
        <v>50527</v>
      </c>
      <c r="AS289">
        <v>50346</v>
      </c>
      <c r="AT289">
        <v>50347</v>
      </c>
      <c r="AU289">
        <v>50529</v>
      </c>
      <c r="AV289">
        <v>50348</v>
      </c>
      <c r="AW289">
        <v>50349</v>
      </c>
      <c r="AX289">
        <v>50350</v>
      </c>
      <c r="AY289">
        <v>50541</v>
      </c>
      <c r="AZ289">
        <v>50351</v>
      </c>
      <c r="BA289">
        <v>50484</v>
      </c>
      <c r="BB289">
        <v>50352</v>
      </c>
      <c r="BC289">
        <v>50353</v>
      </c>
      <c r="BD289">
        <v>50354</v>
      </c>
      <c r="BE289">
        <v>50355</v>
      </c>
      <c r="BF289">
        <v>50356</v>
      </c>
      <c r="BG289">
        <v>50357</v>
      </c>
      <c r="BH289">
        <v>50482</v>
      </c>
      <c r="BI289">
        <v>50358</v>
      </c>
      <c r="BJ289">
        <v>50359</v>
      </c>
      <c r="BK289">
        <v>50360</v>
      </c>
      <c r="BL289">
        <v>50361</v>
      </c>
      <c r="BM289">
        <v>50362</v>
      </c>
      <c r="BN289">
        <v>50363</v>
      </c>
      <c r="BO289">
        <v>50364</v>
      </c>
      <c r="BP289">
        <v>50365</v>
      </c>
      <c r="BQ289">
        <v>50366</v>
      </c>
      <c r="BR289">
        <v>50367</v>
      </c>
      <c r="BS289">
        <v>50368</v>
      </c>
      <c r="BT289">
        <v>50369</v>
      </c>
      <c r="BU289">
        <v>50370</v>
      </c>
      <c r="BV289">
        <v>50371</v>
      </c>
    </row>
    <row r="290" spans="1:74" x14ac:dyDescent="0.3">
      <c r="A290" s="155">
        <v>9000</v>
      </c>
      <c r="B290" t="s">
        <v>1025</v>
      </c>
      <c r="C290" t="s">
        <v>351</v>
      </c>
      <c r="D290">
        <v>284331041.38</v>
      </c>
      <c r="E290">
        <v>28159172557.360001</v>
      </c>
      <c r="F290">
        <v>50364.01</v>
      </c>
      <c r="G290">
        <v>217915983.25999999</v>
      </c>
      <c r="H290">
        <v>74662819.510000005</v>
      </c>
      <c r="I290">
        <v>802783.56499999994</v>
      </c>
      <c r="J290">
        <v>15107542.08</v>
      </c>
      <c r="K290">
        <v>68360128</v>
      </c>
      <c r="L290">
        <v>218887176.61000001</v>
      </c>
      <c r="M290">
        <v>828040483.56739998</v>
      </c>
      <c r="N290">
        <v>7447306.591</v>
      </c>
      <c r="O290">
        <v>40678066.689999998</v>
      </c>
      <c r="P290">
        <v>50373.01</v>
      </c>
      <c r="Q290">
        <v>10879575.619999999</v>
      </c>
      <c r="R290">
        <v>23385301.98</v>
      </c>
      <c r="S290">
        <v>76670914.650000006</v>
      </c>
      <c r="T290">
        <v>251349861.37099999</v>
      </c>
      <c r="U290">
        <v>92436244.969999999</v>
      </c>
      <c r="V290">
        <v>85951173.790000007</v>
      </c>
      <c r="W290">
        <v>50377.09</v>
      </c>
      <c r="X290">
        <v>395420383.33999997</v>
      </c>
      <c r="Y290">
        <v>37393037.350000001</v>
      </c>
      <c r="Z290">
        <v>3440396552.165</v>
      </c>
      <c r="AA290">
        <v>313107087.91000003</v>
      </c>
      <c r="AB290">
        <v>13414247.460000001</v>
      </c>
      <c r="AC290">
        <v>39193261.979999997</v>
      </c>
      <c r="AD290">
        <v>69775413.390000001</v>
      </c>
      <c r="AE290">
        <v>56416372.350000001</v>
      </c>
      <c r="AF290">
        <v>33634407.960000001</v>
      </c>
      <c r="AG290">
        <v>39366940.950000003</v>
      </c>
      <c r="AH290">
        <v>420070427.62</v>
      </c>
      <c r="AI290">
        <v>4026000.0425</v>
      </c>
      <c r="AJ290">
        <v>73271645.439999998</v>
      </c>
      <c r="AK290">
        <v>6310563.5999999996</v>
      </c>
      <c r="AL290">
        <v>46610352.700000003</v>
      </c>
      <c r="AM290">
        <v>131363473.94</v>
      </c>
      <c r="AN290">
        <v>23810695.370000001</v>
      </c>
      <c r="AO290">
        <v>1985322483.5095999</v>
      </c>
      <c r="AP290">
        <v>61383488.295000002</v>
      </c>
      <c r="AQ290">
        <v>6573692.4800000004</v>
      </c>
      <c r="AR290">
        <v>12925054.01</v>
      </c>
      <c r="AS290">
        <v>1860159343.6199999</v>
      </c>
      <c r="AT290">
        <v>38356665.140000001</v>
      </c>
      <c r="AU290">
        <v>141182764.02000001</v>
      </c>
      <c r="AV290">
        <v>119881043.675</v>
      </c>
      <c r="AW290">
        <v>49577415.920000002</v>
      </c>
      <c r="AX290">
        <v>12328766.619999999</v>
      </c>
      <c r="AY290">
        <v>6538079.9050000003</v>
      </c>
      <c r="AZ290">
        <v>335257362.18000001</v>
      </c>
      <c r="BA290">
        <v>50578620.109999999</v>
      </c>
      <c r="BB290">
        <v>19887563.690000001</v>
      </c>
      <c r="BC290">
        <v>22286588.899999999</v>
      </c>
      <c r="BD290">
        <v>264079903.1525</v>
      </c>
      <c r="BE290">
        <v>112631267.62</v>
      </c>
      <c r="BF290">
        <v>1679711261.4525001</v>
      </c>
      <c r="BG290">
        <v>50407.01</v>
      </c>
      <c r="BH290">
        <v>4782031.04</v>
      </c>
      <c r="BI290">
        <v>19176171.41</v>
      </c>
      <c r="BJ290">
        <v>902088145.16999996</v>
      </c>
      <c r="BK290">
        <v>74646657.469999999</v>
      </c>
      <c r="BL290">
        <v>805934011.89999998</v>
      </c>
      <c r="BM290">
        <v>116839891.8258</v>
      </c>
      <c r="BN290">
        <v>430336698.2256</v>
      </c>
      <c r="BO290">
        <v>104709507.58</v>
      </c>
      <c r="BP290">
        <v>796975.93</v>
      </c>
      <c r="BQ290">
        <v>84542335.109999999</v>
      </c>
      <c r="BR290">
        <v>50417</v>
      </c>
      <c r="BS290">
        <v>154787053.273</v>
      </c>
      <c r="BT290">
        <v>48495296.009999998</v>
      </c>
      <c r="BU290">
        <v>50420.01</v>
      </c>
      <c r="BV290">
        <v>144696061.44</v>
      </c>
    </row>
    <row r="291" spans="1:74" x14ac:dyDescent="0.3">
      <c r="A291" s="155">
        <v>9001</v>
      </c>
      <c r="B291" t="s">
        <v>1026</v>
      </c>
      <c r="C291" t="s">
        <v>1027</v>
      </c>
      <c r="D291">
        <v>15702314</v>
      </c>
      <c r="E291">
        <v>2272168807</v>
      </c>
      <c r="F291">
        <v>0</v>
      </c>
      <c r="G291">
        <v>17549624</v>
      </c>
      <c r="H291">
        <v>4267193</v>
      </c>
      <c r="I291">
        <v>81928</v>
      </c>
      <c r="J291">
        <v>2500498</v>
      </c>
      <c r="K291">
        <v>11869828</v>
      </c>
      <c r="L291">
        <v>8264274</v>
      </c>
      <c r="M291">
        <v>48870281</v>
      </c>
      <c r="N291">
        <v>897770</v>
      </c>
      <c r="O291">
        <v>1810360</v>
      </c>
      <c r="P291">
        <v>0</v>
      </c>
      <c r="Q291">
        <v>1491995</v>
      </c>
      <c r="R291">
        <v>2571871</v>
      </c>
      <c r="S291">
        <v>6077053</v>
      </c>
      <c r="T291">
        <v>29773829</v>
      </c>
      <c r="U291">
        <v>4159356</v>
      </c>
      <c r="V291">
        <v>1338792</v>
      </c>
      <c r="W291">
        <v>0</v>
      </c>
      <c r="X291">
        <v>38172515</v>
      </c>
      <c r="Y291">
        <v>4835766</v>
      </c>
      <c r="Z291">
        <v>236318330</v>
      </c>
      <c r="AA291">
        <v>59341878</v>
      </c>
      <c r="AB291">
        <v>430835</v>
      </c>
      <c r="AC291">
        <v>1408228</v>
      </c>
      <c r="AD291">
        <v>2416912</v>
      </c>
      <c r="AE291">
        <v>3488267</v>
      </c>
      <c r="AF291">
        <v>1308546</v>
      </c>
      <c r="AG291">
        <v>1192656</v>
      </c>
      <c r="AH291">
        <v>13945756</v>
      </c>
      <c r="AI291">
        <v>663704</v>
      </c>
      <c r="AJ291">
        <v>9128617</v>
      </c>
      <c r="AK291">
        <v>755805</v>
      </c>
      <c r="AL291">
        <v>2577888</v>
      </c>
      <c r="AM291">
        <v>8524587</v>
      </c>
      <c r="AN291">
        <v>1270672</v>
      </c>
      <c r="AO291">
        <v>91968914</v>
      </c>
      <c r="AP291">
        <v>3168770</v>
      </c>
      <c r="AQ291">
        <v>725363</v>
      </c>
      <c r="AR291">
        <v>1224555</v>
      </c>
      <c r="AS291">
        <v>86583154</v>
      </c>
      <c r="AT291">
        <v>1096315</v>
      </c>
      <c r="AU291">
        <v>10333245</v>
      </c>
      <c r="AV291">
        <v>4013374</v>
      </c>
      <c r="AW291">
        <v>1127646</v>
      </c>
      <c r="AX291">
        <v>3090441</v>
      </c>
      <c r="AY291">
        <v>724725</v>
      </c>
      <c r="AZ291">
        <v>16746064</v>
      </c>
      <c r="BA291">
        <v>4377780</v>
      </c>
      <c r="BB291">
        <v>255334</v>
      </c>
      <c r="BC291">
        <v>1577059</v>
      </c>
      <c r="BD291">
        <v>26404402</v>
      </c>
      <c r="BE291">
        <v>2455570</v>
      </c>
      <c r="BF291">
        <v>96225158</v>
      </c>
      <c r="BG291">
        <v>0</v>
      </c>
      <c r="BH291">
        <v>375840</v>
      </c>
      <c r="BI291">
        <v>818109</v>
      </c>
      <c r="BJ291">
        <v>52959221</v>
      </c>
      <c r="BK291">
        <v>3279121</v>
      </c>
      <c r="BL291">
        <v>65306314</v>
      </c>
      <c r="BM291">
        <v>21529217</v>
      </c>
      <c r="BN291">
        <v>22003977</v>
      </c>
      <c r="BO291">
        <v>4616168</v>
      </c>
      <c r="BP291">
        <v>92295</v>
      </c>
      <c r="BQ291">
        <v>11248685</v>
      </c>
      <c r="BR291">
        <v>0</v>
      </c>
      <c r="BS291">
        <v>8031256</v>
      </c>
      <c r="BT291">
        <v>3692131</v>
      </c>
      <c r="BU291">
        <v>0</v>
      </c>
      <c r="BV291">
        <v>7920796</v>
      </c>
    </row>
    <row r="292" spans="1:74" x14ac:dyDescent="0.3">
      <c r="A292" s="155">
        <v>9002</v>
      </c>
      <c r="B292" t="s">
        <v>1028</v>
      </c>
      <c r="C292" t="s">
        <v>1029</v>
      </c>
      <c r="D292">
        <v>502399</v>
      </c>
      <c r="E292">
        <v>168698688</v>
      </c>
      <c r="F292">
        <v>0</v>
      </c>
      <c r="G292">
        <v>307387</v>
      </c>
      <c r="H292">
        <v>64033</v>
      </c>
      <c r="I292">
        <v>0</v>
      </c>
      <c r="J292">
        <v>509</v>
      </c>
      <c r="K292">
        <v>14627</v>
      </c>
      <c r="L292">
        <v>509273</v>
      </c>
      <c r="M292">
        <v>1528604</v>
      </c>
      <c r="N292">
        <v>5950</v>
      </c>
      <c r="O292">
        <v>39493</v>
      </c>
      <c r="P292">
        <v>0</v>
      </c>
      <c r="Q292">
        <v>6836</v>
      </c>
      <c r="R292">
        <v>110907</v>
      </c>
      <c r="S292">
        <v>79428</v>
      </c>
      <c r="T292">
        <v>1766043</v>
      </c>
      <c r="U292">
        <v>184627</v>
      </c>
      <c r="V292">
        <v>4174</v>
      </c>
      <c r="W292">
        <v>0</v>
      </c>
      <c r="X292">
        <v>732483</v>
      </c>
      <c r="Y292">
        <v>269607</v>
      </c>
      <c r="Z292">
        <v>11335564</v>
      </c>
      <c r="AA292">
        <v>926151</v>
      </c>
      <c r="AB292">
        <v>26268</v>
      </c>
      <c r="AC292">
        <v>15168</v>
      </c>
      <c r="AD292">
        <v>34949</v>
      </c>
      <c r="AE292">
        <v>34535</v>
      </c>
      <c r="AF292">
        <v>31665</v>
      </c>
      <c r="AG292">
        <v>52069</v>
      </c>
      <c r="AH292">
        <v>957961</v>
      </c>
      <c r="AI292">
        <v>4759</v>
      </c>
      <c r="AJ292">
        <v>339498</v>
      </c>
      <c r="AK292">
        <v>5902</v>
      </c>
      <c r="AL292">
        <v>130642</v>
      </c>
      <c r="AM292">
        <v>520485</v>
      </c>
      <c r="AN292">
        <v>24394</v>
      </c>
      <c r="AO292">
        <v>5494665</v>
      </c>
      <c r="AP292">
        <v>63867</v>
      </c>
      <c r="AQ292">
        <v>340</v>
      </c>
      <c r="AR292">
        <v>10817</v>
      </c>
      <c r="AS292">
        <v>5085122</v>
      </c>
      <c r="AT292">
        <v>14641</v>
      </c>
      <c r="AU292">
        <v>51455</v>
      </c>
      <c r="AV292">
        <v>18833</v>
      </c>
      <c r="AW292">
        <v>53524</v>
      </c>
      <c r="AX292">
        <v>40392</v>
      </c>
      <c r="AY292">
        <v>12795</v>
      </c>
      <c r="AZ292">
        <v>656619</v>
      </c>
      <c r="BA292">
        <v>244078</v>
      </c>
      <c r="BB292">
        <v>4007</v>
      </c>
      <c r="BC292">
        <v>69190</v>
      </c>
      <c r="BD292">
        <v>1023908</v>
      </c>
      <c r="BE292">
        <v>158640</v>
      </c>
      <c r="BF292">
        <v>4062728</v>
      </c>
      <c r="BG292">
        <v>0</v>
      </c>
      <c r="BH292">
        <v>9814</v>
      </c>
      <c r="BI292">
        <v>6131</v>
      </c>
      <c r="BJ292">
        <v>1430124</v>
      </c>
      <c r="BK292">
        <v>78485</v>
      </c>
      <c r="BL292">
        <v>2794754</v>
      </c>
      <c r="BM292">
        <v>548386</v>
      </c>
      <c r="BN292">
        <v>811556</v>
      </c>
      <c r="BO292">
        <v>52314</v>
      </c>
      <c r="BP292">
        <v>3235</v>
      </c>
      <c r="BQ292">
        <v>3010354</v>
      </c>
      <c r="BR292">
        <v>0</v>
      </c>
      <c r="BS292">
        <v>447670</v>
      </c>
      <c r="BT292">
        <v>43582</v>
      </c>
      <c r="BU292">
        <v>0</v>
      </c>
      <c r="BV292">
        <v>230478</v>
      </c>
    </row>
    <row r="293" spans="1:74" ht="28.8" x14ac:dyDescent="0.3">
      <c r="A293" s="155">
        <v>9003</v>
      </c>
      <c r="B293" s="527" t="s">
        <v>1030</v>
      </c>
      <c r="C293" t="s">
        <v>1031</v>
      </c>
      <c r="D293">
        <v>5660067</v>
      </c>
      <c r="E293">
        <v>1100790091</v>
      </c>
      <c r="F293">
        <v>0</v>
      </c>
      <c r="G293">
        <v>5181689</v>
      </c>
      <c r="H293">
        <v>1122626</v>
      </c>
      <c r="I293">
        <v>0</v>
      </c>
      <c r="J293">
        <v>509</v>
      </c>
      <c r="K293">
        <v>74627</v>
      </c>
      <c r="L293">
        <v>5631443</v>
      </c>
      <c r="M293">
        <v>21530790</v>
      </c>
      <c r="N293">
        <v>5950</v>
      </c>
      <c r="O293">
        <v>185825</v>
      </c>
      <c r="P293">
        <v>0</v>
      </c>
      <c r="Q293">
        <v>7781</v>
      </c>
      <c r="R293">
        <v>663788</v>
      </c>
      <c r="S293">
        <v>726507</v>
      </c>
      <c r="T293">
        <v>28486829</v>
      </c>
      <c r="U293">
        <v>1578486</v>
      </c>
      <c r="V293">
        <v>73764</v>
      </c>
      <c r="W293">
        <v>0</v>
      </c>
      <c r="X293">
        <v>14768185</v>
      </c>
      <c r="Y293">
        <v>1175449</v>
      </c>
      <c r="Z293">
        <v>126917456</v>
      </c>
      <c r="AA293">
        <v>9501811</v>
      </c>
      <c r="AB293">
        <v>26268</v>
      </c>
      <c r="AC293">
        <v>61095</v>
      </c>
      <c r="AD293">
        <v>916024</v>
      </c>
      <c r="AE293">
        <v>130191</v>
      </c>
      <c r="AF293">
        <v>222006</v>
      </c>
      <c r="AG293">
        <v>1142946</v>
      </c>
      <c r="AH293">
        <v>8885536</v>
      </c>
      <c r="AI293">
        <v>4759</v>
      </c>
      <c r="AJ293">
        <v>2968642</v>
      </c>
      <c r="AK293">
        <v>5902</v>
      </c>
      <c r="AL293">
        <v>1059833</v>
      </c>
      <c r="AM293">
        <v>2394466</v>
      </c>
      <c r="AN293">
        <v>66053</v>
      </c>
      <c r="AO293">
        <v>37479965</v>
      </c>
      <c r="AP293">
        <v>592123</v>
      </c>
      <c r="AQ293">
        <v>340</v>
      </c>
      <c r="AR293">
        <v>287518</v>
      </c>
      <c r="AS293">
        <v>75990919</v>
      </c>
      <c r="AT293">
        <v>26769</v>
      </c>
      <c r="AU293">
        <v>274226</v>
      </c>
      <c r="AV293">
        <v>526106</v>
      </c>
      <c r="AW293">
        <v>293028</v>
      </c>
      <c r="AX293">
        <v>214445</v>
      </c>
      <c r="AY293">
        <v>12795</v>
      </c>
      <c r="AZ293">
        <v>11441772</v>
      </c>
      <c r="BA293">
        <v>1618269</v>
      </c>
      <c r="BB293">
        <v>4007</v>
      </c>
      <c r="BC293">
        <v>69190</v>
      </c>
      <c r="BD293">
        <v>5431712</v>
      </c>
      <c r="BE293">
        <v>799350</v>
      </c>
      <c r="BF293">
        <v>44343148</v>
      </c>
      <c r="BG293">
        <v>0</v>
      </c>
      <c r="BH293">
        <v>23041</v>
      </c>
      <c r="BI293">
        <v>6131</v>
      </c>
      <c r="BJ293">
        <v>26086464</v>
      </c>
      <c r="BK293">
        <v>385912</v>
      </c>
      <c r="BL293">
        <v>16701658</v>
      </c>
      <c r="BM293">
        <v>4405935</v>
      </c>
      <c r="BN293">
        <v>9210946</v>
      </c>
      <c r="BO293">
        <v>283114</v>
      </c>
      <c r="BP293">
        <v>3235</v>
      </c>
      <c r="BQ293">
        <v>3883416</v>
      </c>
      <c r="BR293">
        <v>0</v>
      </c>
      <c r="BS293">
        <v>3872622</v>
      </c>
      <c r="BT293">
        <v>1212766</v>
      </c>
      <c r="BU293">
        <v>0</v>
      </c>
      <c r="BV293">
        <v>1492440</v>
      </c>
    </row>
    <row r="294" spans="1:74" x14ac:dyDescent="0.3">
      <c r="A294" s="155">
        <v>9004</v>
      </c>
      <c r="B294" t="s">
        <v>1032</v>
      </c>
      <c r="C294" t="s">
        <v>1033</v>
      </c>
      <c r="D294" t="s">
        <v>1034</v>
      </c>
      <c r="E294" t="s">
        <v>1034</v>
      </c>
      <c r="F294" t="s">
        <v>1034</v>
      </c>
      <c r="G294" t="s">
        <v>1034</v>
      </c>
      <c r="H294" t="s">
        <v>1034</v>
      </c>
      <c r="I294" t="s">
        <v>351</v>
      </c>
      <c r="J294" t="s">
        <v>351</v>
      </c>
      <c r="K294" t="s">
        <v>351</v>
      </c>
      <c r="L294" t="s">
        <v>1034</v>
      </c>
      <c r="M294" t="s">
        <v>1034</v>
      </c>
      <c r="N294" t="s">
        <v>351</v>
      </c>
      <c r="O294" t="s">
        <v>1034</v>
      </c>
      <c r="P294" t="s">
        <v>1034</v>
      </c>
      <c r="Q294" t="s">
        <v>351</v>
      </c>
      <c r="R294" t="s">
        <v>351</v>
      </c>
      <c r="S294" t="s">
        <v>1034</v>
      </c>
      <c r="T294" t="s">
        <v>351</v>
      </c>
      <c r="U294" t="s">
        <v>1034</v>
      </c>
      <c r="V294" t="s">
        <v>1034</v>
      </c>
      <c r="W294" t="s">
        <v>1034</v>
      </c>
      <c r="X294" t="s">
        <v>1034</v>
      </c>
      <c r="Y294" t="s">
        <v>351</v>
      </c>
      <c r="Z294" t="s">
        <v>1034</v>
      </c>
      <c r="AA294" t="s">
        <v>351</v>
      </c>
      <c r="AB294" t="s">
        <v>1034</v>
      </c>
      <c r="AC294" t="s">
        <v>1034</v>
      </c>
      <c r="AD294" t="s">
        <v>1034</v>
      </c>
      <c r="AE294" t="s">
        <v>1034</v>
      </c>
      <c r="AF294" t="s">
        <v>1034</v>
      </c>
      <c r="AG294" t="s">
        <v>1034</v>
      </c>
      <c r="AH294" t="s">
        <v>1034</v>
      </c>
      <c r="AI294" t="s">
        <v>351</v>
      </c>
      <c r="AJ294" t="s">
        <v>351</v>
      </c>
      <c r="AK294" t="s">
        <v>351</v>
      </c>
      <c r="AL294" t="s">
        <v>1034</v>
      </c>
      <c r="AM294" t="s">
        <v>1034</v>
      </c>
      <c r="AN294" t="s">
        <v>1034</v>
      </c>
      <c r="AO294" t="s">
        <v>1034</v>
      </c>
      <c r="AP294" t="s">
        <v>1034</v>
      </c>
      <c r="AQ294" t="s">
        <v>351</v>
      </c>
      <c r="AR294" t="s">
        <v>1034</v>
      </c>
      <c r="AS294" t="s">
        <v>1034</v>
      </c>
      <c r="AT294" t="s">
        <v>1034</v>
      </c>
      <c r="AU294" t="s">
        <v>1034</v>
      </c>
      <c r="AV294" t="s">
        <v>1034</v>
      </c>
      <c r="AW294" t="s">
        <v>1034</v>
      </c>
      <c r="AX294" t="s">
        <v>351</v>
      </c>
      <c r="AY294" t="s">
        <v>351</v>
      </c>
      <c r="AZ294" t="s">
        <v>1034</v>
      </c>
      <c r="BA294" t="s">
        <v>1034</v>
      </c>
      <c r="BB294" t="s">
        <v>1034</v>
      </c>
      <c r="BC294" t="s">
        <v>1034</v>
      </c>
      <c r="BD294" t="s">
        <v>1034</v>
      </c>
      <c r="BE294" t="s">
        <v>1034</v>
      </c>
      <c r="BF294" t="s">
        <v>1034</v>
      </c>
      <c r="BG294" t="s">
        <v>1034</v>
      </c>
      <c r="BH294" t="s">
        <v>351</v>
      </c>
      <c r="BI294" t="s">
        <v>1034</v>
      </c>
      <c r="BJ294" t="s">
        <v>1034</v>
      </c>
      <c r="BK294" t="s">
        <v>1034</v>
      </c>
      <c r="BL294" t="s">
        <v>1034</v>
      </c>
      <c r="BM294" t="s">
        <v>351</v>
      </c>
      <c r="BN294" t="s">
        <v>1034</v>
      </c>
      <c r="BO294" t="s">
        <v>1034</v>
      </c>
      <c r="BP294" t="s">
        <v>351</v>
      </c>
      <c r="BQ294" t="s">
        <v>351</v>
      </c>
      <c r="BR294" t="s">
        <v>351</v>
      </c>
      <c r="BS294" t="s">
        <v>1034</v>
      </c>
      <c r="BT294" t="s">
        <v>1034</v>
      </c>
      <c r="BU294" t="s">
        <v>1034</v>
      </c>
      <c r="BV294" t="s">
        <v>1034</v>
      </c>
    </row>
    <row r="295" spans="1:74" ht="22.2" customHeight="1" x14ac:dyDescent="0.3">
      <c r="A295" s="155">
        <v>9005</v>
      </c>
      <c r="B295" t="s">
        <v>1035</v>
      </c>
      <c r="C295" t="s">
        <v>1036</v>
      </c>
      <c r="D295">
        <v>8049106</v>
      </c>
      <c r="E295">
        <v>463440787</v>
      </c>
      <c r="F295">
        <v>0</v>
      </c>
      <c r="G295">
        <v>5180022</v>
      </c>
      <c r="H295">
        <v>756020</v>
      </c>
      <c r="I295">
        <v>71858</v>
      </c>
      <c r="J295">
        <v>1407870</v>
      </c>
      <c r="K295">
        <v>7593121</v>
      </c>
      <c r="L295">
        <v>1809789</v>
      </c>
      <c r="M295">
        <v>8410716</v>
      </c>
      <c r="N295">
        <v>758483</v>
      </c>
      <c r="O295">
        <v>961373</v>
      </c>
      <c r="P295">
        <v>0</v>
      </c>
      <c r="Q295">
        <v>571971</v>
      </c>
      <c r="R295">
        <v>1023771</v>
      </c>
      <c r="S295">
        <v>1152751</v>
      </c>
      <c r="T295">
        <v>4221553</v>
      </c>
      <c r="U295">
        <v>915846</v>
      </c>
      <c r="V295">
        <v>1096799</v>
      </c>
      <c r="W295">
        <v>0</v>
      </c>
      <c r="X295">
        <v>4032690</v>
      </c>
      <c r="Y295">
        <v>1550074</v>
      </c>
      <c r="Z295">
        <v>27433838</v>
      </c>
      <c r="AA295">
        <v>8811600</v>
      </c>
      <c r="AB295">
        <v>256839</v>
      </c>
      <c r="AC295">
        <v>390776</v>
      </c>
      <c r="AD295">
        <v>918766</v>
      </c>
      <c r="AE295">
        <v>2190557</v>
      </c>
      <c r="AF295">
        <v>387367</v>
      </c>
      <c r="AG295">
        <v>377695</v>
      </c>
      <c r="AH295">
        <v>2303362</v>
      </c>
      <c r="AI295">
        <v>284343</v>
      </c>
      <c r="AJ295">
        <v>3297014</v>
      </c>
      <c r="AK295">
        <v>615900</v>
      </c>
      <c r="AL295">
        <v>920592</v>
      </c>
      <c r="AM295">
        <v>1677963</v>
      </c>
      <c r="AN295">
        <v>575982</v>
      </c>
      <c r="AO295">
        <v>15136869</v>
      </c>
      <c r="AP295">
        <v>1207519</v>
      </c>
      <c r="AQ295">
        <v>623417</v>
      </c>
      <c r="AR295">
        <v>617483</v>
      </c>
      <c r="AS295">
        <v>19401724</v>
      </c>
      <c r="AT295">
        <v>395821</v>
      </c>
      <c r="AU295">
        <v>6239639</v>
      </c>
      <c r="AV295">
        <v>422851</v>
      </c>
      <c r="AW295">
        <v>364189</v>
      </c>
      <c r="AX295">
        <v>207938</v>
      </c>
      <c r="AY295">
        <v>425977</v>
      </c>
      <c r="AZ295">
        <v>3857953</v>
      </c>
      <c r="BA295">
        <v>1157536</v>
      </c>
      <c r="BB295">
        <v>185296</v>
      </c>
      <c r="BC295">
        <v>1342803</v>
      </c>
      <c r="BD295">
        <v>7146172</v>
      </c>
      <c r="BE295">
        <v>1099603</v>
      </c>
      <c r="BF295">
        <v>7000382</v>
      </c>
      <c r="BG295">
        <v>0</v>
      </c>
      <c r="BH295">
        <v>262900</v>
      </c>
      <c r="BI295">
        <v>451113</v>
      </c>
      <c r="BJ295">
        <v>12536397</v>
      </c>
      <c r="BK295">
        <v>1310565</v>
      </c>
      <c r="BL295">
        <v>11254452</v>
      </c>
      <c r="BM295">
        <v>7176967</v>
      </c>
      <c r="BN295">
        <v>3470002</v>
      </c>
      <c r="BO295">
        <v>2225043</v>
      </c>
      <c r="BP295">
        <v>40196</v>
      </c>
      <c r="BQ295">
        <v>1979549</v>
      </c>
      <c r="BR295">
        <v>0</v>
      </c>
      <c r="BS295">
        <v>2022706</v>
      </c>
      <c r="BT295">
        <v>1378871</v>
      </c>
      <c r="BU295">
        <v>0</v>
      </c>
      <c r="BV295">
        <v>3426273</v>
      </c>
    </row>
    <row r="296" spans="1:74" ht="19.2" customHeight="1" x14ac:dyDescent="0.3">
      <c r="A296" s="155">
        <v>9006</v>
      </c>
      <c r="B296" t="s">
        <v>1037</v>
      </c>
      <c r="C296" t="s">
        <v>1038</v>
      </c>
      <c r="D296">
        <v>4853208</v>
      </c>
      <c r="E296">
        <v>464753825</v>
      </c>
      <c r="F296">
        <v>0</v>
      </c>
      <c r="G296">
        <v>5233150</v>
      </c>
      <c r="H296">
        <v>2114467</v>
      </c>
      <c r="I296">
        <v>26414</v>
      </c>
      <c r="J296">
        <v>338794</v>
      </c>
      <c r="K296">
        <v>1078151</v>
      </c>
      <c r="L296">
        <v>4398306</v>
      </c>
      <c r="M296">
        <v>15123139</v>
      </c>
      <c r="N296">
        <v>78718</v>
      </c>
      <c r="O296">
        <v>621335</v>
      </c>
      <c r="P296">
        <v>0</v>
      </c>
      <c r="Q296">
        <v>858688</v>
      </c>
      <c r="R296">
        <v>1408071</v>
      </c>
      <c r="S296">
        <v>2175981</v>
      </c>
      <c r="T296">
        <v>14701660</v>
      </c>
      <c r="U296">
        <v>1376386</v>
      </c>
      <c r="V296">
        <v>491109</v>
      </c>
      <c r="W296">
        <v>0</v>
      </c>
      <c r="X296">
        <v>8201909</v>
      </c>
      <c r="Y296">
        <v>2288700</v>
      </c>
      <c r="Z296">
        <v>71731386</v>
      </c>
      <c r="AA296">
        <v>9128569</v>
      </c>
      <c r="AB296">
        <v>274002</v>
      </c>
      <c r="AC296">
        <v>296849</v>
      </c>
      <c r="AD296">
        <v>1582125</v>
      </c>
      <c r="AE296">
        <v>1169479</v>
      </c>
      <c r="AF296">
        <v>476940</v>
      </c>
      <c r="AG296">
        <v>1070240</v>
      </c>
      <c r="AH296">
        <v>10167402</v>
      </c>
      <c r="AI296">
        <v>111537</v>
      </c>
      <c r="AJ296">
        <v>2821260</v>
      </c>
      <c r="AK296">
        <v>197094</v>
      </c>
      <c r="AL296">
        <v>873308</v>
      </c>
      <c r="AM296">
        <v>5165777</v>
      </c>
      <c r="AN296">
        <v>296876</v>
      </c>
      <c r="AO296">
        <v>41687995</v>
      </c>
      <c r="AP296">
        <v>1203721</v>
      </c>
      <c r="AQ296">
        <v>81858</v>
      </c>
      <c r="AR296">
        <v>162252</v>
      </c>
      <c r="AS296">
        <v>30047869</v>
      </c>
      <c r="AT296">
        <v>293591</v>
      </c>
      <c r="AU296">
        <v>2232347</v>
      </c>
      <c r="AV296">
        <v>1899134</v>
      </c>
      <c r="AW296">
        <v>317660</v>
      </c>
      <c r="AX296">
        <v>307475</v>
      </c>
      <c r="AY296">
        <v>218643</v>
      </c>
      <c r="AZ296">
        <v>6235452</v>
      </c>
      <c r="BA296">
        <v>2128892</v>
      </c>
      <c r="BB296">
        <v>49055</v>
      </c>
      <c r="BC296">
        <v>321018</v>
      </c>
      <c r="BD296">
        <v>6982460</v>
      </c>
      <c r="BE296">
        <v>1338413</v>
      </c>
      <c r="BF296">
        <v>25953351</v>
      </c>
      <c r="BG296">
        <v>0</v>
      </c>
      <c r="BH296">
        <v>302579</v>
      </c>
      <c r="BI296">
        <v>241637</v>
      </c>
      <c r="BJ296">
        <v>13862800</v>
      </c>
      <c r="BK296">
        <v>1299795</v>
      </c>
      <c r="BL296">
        <v>19616948</v>
      </c>
      <c r="BM296">
        <v>6632908</v>
      </c>
      <c r="BN296">
        <v>8938115</v>
      </c>
      <c r="BO296">
        <v>1542368</v>
      </c>
      <c r="BP296">
        <v>34502</v>
      </c>
      <c r="BQ296">
        <v>3665458</v>
      </c>
      <c r="BR296">
        <v>0</v>
      </c>
      <c r="BS296">
        <v>3078981</v>
      </c>
      <c r="BT296">
        <v>1182705</v>
      </c>
      <c r="BU296">
        <v>0</v>
      </c>
      <c r="BV296">
        <v>2687472</v>
      </c>
    </row>
    <row r="297" spans="1:74" ht="28.8" x14ac:dyDescent="0.3">
      <c r="A297" s="155">
        <v>9007</v>
      </c>
      <c r="B297" s="527" t="s">
        <v>1606</v>
      </c>
      <c r="C297" s="527" t="s">
        <v>1039</v>
      </c>
      <c r="D297">
        <v>1.6585000000000001</v>
      </c>
      <c r="E297">
        <v>0.99719999999999998</v>
      </c>
      <c r="F297">
        <v>0</v>
      </c>
      <c r="G297">
        <v>0.98980000000000001</v>
      </c>
      <c r="H297">
        <v>0.35749999999999998</v>
      </c>
      <c r="I297">
        <v>2.7204999999999999</v>
      </c>
      <c r="J297">
        <v>4.1555</v>
      </c>
      <c r="K297">
        <v>7.0427</v>
      </c>
      <c r="L297">
        <v>0.41149999999999998</v>
      </c>
      <c r="M297">
        <v>0.55610000000000004</v>
      </c>
      <c r="N297">
        <v>9.6354000000000006</v>
      </c>
      <c r="O297">
        <v>1.5472999999999999</v>
      </c>
      <c r="P297">
        <v>0</v>
      </c>
      <c r="Q297">
        <v>0.66610000000000003</v>
      </c>
      <c r="R297">
        <v>0.72709999999999997</v>
      </c>
      <c r="S297">
        <v>0.52980000000000005</v>
      </c>
      <c r="T297">
        <v>0.28710000000000002</v>
      </c>
      <c r="U297">
        <v>0.66539999999999999</v>
      </c>
      <c r="V297">
        <v>2.2332999999999998</v>
      </c>
      <c r="W297">
        <v>0</v>
      </c>
      <c r="X297">
        <v>0.49170000000000003</v>
      </c>
      <c r="Y297">
        <v>0.67730000000000001</v>
      </c>
      <c r="Z297" s="180">
        <v>0.38250000000000001</v>
      </c>
      <c r="AA297">
        <v>0.96530000000000005</v>
      </c>
      <c r="AB297">
        <v>0.93740000000000001</v>
      </c>
      <c r="AC297">
        <v>1.3164</v>
      </c>
      <c r="AD297">
        <v>0.58069999999999999</v>
      </c>
      <c r="AE297">
        <v>1.8731</v>
      </c>
      <c r="AF297">
        <v>0.81220000000000003</v>
      </c>
      <c r="AG297">
        <v>0.35289999999999999</v>
      </c>
      <c r="AH297">
        <v>0.22650000000000001</v>
      </c>
      <c r="AI297">
        <v>2.5493000000000001</v>
      </c>
      <c r="AJ297">
        <v>1.1686000000000001</v>
      </c>
      <c r="AK297">
        <v>3.1248999999999998</v>
      </c>
      <c r="AL297">
        <v>1.0541</v>
      </c>
      <c r="AM297">
        <v>0.32479999999999998</v>
      </c>
      <c r="AN297">
        <v>1.9400999999999999</v>
      </c>
      <c r="AO297">
        <v>0.36309999999999998</v>
      </c>
      <c r="AP297">
        <v>1.0032000000000001</v>
      </c>
      <c r="AQ297">
        <v>7.6158000000000001</v>
      </c>
      <c r="AR297">
        <v>3.8056999999999999</v>
      </c>
      <c r="AS297">
        <v>0.64570000000000005</v>
      </c>
      <c r="AT297">
        <v>1.3482000000000001</v>
      </c>
      <c r="AU297">
        <v>2.7951000000000001</v>
      </c>
      <c r="AV297">
        <v>0.22270000000000001</v>
      </c>
      <c r="AW297">
        <v>1.1465000000000001</v>
      </c>
      <c r="AX297">
        <v>0.67630000000000001</v>
      </c>
      <c r="AY297">
        <v>1.9482999999999999</v>
      </c>
      <c r="AZ297">
        <v>0.61870000000000003</v>
      </c>
      <c r="BA297">
        <v>0.54369999999999996</v>
      </c>
      <c r="BB297">
        <v>3.7772999999999999</v>
      </c>
      <c r="BC297">
        <v>4.1829999999999998</v>
      </c>
      <c r="BD297">
        <v>1.0234000000000001</v>
      </c>
      <c r="BE297">
        <v>0.8216</v>
      </c>
      <c r="BF297">
        <v>0.2697</v>
      </c>
      <c r="BG297">
        <v>0</v>
      </c>
      <c r="BH297">
        <v>0.86890000000000001</v>
      </c>
      <c r="BI297">
        <v>1.8669</v>
      </c>
      <c r="BJ297">
        <v>0.90429999999999999</v>
      </c>
      <c r="BK297">
        <v>1.0083</v>
      </c>
      <c r="BL297">
        <v>0.57369999999999999</v>
      </c>
      <c r="BM297">
        <v>1.0820000000000001</v>
      </c>
      <c r="BN297">
        <v>0.38819999999999999</v>
      </c>
      <c r="BO297">
        <v>1.4426000000000001</v>
      </c>
      <c r="BP297">
        <v>1.165</v>
      </c>
      <c r="BQ297">
        <v>0.54010000000000002</v>
      </c>
      <c r="BR297">
        <v>0</v>
      </c>
      <c r="BS297">
        <v>0.65690000000000004</v>
      </c>
      <c r="BT297">
        <v>1.1658999999999999</v>
      </c>
      <c r="BU297">
        <v>0</v>
      </c>
      <c r="BV297">
        <v>1.2748999999999999</v>
      </c>
    </row>
    <row r="298" spans="1:74" ht="21" customHeight="1" x14ac:dyDescent="0.3">
      <c r="A298" s="155">
        <v>9008</v>
      </c>
      <c r="B298" t="s">
        <v>1040</v>
      </c>
      <c r="C298" t="s">
        <v>351</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row>
    <row r="299" spans="1:74" x14ac:dyDescent="0.3">
      <c r="A299" s="155">
        <v>9010</v>
      </c>
      <c r="B299" t="s">
        <v>1041</v>
      </c>
      <c r="C299" t="s">
        <v>1042</v>
      </c>
      <c r="D299">
        <v>7.52</v>
      </c>
      <c r="E299">
        <v>18.5</v>
      </c>
      <c r="F299">
        <v>0</v>
      </c>
      <c r="G299">
        <v>10.72</v>
      </c>
      <c r="H299">
        <v>16.850000000000001</v>
      </c>
      <c r="I299">
        <v>0</v>
      </c>
      <c r="J299">
        <v>0</v>
      </c>
      <c r="K299">
        <v>0</v>
      </c>
      <c r="L299">
        <v>1.58</v>
      </c>
      <c r="M299">
        <v>4.2699999999999996</v>
      </c>
      <c r="N299">
        <v>0</v>
      </c>
      <c r="O299">
        <v>24.09</v>
      </c>
      <c r="P299">
        <v>0</v>
      </c>
      <c r="Q299">
        <v>0</v>
      </c>
      <c r="R299">
        <v>0</v>
      </c>
      <c r="S299">
        <v>8.4600000000000009</v>
      </c>
      <c r="T299">
        <v>0</v>
      </c>
      <c r="U299">
        <v>5.96</v>
      </c>
      <c r="V299">
        <v>6.95</v>
      </c>
      <c r="W299">
        <v>0</v>
      </c>
      <c r="X299">
        <v>16.39</v>
      </c>
      <c r="Y299">
        <v>0</v>
      </c>
      <c r="Z299">
        <v>11.45</v>
      </c>
      <c r="AA299">
        <v>0</v>
      </c>
      <c r="AB299">
        <v>1.58</v>
      </c>
      <c r="AC299">
        <v>5.73</v>
      </c>
      <c r="AD299">
        <v>17.100000000000001</v>
      </c>
      <c r="AE299">
        <v>1.85</v>
      </c>
      <c r="AF299">
        <v>4.2</v>
      </c>
      <c r="AG299">
        <v>1.93</v>
      </c>
      <c r="AH299">
        <v>6.84</v>
      </c>
      <c r="AI299">
        <v>0</v>
      </c>
      <c r="AJ299">
        <v>0</v>
      </c>
      <c r="AK299">
        <v>0</v>
      </c>
      <c r="AL299">
        <v>10.17</v>
      </c>
      <c r="AM299">
        <v>5.6</v>
      </c>
      <c r="AN299">
        <v>6.72</v>
      </c>
      <c r="AO299">
        <v>2.77</v>
      </c>
      <c r="AP299">
        <v>4.2699999999999996</v>
      </c>
      <c r="AQ299">
        <v>0</v>
      </c>
      <c r="AR299">
        <v>3.69</v>
      </c>
      <c r="AS299">
        <v>3.51</v>
      </c>
      <c r="AT299">
        <v>9.82</v>
      </c>
      <c r="AU299">
        <v>52.76</v>
      </c>
      <c r="AV299">
        <v>2.4</v>
      </c>
      <c r="AW299">
        <v>13.02</v>
      </c>
      <c r="AX299">
        <v>0</v>
      </c>
      <c r="AY299">
        <v>0</v>
      </c>
      <c r="AZ299">
        <v>29.58</v>
      </c>
      <c r="BA299">
        <v>9.51</v>
      </c>
      <c r="BB299">
        <v>26.7</v>
      </c>
      <c r="BC299">
        <v>92.75</v>
      </c>
      <c r="BD299">
        <v>49.19</v>
      </c>
      <c r="BE299">
        <v>2.37</v>
      </c>
      <c r="BF299">
        <v>4.51</v>
      </c>
      <c r="BG299">
        <v>0</v>
      </c>
      <c r="BH299">
        <v>0</v>
      </c>
      <c r="BI299">
        <v>16.350000000000001</v>
      </c>
      <c r="BJ299">
        <v>8.07</v>
      </c>
      <c r="BK299">
        <v>8.83</v>
      </c>
      <c r="BL299">
        <v>27.85</v>
      </c>
      <c r="BM299">
        <v>0</v>
      </c>
      <c r="BN299">
        <v>3.75</v>
      </c>
      <c r="BO299">
        <v>4.4800000000000004</v>
      </c>
      <c r="BP299">
        <v>0</v>
      </c>
      <c r="BQ299">
        <v>0</v>
      </c>
      <c r="BR299">
        <v>0</v>
      </c>
      <c r="BS299">
        <v>2.66</v>
      </c>
      <c r="BT299">
        <v>6.16</v>
      </c>
      <c r="BU299">
        <v>0</v>
      </c>
      <c r="BV299">
        <v>0.72</v>
      </c>
    </row>
    <row r="300" spans="1:74" x14ac:dyDescent="0.3">
      <c r="A300" s="155">
        <v>9011</v>
      </c>
      <c r="B300" t="s">
        <v>1708</v>
      </c>
      <c r="C300" t="s">
        <v>1043</v>
      </c>
      <c r="D300">
        <v>552963</v>
      </c>
      <c r="E300">
        <v>94820077</v>
      </c>
      <c r="F300">
        <v>0</v>
      </c>
      <c r="G300">
        <v>719096</v>
      </c>
      <c r="H300">
        <v>-110307</v>
      </c>
      <c r="I300">
        <v>0</v>
      </c>
      <c r="J300">
        <v>0</v>
      </c>
      <c r="K300">
        <v>0</v>
      </c>
      <c r="L300">
        <v>-175229</v>
      </c>
      <c r="M300">
        <v>1158738</v>
      </c>
      <c r="N300">
        <v>0</v>
      </c>
      <c r="O300">
        <v>81001</v>
      </c>
      <c r="P300">
        <v>0</v>
      </c>
      <c r="Q300">
        <v>0</v>
      </c>
      <c r="R300">
        <v>0</v>
      </c>
      <c r="S300">
        <v>56254</v>
      </c>
      <c r="T300">
        <v>0</v>
      </c>
      <c r="U300">
        <v>-45479</v>
      </c>
      <c r="V300">
        <v>86378</v>
      </c>
      <c r="W300">
        <v>0</v>
      </c>
      <c r="X300">
        <v>1019220</v>
      </c>
      <c r="Y300">
        <v>0</v>
      </c>
      <c r="Z300">
        <v>535761</v>
      </c>
      <c r="AA300">
        <v>0</v>
      </c>
      <c r="AB300">
        <v>5592</v>
      </c>
      <c r="AC300">
        <v>-27802</v>
      </c>
      <c r="AD300">
        <v>-1212022</v>
      </c>
      <c r="AE300">
        <v>10993</v>
      </c>
      <c r="AF300">
        <v>-1057</v>
      </c>
      <c r="AG300">
        <v>-100447</v>
      </c>
      <c r="AH300">
        <v>-376329</v>
      </c>
      <c r="AI300">
        <v>0</v>
      </c>
      <c r="AJ300">
        <v>0</v>
      </c>
      <c r="AK300">
        <v>0</v>
      </c>
      <c r="AL300">
        <v>60149</v>
      </c>
      <c r="AM300">
        <v>-23784</v>
      </c>
      <c r="AN300">
        <v>39874</v>
      </c>
      <c r="AO300">
        <v>4612706</v>
      </c>
      <c r="AP300">
        <v>122179</v>
      </c>
      <c r="AQ300">
        <v>0</v>
      </c>
      <c r="AR300">
        <v>5545</v>
      </c>
      <c r="AS300">
        <v>-58432</v>
      </c>
      <c r="AT300">
        <v>43624</v>
      </c>
      <c r="AU300">
        <v>399003</v>
      </c>
      <c r="AV300">
        <v>117368</v>
      </c>
      <c r="AW300">
        <v>71321</v>
      </c>
      <c r="AX300">
        <v>0</v>
      </c>
      <c r="AY300">
        <v>0</v>
      </c>
      <c r="AZ300">
        <v>453247</v>
      </c>
      <c r="BA300">
        <v>108511</v>
      </c>
      <c r="BB300">
        <v>51994</v>
      </c>
      <c r="BC300">
        <v>43408</v>
      </c>
      <c r="BD300">
        <v>1557478</v>
      </c>
      <c r="BE300">
        <v>-322906</v>
      </c>
      <c r="BF300">
        <v>628660</v>
      </c>
      <c r="BG300">
        <v>0</v>
      </c>
      <c r="BH300">
        <v>0</v>
      </c>
      <c r="BI300">
        <v>841</v>
      </c>
      <c r="BJ300">
        <v>1701367</v>
      </c>
      <c r="BK300">
        <v>82248</v>
      </c>
      <c r="BL300">
        <v>1791782</v>
      </c>
      <c r="BM300">
        <v>0</v>
      </c>
      <c r="BN300">
        <v>1016205</v>
      </c>
      <c r="BO300">
        <v>-21711</v>
      </c>
      <c r="BP300">
        <v>0</v>
      </c>
      <c r="BQ300">
        <v>0</v>
      </c>
      <c r="BR300">
        <v>0</v>
      </c>
      <c r="BS300">
        <v>-203890</v>
      </c>
      <c r="BT300">
        <v>25351</v>
      </c>
      <c r="BU300">
        <v>0</v>
      </c>
      <c r="BV300">
        <v>61076</v>
      </c>
    </row>
    <row r="301" spans="1:74" x14ac:dyDescent="0.3">
      <c r="A301" s="155">
        <v>9012</v>
      </c>
      <c r="B301" t="s">
        <v>1709</v>
      </c>
      <c r="C301" t="s">
        <v>1043</v>
      </c>
      <c r="D301">
        <v>2.8386999999999998</v>
      </c>
      <c r="E301">
        <v>2.6673</v>
      </c>
      <c r="F301">
        <v>0</v>
      </c>
      <c r="G301">
        <v>1.4973000000000001</v>
      </c>
      <c r="H301">
        <v>0.43290000000000001</v>
      </c>
      <c r="I301">
        <v>0</v>
      </c>
      <c r="J301">
        <v>0</v>
      </c>
      <c r="K301">
        <v>0</v>
      </c>
      <c r="L301">
        <v>0.23469999999999999</v>
      </c>
      <c r="M301">
        <v>1.0185999999999999</v>
      </c>
      <c r="N301">
        <v>0</v>
      </c>
      <c r="O301">
        <v>1.9395</v>
      </c>
      <c r="P301">
        <v>0</v>
      </c>
      <c r="Q301">
        <v>0</v>
      </c>
      <c r="R301">
        <v>0</v>
      </c>
      <c r="S301">
        <v>2.0253999999999999</v>
      </c>
      <c r="T301">
        <v>0</v>
      </c>
      <c r="U301">
        <v>0.62670000000000003</v>
      </c>
      <c r="V301">
        <v>0.38450000000000001</v>
      </c>
      <c r="W301">
        <v>0</v>
      </c>
      <c r="X301">
        <v>0.54530000000000001</v>
      </c>
      <c r="Y301">
        <v>0</v>
      </c>
      <c r="Z301">
        <v>0.64139999999999997</v>
      </c>
      <c r="AA301">
        <v>0</v>
      </c>
      <c r="AB301">
        <v>0.24890000000000001</v>
      </c>
      <c r="AC301">
        <v>0.38140000000000002</v>
      </c>
      <c r="AD301">
        <v>0.41489999999999999</v>
      </c>
      <c r="AE301">
        <v>0.52010000000000001</v>
      </c>
      <c r="AF301">
        <v>0.47920000000000001</v>
      </c>
      <c r="AG301">
        <v>0.16650000000000001</v>
      </c>
      <c r="AH301">
        <v>0.29559999999999997</v>
      </c>
      <c r="AI301">
        <v>0</v>
      </c>
      <c r="AJ301">
        <v>0</v>
      </c>
      <c r="AK301">
        <v>0</v>
      </c>
      <c r="AL301">
        <v>1.4205000000000001</v>
      </c>
      <c r="AM301">
        <v>0.88380000000000003</v>
      </c>
      <c r="AN301">
        <v>1.4047000000000001</v>
      </c>
      <c r="AO301">
        <v>1.3658999999999999</v>
      </c>
      <c r="AP301">
        <v>0.78169999999999995</v>
      </c>
      <c r="AQ301">
        <v>0</v>
      </c>
      <c r="AR301">
        <v>1.4271</v>
      </c>
      <c r="AS301">
        <v>0.70979999999999999</v>
      </c>
      <c r="AT301">
        <v>2.7109000000000001</v>
      </c>
      <c r="AU301">
        <v>6.3197999999999999</v>
      </c>
      <c r="AV301">
        <v>7.2400000000000006E-2</v>
      </c>
      <c r="AW301">
        <v>1.3454999999999999</v>
      </c>
      <c r="AX301">
        <v>0</v>
      </c>
      <c r="AY301">
        <v>0</v>
      </c>
      <c r="AZ301">
        <v>0.86880000000000002</v>
      </c>
      <c r="BA301">
        <v>1.86</v>
      </c>
      <c r="BB301">
        <v>1.3982000000000001</v>
      </c>
      <c r="BC301">
        <v>9.9974000000000007</v>
      </c>
      <c r="BD301">
        <v>1.5730999999999999</v>
      </c>
      <c r="BE301">
        <v>0.11899999999999999</v>
      </c>
      <c r="BF301">
        <v>0.98309999999999997</v>
      </c>
      <c r="BG301">
        <v>0</v>
      </c>
      <c r="BH301">
        <v>0</v>
      </c>
      <c r="BI301">
        <v>5.7252999999999998</v>
      </c>
      <c r="BJ301">
        <v>1.7341</v>
      </c>
      <c r="BK301">
        <v>0.64390000000000003</v>
      </c>
      <c r="BL301">
        <v>1.9165000000000001</v>
      </c>
      <c r="BM301">
        <v>0</v>
      </c>
      <c r="BN301">
        <v>0.51180000000000003</v>
      </c>
      <c r="BO301">
        <v>0.92730000000000001</v>
      </c>
      <c r="BP301">
        <v>0</v>
      </c>
      <c r="BQ301">
        <v>0</v>
      </c>
      <c r="BR301">
        <v>0</v>
      </c>
      <c r="BS301">
        <v>0.95820000000000005</v>
      </c>
      <c r="BT301">
        <v>0.66139999999999999</v>
      </c>
      <c r="BU301">
        <v>0</v>
      </c>
      <c r="BV301">
        <v>4.3099999999999999E-2</v>
      </c>
    </row>
    <row r="302" spans="1:74" x14ac:dyDescent="0.3">
      <c r="A302" s="155">
        <v>9013</v>
      </c>
      <c r="B302" t="s">
        <v>1044</v>
      </c>
      <c r="C302" t="s">
        <v>1045</v>
      </c>
      <c r="D302">
        <v>7.52</v>
      </c>
      <c r="E302">
        <v>18.5</v>
      </c>
      <c r="F302">
        <v>0</v>
      </c>
      <c r="G302">
        <v>10.72</v>
      </c>
      <c r="H302">
        <v>16.850000000000001</v>
      </c>
      <c r="I302">
        <v>0</v>
      </c>
      <c r="J302">
        <v>0</v>
      </c>
      <c r="K302">
        <v>0</v>
      </c>
      <c r="L302">
        <v>1.58</v>
      </c>
      <c r="M302">
        <v>4.2699999999999996</v>
      </c>
      <c r="N302">
        <v>0</v>
      </c>
      <c r="O302">
        <v>24.09</v>
      </c>
      <c r="P302">
        <v>0</v>
      </c>
      <c r="Q302">
        <v>0</v>
      </c>
      <c r="R302">
        <v>0</v>
      </c>
      <c r="S302">
        <v>8.4600000000000009</v>
      </c>
      <c r="T302">
        <v>0</v>
      </c>
      <c r="U302">
        <v>5.96</v>
      </c>
      <c r="V302">
        <v>6.95</v>
      </c>
      <c r="W302">
        <v>0</v>
      </c>
      <c r="X302">
        <v>16.39</v>
      </c>
      <c r="Y302">
        <v>0</v>
      </c>
      <c r="Z302">
        <v>11.45</v>
      </c>
      <c r="AA302">
        <v>0</v>
      </c>
      <c r="AB302">
        <v>1.58</v>
      </c>
      <c r="AC302">
        <v>5.73</v>
      </c>
      <c r="AD302">
        <v>17.100000000000001</v>
      </c>
      <c r="AE302">
        <v>1.85</v>
      </c>
      <c r="AF302">
        <v>4.2</v>
      </c>
      <c r="AG302">
        <v>1.93</v>
      </c>
      <c r="AH302">
        <v>6.84</v>
      </c>
      <c r="AI302">
        <v>0</v>
      </c>
      <c r="AJ302">
        <v>0</v>
      </c>
      <c r="AK302">
        <v>0</v>
      </c>
      <c r="AL302">
        <v>10.17</v>
      </c>
      <c r="AM302">
        <v>5.6</v>
      </c>
      <c r="AN302">
        <v>6.72</v>
      </c>
      <c r="AO302">
        <v>2.77</v>
      </c>
      <c r="AP302">
        <v>4.2699999999999996</v>
      </c>
      <c r="AQ302">
        <v>0</v>
      </c>
      <c r="AR302">
        <v>3.69</v>
      </c>
      <c r="AS302">
        <v>3.51</v>
      </c>
      <c r="AT302">
        <v>9.82</v>
      </c>
      <c r="AU302">
        <v>52.76</v>
      </c>
      <c r="AV302">
        <v>2.4</v>
      </c>
      <c r="AW302">
        <v>13.02</v>
      </c>
      <c r="AX302">
        <v>0</v>
      </c>
      <c r="AY302">
        <v>0</v>
      </c>
      <c r="AZ302">
        <v>29.58</v>
      </c>
      <c r="BA302">
        <v>9.51</v>
      </c>
      <c r="BB302">
        <v>26.7</v>
      </c>
      <c r="BC302">
        <v>92.75</v>
      </c>
      <c r="BD302">
        <v>49.19</v>
      </c>
      <c r="BE302">
        <v>2.37</v>
      </c>
      <c r="BF302">
        <v>4.51</v>
      </c>
      <c r="BG302">
        <v>0</v>
      </c>
      <c r="BH302">
        <v>0</v>
      </c>
      <c r="BI302">
        <v>16.350000000000001</v>
      </c>
      <c r="BJ302">
        <v>8.07</v>
      </c>
      <c r="BK302">
        <v>8.83</v>
      </c>
      <c r="BL302">
        <v>27.85</v>
      </c>
      <c r="BM302">
        <v>0</v>
      </c>
      <c r="BN302">
        <v>3.75</v>
      </c>
      <c r="BO302">
        <v>4.4800000000000004</v>
      </c>
      <c r="BP302">
        <v>0</v>
      </c>
      <c r="BQ302">
        <v>0</v>
      </c>
      <c r="BR302">
        <v>0</v>
      </c>
      <c r="BS302">
        <v>2.66</v>
      </c>
      <c r="BT302">
        <v>6.16</v>
      </c>
      <c r="BU302">
        <v>0</v>
      </c>
      <c r="BV302">
        <v>0.72</v>
      </c>
    </row>
    <row r="303" spans="1:74" x14ac:dyDescent="0.3">
      <c r="A303" s="155">
        <v>9014</v>
      </c>
      <c r="B303" t="s">
        <v>1046</v>
      </c>
      <c r="C303" t="s">
        <v>1047</v>
      </c>
      <c r="D303">
        <v>0</v>
      </c>
      <c r="E303">
        <v>0</v>
      </c>
      <c r="F303">
        <v>0</v>
      </c>
      <c r="G303">
        <v>0</v>
      </c>
      <c r="H303">
        <v>0</v>
      </c>
      <c r="I303">
        <v>0</v>
      </c>
      <c r="J303">
        <v>0</v>
      </c>
      <c r="K303">
        <v>0</v>
      </c>
      <c r="L303">
        <v>2.86</v>
      </c>
      <c r="M303">
        <v>0</v>
      </c>
      <c r="N303">
        <v>0</v>
      </c>
      <c r="O303">
        <v>0</v>
      </c>
      <c r="P303">
        <v>0</v>
      </c>
      <c r="Q303">
        <v>0</v>
      </c>
      <c r="R303">
        <v>0</v>
      </c>
      <c r="S303">
        <v>0</v>
      </c>
      <c r="T303">
        <v>0</v>
      </c>
      <c r="U303">
        <v>0</v>
      </c>
      <c r="V303">
        <v>0</v>
      </c>
      <c r="W303">
        <v>0</v>
      </c>
      <c r="X303">
        <v>0</v>
      </c>
      <c r="Y303">
        <v>0</v>
      </c>
      <c r="Z303">
        <v>6.3</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2.77</v>
      </c>
      <c r="AW303">
        <v>0</v>
      </c>
      <c r="AX303">
        <v>0</v>
      </c>
      <c r="AY303">
        <v>0</v>
      </c>
      <c r="AZ303">
        <v>3.57</v>
      </c>
      <c r="BA303">
        <v>0</v>
      </c>
      <c r="BB303">
        <v>0</v>
      </c>
      <c r="BC303">
        <v>0</v>
      </c>
      <c r="BD303">
        <v>0</v>
      </c>
      <c r="BE303">
        <v>22</v>
      </c>
      <c r="BF303">
        <v>6.88</v>
      </c>
      <c r="BG303">
        <v>0</v>
      </c>
      <c r="BH303">
        <v>0</v>
      </c>
      <c r="BI303">
        <v>0</v>
      </c>
      <c r="BJ303">
        <v>5.99</v>
      </c>
      <c r="BK303">
        <v>0</v>
      </c>
      <c r="BL303">
        <v>0</v>
      </c>
      <c r="BM303">
        <v>0</v>
      </c>
      <c r="BN303">
        <v>5.46</v>
      </c>
      <c r="BO303">
        <v>0</v>
      </c>
      <c r="BP303">
        <v>0</v>
      </c>
      <c r="BQ303">
        <v>0</v>
      </c>
      <c r="BR303">
        <v>0</v>
      </c>
      <c r="BS303">
        <v>0</v>
      </c>
      <c r="BT303">
        <v>0</v>
      </c>
      <c r="BU303">
        <v>0</v>
      </c>
      <c r="BV303">
        <v>0</v>
      </c>
    </row>
    <row r="304" spans="1:74" x14ac:dyDescent="0.3">
      <c r="A304" s="155">
        <v>9015</v>
      </c>
      <c r="B304" t="s">
        <v>1710</v>
      </c>
      <c r="C304" t="s">
        <v>351</v>
      </c>
      <c r="D304">
        <v>0</v>
      </c>
      <c r="E304">
        <v>0</v>
      </c>
      <c r="F304">
        <v>0</v>
      </c>
      <c r="G304">
        <v>0</v>
      </c>
      <c r="H304">
        <v>0</v>
      </c>
      <c r="I304">
        <v>0</v>
      </c>
      <c r="J304">
        <v>0</v>
      </c>
      <c r="K304">
        <v>0</v>
      </c>
      <c r="L304">
        <v>39071</v>
      </c>
      <c r="M304">
        <v>0</v>
      </c>
      <c r="N304">
        <v>0</v>
      </c>
      <c r="O304">
        <v>0</v>
      </c>
      <c r="P304">
        <v>0</v>
      </c>
      <c r="Q304">
        <v>0</v>
      </c>
      <c r="R304">
        <v>0</v>
      </c>
      <c r="S304">
        <v>0</v>
      </c>
      <c r="T304">
        <v>0</v>
      </c>
      <c r="U304">
        <v>0</v>
      </c>
      <c r="V304">
        <v>0</v>
      </c>
      <c r="W304">
        <v>0</v>
      </c>
      <c r="X304">
        <v>0</v>
      </c>
      <c r="Y304">
        <v>0</v>
      </c>
      <c r="Z304">
        <v>6776755</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124825</v>
      </c>
      <c r="AW304">
        <v>0</v>
      </c>
      <c r="AX304">
        <v>0</v>
      </c>
      <c r="AY304">
        <v>0</v>
      </c>
      <c r="AZ304">
        <v>679774</v>
      </c>
      <c r="BA304">
        <v>0</v>
      </c>
      <c r="BB304">
        <v>0</v>
      </c>
      <c r="BC304">
        <v>0</v>
      </c>
      <c r="BD304">
        <v>0</v>
      </c>
      <c r="BE304">
        <v>552972</v>
      </c>
      <c r="BF304">
        <v>7662882</v>
      </c>
      <c r="BG304">
        <v>0</v>
      </c>
      <c r="BH304">
        <v>0</v>
      </c>
      <c r="BI304">
        <v>0</v>
      </c>
      <c r="BJ304">
        <v>800455</v>
      </c>
      <c r="BK304">
        <v>0</v>
      </c>
      <c r="BL304">
        <v>0</v>
      </c>
      <c r="BM304">
        <v>0</v>
      </c>
      <c r="BN304">
        <v>738018</v>
      </c>
      <c r="BO304">
        <v>0</v>
      </c>
      <c r="BP304">
        <v>0</v>
      </c>
      <c r="BQ304">
        <v>0</v>
      </c>
      <c r="BR304">
        <v>0</v>
      </c>
      <c r="BS304">
        <v>0</v>
      </c>
      <c r="BT304">
        <v>0</v>
      </c>
      <c r="BU304">
        <v>0</v>
      </c>
      <c r="BV304">
        <v>0</v>
      </c>
    </row>
    <row r="305" spans="1:89" x14ac:dyDescent="0.3">
      <c r="A305" s="155">
        <v>9016</v>
      </c>
      <c r="B305" t="s">
        <v>1711</v>
      </c>
      <c r="C305" t="s">
        <v>351</v>
      </c>
      <c r="D305">
        <v>0</v>
      </c>
      <c r="E305">
        <v>0</v>
      </c>
      <c r="F305">
        <v>0</v>
      </c>
      <c r="G305">
        <v>0</v>
      </c>
      <c r="H305">
        <v>0</v>
      </c>
      <c r="I305">
        <v>0</v>
      </c>
      <c r="J305">
        <v>0</v>
      </c>
      <c r="K305">
        <v>0</v>
      </c>
      <c r="L305">
        <v>9.35E-2</v>
      </c>
      <c r="M305">
        <v>0</v>
      </c>
      <c r="N305">
        <v>0</v>
      </c>
      <c r="O305">
        <v>0</v>
      </c>
      <c r="P305">
        <v>0</v>
      </c>
      <c r="Q305">
        <v>0</v>
      </c>
      <c r="R305">
        <v>0</v>
      </c>
      <c r="S305">
        <v>0</v>
      </c>
      <c r="T305">
        <v>0</v>
      </c>
      <c r="U305">
        <v>0</v>
      </c>
      <c r="V305">
        <v>0</v>
      </c>
      <c r="W305">
        <v>0</v>
      </c>
      <c r="X305">
        <v>0</v>
      </c>
      <c r="Y305">
        <v>0</v>
      </c>
      <c r="Z305">
        <v>0.56579999999999997</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0.49809999999999999</v>
      </c>
      <c r="AW305">
        <v>0</v>
      </c>
      <c r="AX305">
        <v>0</v>
      </c>
      <c r="AY305">
        <v>0</v>
      </c>
      <c r="AZ305">
        <v>0.3664</v>
      </c>
      <c r="BA305">
        <v>0</v>
      </c>
      <c r="BB305">
        <v>0</v>
      </c>
      <c r="BC305">
        <v>0</v>
      </c>
      <c r="BD305">
        <v>0</v>
      </c>
      <c r="BE305">
        <v>1.1989000000000001</v>
      </c>
      <c r="BF305">
        <v>0.61709999999999998</v>
      </c>
      <c r="BG305">
        <v>0</v>
      </c>
      <c r="BH305">
        <v>0</v>
      </c>
      <c r="BI305">
        <v>0</v>
      </c>
      <c r="BJ305">
        <v>0.77490000000000003</v>
      </c>
      <c r="BK305">
        <v>0</v>
      </c>
      <c r="BL305">
        <v>0</v>
      </c>
      <c r="BM305">
        <v>0</v>
      </c>
      <c r="BN305">
        <v>0.92179999999999995</v>
      </c>
      <c r="BO305">
        <v>0</v>
      </c>
      <c r="BP305">
        <v>0</v>
      </c>
      <c r="BQ305">
        <v>0</v>
      </c>
      <c r="BR305">
        <v>0</v>
      </c>
      <c r="BS305">
        <v>0</v>
      </c>
      <c r="BT305">
        <v>0</v>
      </c>
      <c r="BU305">
        <v>0</v>
      </c>
      <c r="BV305">
        <v>0</v>
      </c>
    </row>
    <row r="306" spans="1:89" x14ac:dyDescent="0.3">
      <c r="A306" s="155">
        <v>9017</v>
      </c>
      <c r="B306" t="s">
        <v>1048</v>
      </c>
      <c r="C306" t="s">
        <v>1049</v>
      </c>
      <c r="D306">
        <v>0</v>
      </c>
      <c r="E306">
        <v>0</v>
      </c>
      <c r="F306">
        <v>0</v>
      </c>
      <c r="G306">
        <v>0</v>
      </c>
      <c r="H306">
        <v>0</v>
      </c>
      <c r="I306">
        <v>0</v>
      </c>
      <c r="J306">
        <v>0</v>
      </c>
      <c r="K306">
        <v>0</v>
      </c>
      <c r="L306">
        <v>2.86</v>
      </c>
      <c r="M306">
        <v>0</v>
      </c>
      <c r="N306">
        <v>0</v>
      </c>
      <c r="O306">
        <v>0</v>
      </c>
      <c r="P306">
        <v>0</v>
      </c>
      <c r="Q306">
        <v>0</v>
      </c>
      <c r="R306">
        <v>0</v>
      </c>
      <c r="S306">
        <v>0</v>
      </c>
      <c r="T306">
        <v>0</v>
      </c>
      <c r="U306">
        <v>0</v>
      </c>
      <c r="V306">
        <v>0</v>
      </c>
      <c r="W306">
        <v>0</v>
      </c>
      <c r="X306">
        <v>0</v>
      </c>
      <c r="Y306">
        <v>0</v>
      </c>
      <c r="Z306">
        <v>6.3</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2.77</v>
      </c>
      <c r="AW306">
        <v>0</v>
      </c>
      <c r="AX306">
        <v>0</v>
      </c>
      <c r="AY306">
        <v>0</v>
      </c>
      <c r="AZ306">
        <v>3.57</v>
      </c>
      <c r="BA306">
        <v>0</v>
      </c>
      <c r="BB306">
        <v>0</v>
      </c>
      <c r="BC306">
        <v>0</v>
      </c>
      <c r="BD306">
        <v>0</v>
      </c>
      <c r="BE306">
        <v>22</v>
      </c>
      <c r="BF306">
        <v>6.88</v>
      </c>
      <c r="BG306">
        <v>0</v>
      </c>
      <c r="BH306">
        <v>0</v>
      </c>
      <c r="BI306">
        <v>0</v>
      </c>
      <c r="BJ306">
        <v>5.99</v>
      </c>
      <c r="BK306">
        <v>0</v>
      </c>
      <c r="BL306">
        <v>0</v>
      </c>
      <c r="BM306">
        <v>0</v>
      </c>
      <c r="BN306">
        <v>5.46</v>
      </c>
      <c r="BO306">
        <v>0</v>
      </c>
      <c r="BP306">
        <v>0</v>
      </c>
      <c r="BQ306">
        <v>0</v>
      </c>
      <c r="BR306">
        <v>0</v>
      </c>
      <c r="BS306">
        <v>0</v>
      </c>
      <c r="BT306">
        <v>0</v>
      </c>
      <c r="BU306">
        <v>0</v>
      </c>
      <c r="BV306">
        <v>0</v>
      </c>
    </row>
    <row r="307" spans="1:89" x14ac:dyDescent="0.3">
      <c r="A307" s="155">
        <v>9018</v>
      </c>
      <c r="B307" t="s">
        <v>1050</v>
      </c>
      <c r="C307" t="s">
        <v>1051</v>
      </c>
      <c r="D307">
        <v>442379</v>
      </c>
      <c r="E307">
        <v>153718304</v>
      </c>
      <c r="F307">
        <v>0</v>
      </c>
      <c r="G307">
        <v>283387</v>
      </c>
      <c r="H307">
        <v>64033</v>
      </c>
      <c r="I307">
        <v>0</v>
      </c>
      <c r="J307">
        <v>509</v>
      </c>
      <c r="K307">
        <v>14627</v>
      </c>
      <c r="L307">
        <v>499273</v>
      </c>
      <c r="M307">
        <v>1528604</v>
      </c>
      <c r="N307">
        <v>5950</v>
      </c>
      <c r="O307">
        <v>26062</v>
      </c>
      <c r="P307">
        <v>0</v>
      </c>
      <c r="Q307">
        <v>5890</v>
      </c>
      <c r="R307">
        <v>62873</v>
      </c>
      <c r="S307">
        <v>37462</v>
      </c>
      <c r="T307">
        <v>1716207</v>
      </c>
      <c r="U307">
        <v>184627</v>
      </c>
      <c r="V307">
        <v>1592</v>
      </c>
      <c r="W307">
        <v>0</v>
      </c>
      <c r="X307">
        <v>498635</v>
      </c>
      <c r="Y307">
        <v>241630</v>
      </c>
      <c r="Z307">
        <v>10011300</v>
      </c>
      <c r="AA307">
        <v>433151</v>
      </c>
      <c r="AB307">
        <v>36168</v>
      </c>
      <c r="AC307">
        <v>15168</v>
      </c>
      <c r="AD307">
        <v>34949</v>
      </c>
      <c r="AE307">
        <v>32249</v>
      </c>
      <c r="AF307">
        <v>30915</v>
      </c>
      <c r="AG307">
        <v>79983</v>
      </c>
      <c r="AH307">
        <v>957961</v>
      </c>
      <c r="AI307">
        <v>4759</v>
      </c>
      <c r="AJ307">
        <v>337395</v>
      </c>
      <c r="AK307">
        <v>5902</v>
      </c>
      <c r="AL307">
        <v>122144</v>
      </c>
      <c r="AM307">
        <v>506081</v>
      </c>
      <c r="AN307">
        <v>24394</v>
      </c>
      <c r="AO307">
        <v>5306141</v>
      </c>
      <c r="AP307">
        <v>63867</v>
      </c>
      <c r="AQ307">
        <v>340</v>
      </c>
      <c r="AR307">
        <v>10817</v>
      </c>
      <c r="AS307">
        <v>3953709</v>
      </c>
      <c r="AT307">
        <v>14641</v>
      </c>
      <c r="AU307">
        <v>51455</v>
      </c>
      <c r="AV307">
        <v>18833</v>
      </c>
      <c r="AW307">
        <v>46588</v>
      </c>
      <c r="AX307">
        <v>37268</v>
      </c>
      <c r="AY307">
        <v>12795</v>
      </c>
      <c r="AZ307">
        <v>544752</v>
      </c>
      <c r="BA307">
        <v>244078</v>
      </c>
      <c r="BB307">
        <v>4007</v>
      </c>
      <c r="BC307">
        <v>19162</v>
      </c>
      <c r="BD307">
        <v>714923</v>
      </c>
      <c r="BE307">
        <v>158640</v>
      </c>
      <c r="BF307">
        <v>3366728</v>
      </c>
      <c r="BG307">
        <v>0</v>
      </c>
      <c r="BH307">
        <v>9814</v>
      </c>
      <c r="BI307">
        <v>6131</v>
      </c>
      <c r="BJ307">
        <v>1317790</v>
      </c>
      <c r="BK307">
        <v>223313</v>
      </c>
      <c r="BL307">
        <v>2210859</v>
      </c>
      <c r="BM307">
        <v>523386</v>
      </c>
      <c r="BN307">
        <v>759817</v>
      </c>
      <c r="BO307">
        <v>52314</v>
      </c>
      <c r="BP307">
        <v>3235</v>
      </c>
      <c r="BQ307">
        <v>3010354</v>
      </c>
      <c r="BR307">
        <v>0</v>
      </c>
      <c r="BS307">
        <v>428670</v>
      </c>
      <c r="BT307">
        <v>70933</v>
      </c>
      <c r="BU307">
        <v>0</v>
      </c>
      <c r="BV307">
        <v>200978</v>
      </c>
    </row>
    <row r="308" spans="1:89" x14ac:dyDescent="0.3">
      <c r="A308" s="155">
        <v>9019</v>
      </c>
      <c r="B308" t="s">
        <v>1052</v>
      </c>
      <c r="C308" t="s">
        <v>1053</v>
      </c>
      <c r="D308">
        <v>442379</v>
      </c>
      <c r="E308">
        <v>153718304</v>
      </c>
      <c r="F308">
        <v>0</v>
      </c>
      <c r="G308">
        <v>283387</v>
      </c>
      <c r="H308">
        <v>64033</v>
      </c>
      <c r="I308">
        <v>0</v>
      </c>
      <c r="J308">
        <v>509</v>
      </c>
      <c r="K308">
        <v>14627</v>
      </c>
      <c r="L308">
        <v>499273</v>
      </c>
      <c r="M308">
        <v>1528604</v>
      </c>
      <c r="N308">
        <v>5950</v>
      </c>
      <c r="O308">
        <v>26062</v>
      </c>
      <c r="P308">
        <v>0</v>
      </c>
      <c r="Q308">
        <v>5890</v>
      </c>
      <c r="R308">
        <v>62873</v>
      </c>
      <c r="S308">
        <v>37462</v>
      </c>
      <c r="T308">
        <v>1716207</v>
      </c>
      <c r="U308">
        <v>184627</v>
      </c>
      <c r="V308">
        <v>1592</v>
      </c>
      <c r="W308">
        <v>0</v>
      </c>
      <c r="X308">
        <v>498635</v>
      </c>
      <c r="Y308">
        <v>241630</v>
      </c>
      <c r="Z308">
        <v>10011300</v>
      </c>
      <c r="AA308">
        <v>433151</v>
      </c>
      <c r="AB308">
        <v>36168</v>
      </c>
      <c r="AC308">
        <v>15168</v>
      </c>
      <c r="AD308">
        <v>34949</v>
      </c>
      <c r="AE308">
        <v>32249</v>
      </c>
      <c r="AF308">
        <v>30915</v>
      </c>
      <c r="AG308">
        <v>79983</v>
      </c>
      <c r="AH308">
        <v>957961</v>
      </c>
      <c r="AI308">
        <v>4759</v>
      </c>
      <c r="AJ308">
        <v>337395</v>
      </c>
      <c r="AK308">
        <v>5902</v>
      </c>
      <c r="AL308">
        <v>122144</v>
      </c>
      <c r="AM308">
        <v>506081</v>
      </c>
      <c r="AN308">
        <v>24394</v>
      </c>
      <c r="AO308">
        <v>5306141</v>
      </c>
      <c r="AP308">
        <v>63867</v>
      </c>
      <c r="AQ308">
        <v>340</v>
      </c>
      <c r="AR308">
        <v>10817</v>
      </c>
      <c r="AS308">
        <v>3953709</v>
      </c>
      <c r="AT308">
        <v>14641</v>
      </c>
      <c r="AU308">
        <v>51455</v>
      </c>
      <c r="AV308">
        <v>18833</v>
      </c>
      <c r="AW308">
        <v>46588</v>
      </c>
      <c r="AX308">
        <v>37268</v>
      </c>
      <c r="AY308">
        <v>12795</v>
      </c>
      <c r="AZ308">
        <v>544752</v>
      </c>
      <c r="BA308">
        <v>244078</v>
      </c>
      <c r="BB308">
        <v>4007</v>
      </c>
      <c r="BC308">
        <v>19162</v>
      </c>
      <c r="BD308">
        <v>714923</v>
      </c>
      <c r="BE308">
        <v>158640</v>
      </c>
      <c r="BF308">
        <v>3366728</v>
      </c>
      <c r="BG308">
        <v>0</v>
      </c>
      <c r="BH308">
        <v>9814</v>
      </c>
      <c r="BI308">
        <v>6131</v>
      </c>
      <c r="BJ308">
        <v>1317790</v>
      </c>
      <c r="BK308">
        <v>223313</v>
      </c>
      <c r="BL308">
        <v>2210859</v>
      </c>
      <c r="BM308">
        <v>523386</v>
      </c>
      <c r="BN308">
        <v>759817</v>
      </c>
      <c r="BO308">
        <v>52314</v>
      </c>
      <c r="BP308">
        <v>3235</v>
      </c>
      <c r="BQ308">
        <v>3010354</v>
      </c>
      <c r="BR308">
        <v>0</v>
      </c>
      <c r="BS308">
        <v>428670</v>
      </c>
      <c r="BT308">
        <v>70933</v>
      </c>
      <c r="BU308">
        <v>0</v>
      </c>
      <c r="BV308">
        <v>200978</v>
      </c>
    </row>
    <row r="309" spans="1:89" s="991" customFormat="1" ht="21.6" customHeight="1" x14ac:dyDescent="0.3">
      <c r="A309" s="987" t="s">
        <v>1976</v>
      </c>
      <c r="B309" s="988" t="s">
        <v>1965</v>
      </c>
      <c r="C309" s="988" t="s">
        <v>1975</v>
      </c>
      <c r="D309" s="990">
        <f t="shared" ref="D309:AI309" si="0">D295/(D296)</f>
        <v>1.6585124725748412</v>
      </c>
      <c r="E309" s="990">
        <f t="shared" si="0"/>
        <v>0.99717476666275962</v>
      </c>
      <c r="F309" s="990" t="e">
        <f t="shared" si="0"/>
        <v>#DIV/0!</v>
      </c>
      <c r="G309" s="990">
        <f t="shared" si="0"/>
        <v>0.98984779721582605</v>
      </c>
      <c r="H309" s="990">
        <f t="shared" si="0"/>
        <v>0.35754636984166693</v>
      </c>
      <c r="I309" s="990">
        <f t="shared" si="0"/>
        <v>2.7204512758385704</v>
      </c>
      <c r="J309" s="990">
        <f t="shared" si="0"/>
        <v>4.1555340413348523</v>
      </c>
      <c r="K309" s="990">
        <f t="shared" si="0"/>
        <v>7.0427249986319174</v>
      </c>
      <c r="L309" s="990">
        <f t="shared" si="0"/>
        <v>0.4114740993464302</v>
      </c>
      <c r="M309" s="990">
        <f t="shared" si="0"/>
        <v>0.55614882598116699</v>
      </c>
      <c r="N309" s="990">
        <f t="shared" si="0"/>
        <v>9.6354455143677438</v>
      </c>
      <c r="O309" s="990">
        <f t="shared" si="0"/>
        <v>1.5472699912285643</v>
      </c>
      <c r="P309" s="990" t="e">
        <f t="shared" si="0"/>
        <v>#DIV/0!</v>
      </c>
      <c r="Q309" s="990">
        <f t="shared" si="0"/>
        <v>0.6660987459938883</v>
      </c>
      <c r="R309" s="990">
        <f t="shared" si="0"/>
        <v>0.72707342172376255</v>
      </c>
      <c r="S309" s="990">
        <f t="shared" si="0"/>
        <v>0.52976151905738145</v>
      </c>
      <c r="T309" s="990">
        <f t="shared" si="0"/>
        <v>0.28714804994810111</v>
      </c>
      <c r="U309" s="990">
        <f t="shared" si="0"/>
        <v>0.66539909589315793</v>
      </c>
      <c r="V309" s="990">
        <f t="shared" si="0"/>
        <v>2.2333107314262213</v>
      </c>
      <c r="W309" s="990" t="e">
        <f t="shared" si="0"/>
        <v>#DIV/0!</v>
      </c>
      <c r="X309" s="990">
        <f t="shared" si="0"/>
        <v>0.49167699861093311</v>
      </c>
      <c r="Y309" s="990">
        <f t="shared" si="0"/>
        <v>0.6772726875518853</v>
      </c>
      <c r="Z309" s="990">
        <f t="shared" si="0"/>
        <v>0.38245236192703708</v>
      </c>
      <c r="AA309" s="990">
        <f t="shared" si="0"/>
        <v>0.96527725210818915</v>
      </c>
      <c r="AB309" s="990">
        <f t="shared" si="0"/>
        <v>0.93736177108196295</v>
      </c>
      <c r="AC309" s="990">
        <f t="shared" si="0"/>
        <v>1.3164133953626254</v>
      </c>
      <c r="AD309" s="990">
        <f t="shared" si="0"/>
        <v>0.58071644149482504</v>
      </c>
      <c r="AE309" s="990">
        <f t="shared" si="0"/>
        <v>1.8731050322408525</v>
      </c>
      <c r="AF309" s="990">
        <f t="shared" si="0"/>
        <v>0.81219230930515374</v>
      </c>
      <c r="AG309" s="990">
        <f t="shared" si="0"/>
        <v>0.35290682463746448</v>
      </c>
      <c r="AH309" s="990">
        <f t="shared" si="0"/>
        <v>0.22654381129023915</v>
      </c>
      <c r="AI309" s="990">
        <f t="shared" si="0"/>
        <v>2.5493154737889667</v>
      </c>
      <c r="AJ309" s="990">
        <f t="shared" ref="AJ309:BR309" si="1">AJ295/(AJ296)</f>
        <v>1.1686317460992606</v>
      </c>
      <c r="AK309" s="990">
        <f t="shared" si="1"/>
        <v>3.1249048677280893</v>
      </c>
      <c r="AL309" s="990">
        <f t="shared" si="1"/>
        <v>1.054143555309238</v>
      </c>
      <c r="AM309" s="990">
        <f t="shared" si="1"/>
        <v>0.32482296467694988</v>
      </c>
      <c r="AN309" s="990">
        <f t="shared" si="1"/>
        <v>1.9401433595171047</v>
      </c>
      <c r="AO309" s="990">
        <f t="shared" si="1"/>
        <v>0.36309899288752073</v>
      </c>
      <c r="AP309" s="990">
        <f t="shared" si="1"/>
        <v>1.0031552162004318</v>
      </c>
      <c r="AQ309" s="990">
        <f t="shared" si="1"/>
        <v>7.6158347382051845</v>
      </c>
      <c r="AR309" s="990">
        <f t="shared" si="1"/>
        <v>3.8057034736089541</v>
      </c>
      <c r="AS309" s="990">
        <f t="shared" si="1"/>
        <v>0.64569384271476959</v>
      </c>
      <c r="AT309" s="990">
        <f t="shared" si="1"/>
        <v>1.348205496762503</v>
      </c>
      <c r="AU309" s="990">
        <f t="shared" si="1"/>
        <v>2.7951026430926733</v>
      </c>
      <c r="AV309" s="990">
        <f t="shared" si="1"/>
        <v>0.22265464153661615</v>
      </c>
      <c r="AW309" s="990">
        <f t="shared" si="1"/>
        <v>1.1464742177170559</v>
      </c>
      <c r="AX309" s="990">
        <f t="shared" si="1"/>
        <v>0.6762761200097569</v>
      </c>
      <c r="AY309" s="990">
        <f t="shared" si="1"/>
        <v>1.9482764140631075</v>
      </c>
      <c r="AZ309" s="990">
        <f t="shared" si="1"/>
        <v>0.61871264504962908</v>
      </c>
      <c r="BA309" s="990">
        <f t="shared" si="1"/>
        <v>0.54372697158897676</v>
      </c>
      <c r="BB309" s="990">
        <f t="shared" si="1"/>
        <v>3.7773111813270819</v>
      </c>
      <c r="BC309" s="990">
        <f t="shared" si="1"/>
        <v>4.1829523578117112</v>
      </c>
      <c r="BD309" s="990">
        <f t="shared" si="1"/>
        <v>1.0234461779945749</v>
      </c>
      <c r="BE309" s="990">
        <f t="shared" si="1"/>
        <v>0.8215722650631756</v>
      </c>
      <c r="BF309" s="990">
        <f t="shared" si="1"/>
        <v>0.26972940796739503</v>
      </c>
      <c r="BG309" s="990" t="e">
        <f t="shared" si="1"/>
        <v>#DIV/0!</v>
      </c>
      <c r="BH309" s="990">
        <f t="shared" si="1"/>
        <v>0.86886399915393997</v>
      </c>
      <c r="BI309" s="990">
        <f t="shared" si="1"/>
        <v>1.8669036612770396</v>
      </c>
      <c r="BJ309" s="990">
        <f t="shared" si="1"/>
        <v>0.90431925729289897</v>
      </c>
      <c r="BK309" s="990">
        <f t="shared" si="1"/>
        <v>1.0082859220107787</v>
      </c>
      <c r="BL309" s="990">
        <f t="shared" si="1"/>
        <v>0.57371065060681203</v>
      </c>
      <c r="BM309" s="990">
        <f t="shared" si="1"/>
        <v>1.082024204165051</v>
      </c>
      <c r="BN309" s="990">
        <f t="shared" si="1"/>
        <v>0.38822525778645722</v>
      </c>
      <c r="BO309" s="990">
        <f t="shared" si="1"/>
        <v>1.4426148623415425</v>
      </c>
      <c r="BP309" s="990">
        <f t="shared" si="1"/>
        <v>1.1650339110776187</v>
      </c>
      <c r="BQ309" s="990">
        <f t="shared" si="1"/>
        <v>0.54005502177354103</v>
      </c>
      <c r="BR309" s="990" t="e">
        <f t="shared" si="1"/>
        <v>#DIV/0!</v>
      </c>
      <c r="BS309" s="990">
        <f t="shared" ref="BS309:BV309" si="2">BS295/(BS296)</f>
        <v>0.65694007205630689</v>
      </c>
      <c r="BT309" s="990">
        <f t="shared" si="2"/>
        <v>1.1658621549752475</v>
      </c>
      <c r="BU309" s="990" t="e">
        <f t="shared" si="2"/>
        <v>#DIV/0!</v>
      </c>
      <c r="BV309" s="990">
        <f t="shared" si="2"/>
        <v>1.2749055618067835</v>
      </c>
      <c r="BW309" s="990"/>
      <c r="BX309" s="990"/>
      <c r="BY309" s="990"/>
      <c r="BZ309" s="990"/>
      <c r="CA309" s="990"/>
      <c r="CB309" s="990"/>
      <c r="CC309" s="990"/>
      <c r="CD309" s="990"/>
      <c r="CE309" s="990"/>
      <c r="CF309" s="990"/>
      <c r="CG309" s="990"/>
      <c r="CH309" s="990"/>
      <c r="CI309" s="990"/>
      <c r="CJ309" s="990"/>
      <c r="CK309" s="990"/>
    </row>
    <row r="310" spans="1:89" s="571" customFormat="1" ht="20.399999999999999" customHeight="1" x14ac:dyDescent="0.3">
      <c r="A310" s="570" t="s">
        <v>1935</v>
      </c>
      <c r="B310" s="571" t="s">
        <v>1934</v>
      </c>
      <c r="D310" s="978">
        <f>1-((D146+D147+D148+D149)/(D138+D139+D140+D141))</f>
        <v>0.39292301456050427</v>
      </c>
      <c r="E310" s="978">
        <f t="shared" ref="E310:BP310" si="3">1-((E146+E147+E148+E149)/(E138+E139+E140+E141))</f>
        <v>0.58634631469790699</v>
      </c>
      <c r="F310" s="978" t="e">
        <f t="shared" si="3"/>
        <v>#DIV/0!</v>
      </c>
      <c r="G310" s="978">
        <f t="shared" si="3"/>
        <v>0.3634505483897752</v>
      </c>
      <c r="H310" s="978">
        <f t="shared" si="3"/>
        <v>0.4819459495990428</v>
      </c>
      <c r="I310" s="978" t="e">
        <f t="shared" si="3"/>
        <v>#DIV/0!</v>
      </c>
      <c r="J310" s="978" t="e">
        <f t="shared" si="3"/>
        <v>#DIV/0!</v>
      </c>
      <c r="K310" s="978" t="e">
        <f t="shared" si="3"/>
        <v>#DIV/0!</v>
      </c>
      <c r="L310" s="978">
        <f t="shared" si="3"/>
        <v>0.40216913972200885</v>
      </c>
      <c r="M310" s="978">
        <f t="shared" si="3"/>
        <v>0.56213681572499463</v>
      </c>
      <c r="N310" s="978" t="e">
        <f t="shared" si="3"/>
        <v>#DIV/0!</v>
      </c>
      <c r="O310" s="978">
        <f t="shared" si="3"/>
        <v>0.69805641995122247</v>
      </c>
      <c r="P310" s="978" t="e">
        <f t="shared" si="3"/>
        <v>#DIV/0!</v>
      </c>
      <c r="Q310" s="978" t="e">
        <f t="shared" si="3"/>
        <v>#DIV/0!</v>
      </c>
      <c r="R310" s="978" t="e">
        <f t="shared" si="3"/>
        <v>#DIV/0!</v>
      </c>
      <c r="S310" s="978">
        <f t="shared" si="3"/>
        <v>0.16886527564240505</v>
      </c>
      <c r="T310" s="978" t="e">
        <f t="shared" si="3"/>
        <v>#DIV/0!</v>
      </c>
      <c r="U310" s="978">
        <f t="shared" si="3"/>
        <v>0.33950534591691606</v>
      </c>
      <c r="V310" s="978">
        <f t="shared" si="3"/>
        <v>0.65332606042932539</v>
      </c>
      <c r="W310" s="978" t="e">
        <f t="shared" si="3"/>
        <v>#DIV/0!</v>
      </c>
      <c r="X310" s="978">
        <f t="shared" si="3"/>
        <v>0.32148712690062087</v>
      </c>
      <c r="Y310" s="978" t="e">
        <f t="shared" si="3"/>
        <v>#DIV/0!</v>
      </c>
      <c r="Z310" s="978">
        <f t="shared" si="3"/>
        <v>0.47314853474579266</v>
      </c>
      <c r="AA310" s="978" t="e">
        <f t="shared" si="3"/>
        <v>#DIV/0!</v>
      </c>
      <c r="AB310" s="978">
        <f t="shared" si="3"/>
        <v>0.60305832867700948</v>
      </c>
      <c r="AC310" s="978">
        <f t="shared" si="3"/>
        <v>0.49598263998074144</v>
      </c>
      <c r="AD310" s="978">
        <f t="shared" si="3"/>
        <v>0.64892357740013284</v>
      </c>
      <c r="AE310" s="978">
        <f t="shared" si="3"/>
        <v>0.37891905052882846</v>
      </c>
      <c r="AF310" s="978">
        <f t="shared" si="3"/>
        <v>0.62584718155334718</v>
      </c>
      <c r="AG310" s="978">
        <f t="shared" si="3"/>
        <v>0.46605372204749385</v>
      </c>
      <c r="AH310" s="978">
        <f t="shared" si="3"/>
        <v>0.4736188560259017</v>
      </c>
      <c r="AI310" s="978" t="e">
        <f t="shared" si="3"/>
        <v>#DIV/0!</v>
      </c>
      <c r="AJ310" s="978" t="e">
        <f t="shared" si="3"/>
        <v>#DIV/0!</v>
      </c>
      <c r="AK310" s="978" t="e">
        <f t="shared" si="3"/>
        <v>#DIV/0!</v>
      </c>
      <c r="AL310" s="978">
        <f t="shared" si="3"/>
        <v>0.54176519360938236</v>
      </c>
      <c r="AM310" s="978">
        <f t="shared" si="3"/>
        <v>0.50651014056897103</v>
      </c>
      <c r="AN310" s="978">
        <f t="shared" si="3"/>
        <v>0.30978789385052619</v>
      </c>
      <c r="AO310" s="978">
        <f t="shared" si="3"/>
        <v>0.45604920263767634</v>
      </c>
      <c r="AP310" s="978">
        <f t="shared" si="3"/>
        <v>0.73976553801906775</v>
      </c>
      <c r="AQ310" s="978" t="e">
        <f t="shared" si="3"/>
        <v>#DIV/0!</v>
      </c>
      <c r="AR310" s="978">
        <f t="shared" si="3"/>
        <v>0.79792040706925449</v>
      </c>
      <c r="AS310" s="978">
        <f t="shared" si="3"/>
        <v>0.63293975980139217</v>
      </c>
      <c r="AT310" s="978">
        <f t="shared" si="3"/>
        <v>0.70927795628259238</v>
      </c>
      <c r="AU310" s="978">
        <f t="shared" si="3"/>
        <v>0.64816995173278014</v>
      </c>
      <c r="AV310" s="978">
        <f t="shared" si="3"/>
        <v>0.39503205410027764</v>
      </c>
      <c r="AW310" s="978">
        <f t="shared" si="3"/>
        <v>0.70929245972083854</v>
      </c>
      <c r="AX310" s="978" t="e">
        <f t="shared" si="3"/>
        <v>#DIV/0!</v>
      </c>
      <c r="AY310" s="978" t="e">
        <f t="shared" si="3"/>
        <v>#DIV/0!</v>
      </c>
      <c r="AZ310" s="978">
        <f t="shared" si="3"/>
        <v>0.40163696131086912</v>
      </c>
      <c r="BA310" s="978">
        <f t="shared" si="3"/>
        <v>0.63017481900884764</v>
      </c>
      <c r="BB310" s="978">
        <f t="shared" si="3"/>
        <v>0.60373192826453237</v>
      </c>
      <c r="BC310" s="978">
        <f t="shared" si="3"/>
        <v>0.38606639183964353</v>
      </c>
      <c r="BD310" s="978">
        <f t="shared" si="3"/>
        <v>0.62632143343490743</v>
      </c>
      <c r="BE310" s="978">
        <f t="shared" si="3"/>
        <v>0.67743719625670851</v>
      </c>
      <c r="BF310" s="978">
        <f t="shared" si="3"/>
        <v>0.61824804868835681</v>
      </c>
      <c r="BG310" s="978" t="e">
        <f t="shared" si="3"/>
        <v>#DIV/0!</v>
      </c>
      <c r="BH310" s="978" t="e">
        <f t="shared" si="3"/>
        <v>#DIV/0!</v>
      </c>
      <c r="BI310" s="978">
        <f t="shared" si="3"/>
        <v>0.5798681552473719</v>
      </c>
      <c r="BJ310" s="978">
        <f t="shared" si="3"/>
        <v>0.38211229807320912</v>
      </c>
      <c r="BK310" s="978">
        <f t="shared" si="3"/>
        <v>0.39409243606211108</v>
      </c>
      <c r="BL310" s="978">
        <f t="shared" si="3"/>
        <v>0.50180013087425324</v>
      </c>
      <c r="BM310" s="978" t="e">
        <f t="shared" si="3"/>
        <v>#DIV/0!</v>
      </c>
      <c r="BN310" s="978">
        <f t="shared" si="3"/>
        <v>0.57749494217575981</v>
      </c>
      <c r="BO310" s="978">
        <f t="shared" si="3"/>
        <v>0.51883133020147643</v>
      </c>
      <c r="BP310" s="978" t="e">
        <f t="shared" si="3"/>
        <v>#DIV/0!</v>
      </c>
      <c r="BQ310" s="978" t="e">
        <f t="shared" ref="BQ310:BR310" si="4">1-((BQ146+BQ147+BQ148+BQ149)/(BQ138+BQ139+BQ140+BQ141))</f>
        <v>#DIV/0!</v>
      </c>
      <c r="BR310" s="978" t="e">
        <f t="shared" si="4"/>
        <v>#DIV/0!</v>
      </c>
      <c r="BS310" s="978">
        <f t="shared" ref="BS310:BV310" si="5">1-((BS146+BS147+BS148+BS149)/(BS138+BS139+BS140+BS141))</f>
        <v>0.64554326154261343</v>
      </c>
      <c r="BT310" s="978">
        <f t="shared" si="5"/>
        <v>0.70619340901332728</v>
      </c>
      <c r="BU310" s="978" t="e">
        <f t="shared" si="5"/>
        <v>#DIV/0!</v>
      </c>
      <c r="BV310" s="978">
        <f t="shared" si="5"/>
        <v>0.55670448043602638</v>
      </c>
      <c r="BW310" s="978"/>
      <c r="BX310" s="978"/>
      <c r="BY310" s="978"/>
      <c r="BZ310" s="978"/>
      <c r="CA310" s="978"/>
      <c r="CB310" s="978"/>
      <c r="CC310" s="978"/>
      <c r="CD310" s="978"/>
      <c r="CE310" s="978"/>
      <c r="CF310" s="978"/>
      <c r="CG310" s="978"/>
      <c r="CH310" s="978"/>
      <c r="CI310" s="978"/>
      <c r="CJ310" s="978"/>
      <c r="CK310" s="978"/>
    </row>
    <row r="313" spans="1:89" x14ac:dyDescent="0.3">
      <c r="D313" s="581">
        <f t="shared" ref="D313:U313" si="6">D297-D309</f>
        <v>-1.2472574841160267E-5</v>
      </c>
      <c r="E313" s="581">
        <f t="shared" si="6"/>
        <v>2.5233337240360143E-5</v>
      </c>
      <c r="F313" s="581" t="e">
        <f t="shared" si="6"/>
        <v>#DIV/0!</v>
      </c>
      <c r="G313" s="581">
        <f t="shared" si="6"/>
        <v>-4.7797215826039796E-5</v>
      </c>
      <c r="H313" s="581">
        <f t="shared" si="6"/>
        <v>-4.6369841666948908E-5</v>
      </c>
      <c r="I313" s="581">
        <f t="shared" si="6"/>
        <v>4.8724161429536395E-5</v>
      </c>
      <c r="J313" s="581">
        <f t="shared" si="6"/>
        <v>-3.4041334852297211E-5</v>
      </c>
      <c r="K313" s="581">
        <f t="shared" si="6"/>
        <v>-2.4998631917405589E-5</v>
      </c>
      <c r="L313" s="581">
        <f t="shared" si="6"/>
        <v>2.5900653569776999E-5</v>
      </c>
      <c r="M313" s="581">
        <f t="shared" si="6"/>
        <v>-4.8825981166955579E-5</v>
      </c>
      <c r="N313" s="581">
        <f t="shared" si="6"/>
        <v>-4.5514367743137996E-5</v>
      </c>
      <c r="O313" s="581">
        <f t="shared" si="6"/>
        <v>3.0008771435552362E-5</v>
      </c>
      <c r="P313" s="581" t="e">
        <f t="shared" si="6"/>
        <v>#DIV/0!</v>
      </c>
      <c r="Q313" s="581">
        <f t="shared" si="6"/>
        <v>1.254006111728323E-6</v>
      </c>
      <c r="R313" s="581">
        <f t="shared" si="6"/>
        <v>2.657827623742115E-5</v>
      </c>
      <c r="S313" s="581">
        <f t="shared" si="6"/>
        <v>3.8480942618601688E-5</v>
      </c>
      <c r="T313" s="581">
        <f t="shared" si="6"/>
        <v>-4.8049948101092088E-5</v>
      </c>
      <c r="U313" s="581">
        <f t="shared" si="6"/>
        <v>9.0410684205899372E-7</v>
      </c>
      <c r="W313" s="581" t="e">
        <f>W297-W309</f>
        <v>#DIV/0!</v>
      </c>
      <c r="X313" s="581">
        <f>X297-X309</f>
        <v>2.3001389066912292E-5</v>
      </c>
      <c r="Y313" s="581">
        <f>Y297-Y309</f>
        <v>2.7312448114713561E-5</v>
      </c>
      <c r="AA313" s="581">
        <f t="shared" ref="AA313:AT313" si="7">AA297-AA309</f>
        <v>2.274789181089254E-5</v>
      </c>
      <c r="AB313" s="581">
        <f t="shared" si="7"/>
        <v>3.8228918037064297E-5</v>
      </c>
      <c r="AC313" s="581">
        <f t="shared" si="7"/>
        <v>-1.3395362625345797E-5</v>
      </c>
      <c r="AD313" s="581">
        <f t="shared" si="7"/>
        <v>-1.6441494825047975E-5</v>
      </c>
      <c r="AE313" s="581">
        <f t="shared" si="7"/>
        <v>-5.0322408524650086E-6</v>
      </c>
      <c r="AF313" s="581">
        <f t="shared" si="7"/>
        <v>7.6906948462962532E-6</v>
      </c>
      <c r="AG313" s="581">
        <f t="shared" si="7"/>
        <v>-6.8246374644864716E-6</v>
      </c>
      <c r="AH313" s="581">
        <f t="shared" si="7"/>
        <v>-4.3811290239142986E-5</v>
      </c>
      <c r="AI313" s="581">
        <f t="shared" si="7"/>
        <v>-1.5473788966602342E-5</v>
      </c>
      <c r="AJ313" s="581">
        <f t="shared" si="7"/>
        <v>-3.1746099260487881E-5</v>
      </c>
      <c r="AK313" s="581">
        <f t="shared" si="7"/>
        <v>-4.867728089497092E-6</v>
      </c>
      <c r="AL313" s="581">
        <f t="shared" si="7"/>
        <v>-4.3555309237941486E-5</v>
      </c>
      <c r="AM313" s="581">
        <f t="shared" si="7"/>
        <v>-2.2964676949899232E-5</v>
      </c>
      <c r="AN313" s="581">
        <f t="shared" si="7"/>
        <v>-4.3359517104768486E-5</v>
      </c>
      <c r="AO313" s="581">
        <f t="shared" si="7"/>
        <v>1.0071124792454533E-6</v>
      </c>
      <c r="AP313" s="581">
        <f t="shared" si="7"/>
        <v>4.4783799568293148E-5</v>
      </c>
      <c r="AQ313" s="581">
        <f t="shared" si="7"/>
        <v>-3.4738205184403625E-5</v>
      </c>
      <c r="AR313" s="581">
        <f t="shared" si="7"/>
        <v>-3.4736089542519721E-6</v>
      </c>
      <c r="AS313" s="581">
        <f t="shared" si="7"/>
        <v>6.1572852304569992E-6</v>
      </c>
      <c r="AT313" s="581">
        <f t="shared" si="7"/>
        <v>-5.4967625029433975E-6</v>
      </c>
      <c r="AV313" s="581">
        <f t="shared" ref="AV313:BV313" si="8">AV297-AV309</f>
        <v>4.5358463383854408E-5</v>
      </c>
      <c r="AW313" s="581">
        <f t="shared" si="8"/>
        <v>2.578228294414231E-5</v>
      </c>
      <c r="AX313" s="581">
        <f t="shared" si="8"/>
        <v>2.3879990243114158E-5</v>
      </c>
      <c r="AY313" s="581">
        <f t="shared" si="8"/>
        <v>2.3585936892445147E-5</v>
      </c>
      <c r="AZ313" s="581">
        <f t="shared" si="8"/>
        <v>-1.2645049629056437E-5</v>
      </c>
      <c r="BA313" s="581">
        <f t="shared" si="8"/>
        <v>-2.6971588976798522E-5</v>
      </c>
      <c r="BB313" s="581">
        <f t="shared" si="8"/>
        <v>-1.118132708199937E-5</v>
      </c>
      <c r="BC313" s="581">
        <f t="shared" si="8"/>
        <v>4.7642188288676834E-5</v>
      </c>
      <c r="BD313" s="581">
        <f t="shared" si="8"/>
        <v>-4.6177994574847503E-5</v>
      </c>
      <c r="BE313" s="581">
        <f t="shared" si="8"/>
        <v>2.7734936824397316E-5</v>
      </c>
      <c r="BF313" s="581">
        <f t="shared" si="8"/>
        <v>-2.9407967395034262E-5</v>
      </c>
      <c r="BG313" s="581" t="e">
        <f t="shared" si="8"/>
        <v>#DIV/0!</v>
      </c>
      <c r="BH313" s="581">
        <f t="shared" si="8"/>
        <v>3.600084606003584E-5</v>
      </c>
      <c r="BI313" s="581">
        <f t="shared" si="8"/>
        <v>-3.6612770395461069E-6</v>
      </c>
      <c r="BJ313" s="581">
        <f t="shared" si="8"/>
        <v>-1.9257292898977596E-5</v>
      </c>
      <c r="BK313" s="581">
        <f t="shared" si="8"/>
        <v>1.4077989221261689E-5</v>
      </c>
      <c r="BL313" s="581">
        <f t="shared" si="8"/>
        <v>-1.0650606812045993E-5</v>
      </c>
      <c r="BM313" s="581">
        <f t="shared" si="8"/>
        <v>-2.4204165050889515E-5</v>
      </c>
      <c r="BN313" s="581">
        <f t="shared" si="8"/>
        <v>-2.5257786457233422E-5</v>
      </c>
      <c r="BO313" s="581">
        <f t="shared" si="8"/>
        <v>-1.4862341542354329E-5</v>
      </c>
      <c r="BP313" s="581">
        <f t="shared" si="8"/>
        <v>-3.3911077618631325E-5</v>
      </c>
      <c r="BQ313" s="581">
        <f t="shared" si="8"/>
        <v>4.4978226458991521E-5</v>
      </c>
      <c r="BR313" s="581" t="e">
        <f t="shared" si="8"/>
        <v>#DIV/0!</v>
      </c>
      <c r="BS313" s="581">
        <f t="shared" si="8"/>
        <v>-4.0072056306850179E-5</v>
      </c>
      <c r="BT313" s="581">
        <f t="shared" si="8"/>
        <v>3.7845024752458656E-5</v>
      </c>
      <c r="BU313" s="581" t="e">
        <f t="shared" si="8"/>
        <v>#DIV/0!</v>
      </c>
      <c r="BV313" s="581">
        <f t="shared" si="8"/>
        <v>-5.5618067835716545E-6</v>
      </c>
      <c r="BW313" s="581"/>
      <c r="BX313" s="581"/>
      <c r="BY313" s="581"/>
      <c r="BZ313" s="581"/>
      <c r="CA313" s="581"/>
      <c r="CB313" s="581"/>
      <c r="CC313" s="581"/>
      <c r="CD313" s="581"/>
    </row>
    <row r="314" spans="1:89" x14ac:dyDescent="0.3">
      <c r="V314" s="581">
        <f>V297-V309</f>
        <v>-1.0731426221433082E-5</v>
      </c>
      <c r="Z314" s="581">
        <f>Z297-Z309</f>
        <v>4.7638072962929989E-5</v>
      </c>
      <c r="AU314" s="581">
        <f>AU297-AU309</f>
        <v>-2.64309267317131E-6</v>
      </c>
    </row>
  </sheetData>
  <sheetProtection algorithmName="SHA-512" hashValue="/yymO+c42M5uuEPOrImjC4U3rN7TVVjLH/enDeyZinUELezbjM2vARhxha9uVAFXbKeAbfDVXZZ3BhJtD7drMg==" saltValue="5GsVXKvGLYdt44ShKhB7bA==" spinCount="100000"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C1" sqref="C1"/>
    </sheetView>
  </sheetViews>
  <sheetFormatPr defaultColWidth="9.109375" defaultRowHeight="14.4" x14ac:dyDescent="0.3"/>
  <cols>
    <col min="1" max="1" width="28.5546875" style="384" customWidth="1"/>
    <col min="2" max="12" width="9.109375" style="384"/>
    <col min="13" max="13" width="21.6640625" style="384" customWidth="1"/>
    <col min="14" max="14" width="16.88671875" style="384" customWidth="1"/>
    <col min="15" max="16" width="9.109375" style="384"/>
    <col min="17" max="17" width="18.109375" style="384" customWidth="1"/>
    <col min="18" max="18" width="11" style="384" customWidth="1"/>
    <col min="19" max="16384" width="9.109375" style="384"/>
  </cols>
  <sheetData>
    <row r="1" spans="1:20" x14ac:dyDescent="0.3">
      <c r="A1" s="384" t="s">
        <v>814</v>
      </c>
    </row>
    <row r="2" spans="1:20" ht="15" thickBot="1" x14ac:dyDescent="0.35">
      <c r="A2" s="382" t="s">
        <v>1440</v>
      </c>
      <c r="B2" s="156">
        <v>50312</v>
      </c>
      <c r="C2" s="380">
        <v>50</v>
      </c>
      <c r="D2" s="50"/>
      <c r="E2" s="50"/>
      <c r="G2" s="384">
        <v>100</v>
      </c>
      <c r="I2" s="384" t="s">
        <v>332</v>
      </c>
    </row>
    <row r="3" spans="1:20" ht="15" customHeight="1" thickBot="1" x14ac:dyDescent="0.35">
      <c r="A3" s="383" t="s">
        <v>1441</v>
      </c>
      <c r="B3" s="156">
        <v>50313</v>
      </c>
      <c r="C3" s="380">
        <v>50</v>
      </c>
      <c r="D3" s="49"/>
      <c r="E3" s="50"/>
      <c r="G3" s="384">
        <v>200</v>
      </c>
      <c r="I3" s="384" t="s">
        <v>333</v>
      </c>
      <c r="O3" s="386"/>
      <c r="P3" s="386"/>
      <c r="S3" s="386"/>
      <c r="T3" s="386"/>
    </row>
    <row r="4" spans="1:20" ht="15" customHeight="1" thickBot="1" x14ac:dyDescent="0.35">
      <c r="A4" s="383" t="s">
        <v>542</v>
      </c>
      <c r="B4" s="156">
        <v>50314</v>
      </c>
      <c r="C4" s="380">
        <v>50</v>
      </c>
      <c r="D4" s="49"/>
      <c r="E4" s="50"/>
      <c r="G4" s="384">
        <v>300</v>
      </c>
      <c r="I4" s="384" t="s">
        <v>334</v>
      </c>
      <c r="O4" s="386"/>
      <c r="P4" s="386"/>
      <c r="S4" s="386"/>
      <c r="T4" s="386"/>
    </row>
    <row r="5" spans="1:20" ht="15" thickBot="1" x14ac:dyDescent="0.35">
      <c r="A5" s="383" t="s">
        <v>1442</v>
      </c>
      <c r="B5" s="156">
        <v>50315</v>
      </c>
      <c r="C5" s="380">
        <v>50</v>
      </c>
      <c r="D5" s="49"/>
      <c r="E5" s="50"/>
      <c r="G5" s="384">
        <v>400</v>
      </c>
      <c r="O5" s="386"/>
      <c r="P5" s="386"/>
      <c r="S5" s="386"/>
      <c r="T5" s="386"/>
    </row>
    <row r="6" spans="1:20" ht="15" thickBot="1" x14ac:dyDescent="0.35">
      <c r="A6" s="383" t="s">
        <v>543</v>
      </c>
      <c r="B6" s="156">
        <v>50316</v>
      </c>
      <c r="C6" s="380">
        <v>50</v>
      </c>
      <c r="D6" s="49"/>
      <c r="E6" s="50"/>
      <c r="G6" s="384">
        <v>500</v>
      </c>
      <c r="O6" s="386"/>
      <c r="P6" s="386"/>
      <c r="S6" s="386"/>
      <c r="T6" s="386"/>
    </row>
    <row r="7" spans="1:20" ht="15" thickBot="1" x14ac:dyDescent="0.35">
      <c r="A7" s="383" t="s">
        <v>1443</v>
      </c>
      <c r="B7" s="156">
        <v>50481</v>
      </c>
      <c r="C7" s="380">
        <v>50</v>
      </c>
      <c r="D7" s="49"/>
      <c r="E7" s="50"/>
      <c r="O7" s="386"/>
      <c r="P7" s="386"/>
      <c r="S7" s="386"/>
      <c r="T7" s="386"/>
    </row>
    <row r="8" spans="1:20" ht="15" thickBot="1" x14ac:dyDescent="0.35">
      <c r="A8" s="383" t="s">
        <v>1444</v>
      </c>
      <c r="B8" s="156">
        <v>50561</v>
      </c>
      <c r="C8" s="380">
        <v>50</v>
      </c>
      <c r="D8" s="49"/>
      <c r="E8" s="50"/>
      <c r="O8" s="386"/>
      <c r="P8" s="386"/>
      <c r="S8" s="386"/>
      <c r="T8" s="386"/>
    </row>
    <row r="9" spans="1:20" ht="15" thickBot="1" x14ac:dyDescent="0.35">
      <c r="A9" s="383" t="s">
        <v>1445</v>
      </c>
      <c r="B9" s="156">
        <v>50317</v>
      </c>
      <c r="C9" s="380">
        <v>50</v>
      </c>
      <c r="D9" s="49"/>
      <c r="E9" s="50"/>
      <c r="O9" s="386"/>
      <c r="P9" s="386"/>
      <c r="S9" s="386"/>
      <c r="T9" s="386"/>
    </row>
    <row r="10" spans="1:20" ht="15" thickBot="1" x14ac:dyDescent="0.35">
      <c r="A10" s="383" t="s">
        <v>544</v>
      </c>
      <c r="B10" s="156">
        <v>50318</v>
      </c>
      <c r="C10" s="380">
        <v>50</v>
      </c>
      <c r="D10" s="49"/>
      <c r="E10" s="50"/>
      <c r="O10" s="386"/>
      <c r="P10" s="386"/>
      <c r="S10" s="386"/>
      <c r="T10" s="386"/>
    </row>
    <row r="11" spans="1:20" ht="15" thickBot="1" x14ac:dyDescent="0.35">
      <c r="A11" s="383" t="s">
        <v>1446</v>
      </c>
      <c r="B11" s="156">
        <v>50319</v>
      </c>
      <c r="C11" s="380">
        <v>50</v>
      </c>
      <c r="D11" s="49"/>
      <c r="E11" s="50"/>
      <c r="O11" s="386"/>
      <c r="P11" s="386"/>
      <c r="S11" s="386"/>
      <c r="T11" s="386"/>
    </row>
    <row r="12" spans="1:20" ht="15" thickBot="1" x14ac:dyDescent="0.35">
      <c r="A12" s="383" t="s">
        <v>1447</v>
      </c>
      <c r="B12" s="156">
        <v>50489</v>
      </c>
      <c r="C12" s="380">
        <v>50</v>
      </c>
      <c r="D12" s="49"/>
      <c r="E12" s="50"/>
      <c r="O12" s="386"/>
      <c r="P12" s="386"/>
      <c r="S12" s="386"/>
      <c r="T12" s="386"/>
    </row>
    <row r="13" spans="1:20" ht="15" thickBot="1" x14ac:dyDescent="0.35">
      <c r="A13" s="383" t="s">
        <v>1448</v>
      </c>
      <c r="B13" s="156">
        <v>50320</v>
      </c>
      <c r="C13" s="380">
        <v>50</v>
      </c>
      <c r="D13" s="49"/>
      <c r="E13" s="50"/>
      <c r="O13" s="386"/>
      <c r="P13" s="386"/>
      <c r="S13" s="386"/>
      <c r="T13" s="386"/>
    </row>
    <row r="14" spans="1:20" ht="15" thickBot="1" x14ac:dyDescent="0.35">
      <c r="A14" s="383" t="s">
        <v>545</v>
      </c>
      <c r="B14" s="156">
        <v>50323</v>
      </c>
      <c r="C14" s="380">
        <v>50</v>
      </c>
      <c r="D14" s="49"/>
      <c r="E14" s="50"/>
      <c r="O14" s="386"/>
      <c r="P14" s="386"/>
      <c r="S14" s="386"/>
      <c r="T14" s="386"/>
    </row>
    <row r="15" spans="1:20" ht="15" thickBot="1" x14ac:dyDescent="0.35">
      <c r="A15" s="383" t="s">
        <v>841</v>
      </c>
      <c r="B15" s="156">
        <v>50321</v>
      </c>
      <c r="C15" s="380">
        <v>50</v>
      </c>
      <c r="D15" s="49"/>
      <c r="E15" s="50"/>
      <c r="O15" s="386"/>
      <c r="P15" s="386"/>
      <c r="S15" s="386"/>
      <c r="T15" s="386"/>
    </row>
    <row r="16" spans="1:20" ht="15" thickBot="1" x14ac:dyDescent="0.35">
      <c r="A16" s="383" t="s">
        <v>1449</v>
      </c>
      <c r="B16" s="156">
        <v>50322</v>
      </c>
      <c r="C16" s="380">
        <v>50</v>
      </c>
      <c r="D16" s="49"/>
      <c r="E16" s="50"/>
      <c r="O16" s="386"/>
      <c r="P16" s="386"/>
      <c r="S16" s="386"/>
      <c r="T16" s="386"/>
    </row>
    <row r="17" spans="1:20" ht="15" thickBot="1" x14ac:dyDescent="0.35">
      <c r="A17" s="383" t="s">
        <v>1450</v>
      </c>
      <c r="B17" s="156">
        <v>50490</v>
      </c>
      <c r="C17" s="380">
        <v>50</v>
      </c>
      <c r="D17" s="49"/>
      <c r="E17" s="50"/>
      <c r="O17" s="386"/>
      <c r="P17" s="386"/>
      <c r="S17" s="386"/>
      <c r="T17" s="386"/>
    </row>
    <row r="18" spans="1:20" ht="15" thickBot="1" x14ac:dyDescent="0.35">
      <c r="A18" s="383" t="s">
        <v>1451</v>
      </c>
      <c r="B18" s="156">
        <v>50324</v>
      </c>
      <c r="C18" s="380">
        <v>50</v>
      </c>
      <c r="D18" s="49"/>
      <c r="E18" s="50"/>
      <c r="O18" s="386"/>
      <c r="P18" s="386"/>
      <c r="S18" s="386"/>
      <c r="T18" s="386"/>
    </row>
    <row r="19" spans="1:20" ht="15" thickBot="1" x14ac:dyDescent="0.35">
      <c r="A19" s="383" t="s">
        <v>546</v>
      </c>
      <c r="B19" s="156">
        <v>50325</v>
      </c>
      <c r="C19" s="380">
        <v>50</v>
      </c>
      <c r="D19" s="49"/>
      <c r="E19" s="50"/>
      <c r="O19" s="386"/>
      <c r="P19" s="386"/>
      <c r="S19" s="386"/>
      <c r="T19" s="386"/>
    </row>
    <row r="20" spans="1:20" ht="15" thickBot="1" x14ac:dyDescent="0.35">
      <c r="A20" s="383" t="s">
        <v>1452</v>
      </c>
      <c r="B20" s="156">
        <v>50326</v>
      </c>
      <c r="C20" s="380">
        <v>50</v>
      </c>
      <c r="D20" s="49"/>
      <c r="E20" s="50"/>
      <c r="O20" s="386"/>
      <c r="P20" s="386"/>
      <c r="S20" s="386"/>
      <c r="T20" s="386"/>
    </row>
    <row r="21" spans="1:20" ht="15" thickBot="1" x14ac:dyDescent="0.35">
      <c r="A21" s="383" t="s">
        <v>547</v>
      </c>
      <c r="B21" s="156">
        <v>50327</v>
      </c>
      <c r="C21" s="380">
        <v>50</v>
      </c>
      <c r="D21" s="49"/>
      <c r="E21" s="50"/>
      <c r="O21" s="386"/>
      <c r="P21" s="386"/>
      <c r="S21" s="386"/>
      <c r="T21" s="386"/>
    </row>
    <row r="22" spans="1:20" ht="15" thickBot="1" x14ac:dyDescent="0.35">
      <c r="A22" s="383" t="s">
        <v>393</v>
      </c>
      <c r="B22" s="156">
        <v>50328</v>
      </c>
      <c r="C22" s="380">
        <v>50</v>
      </c>
      <c r="D22" s="49"/>
      <c r="E22" s="50"/>
      <c r="O22" s="386"/>
      <c r="P22" s="386"/>
      <c r="S22" s="386"/>
      <c r="T22" s="386"/>
    </row>
    <row r="23" spans="1:20" ht="15" thickBot="1" x14ac:dyDescent="0.35">
      <c r="A23" s="383" t="s">
        <v>1453</v>
      </c>
      <c r="B23" s="156">
        <v>50329</v>
      </c>
      <c r="C23" s="380">
        <v>50</v>
      </c>
      <c r="D23" s="49"/>
      <c r="E23" s="50"/>
      <c r="O23" s="386"/>
      <c r="P23" s="386"/>
      <c r="S23" s="386"/>
      <c r="T23" s="386"/>
    </row>
    <row r="24" spans="1:20" ht="15" thickBot="1" x14ac:dyDescent="0.35">
      <c r="A24" s="383" t="s">
        <v>1454</v>
      </c>
      <c r="B24" s="156">
        <v>50330</v>
      </c>
      <c r="C24" s="380">
        <v>50</v>
      </c>
      <c r="D24" s="49"/>
      <c r="E24" s="50"/>
      <c r="O24" s="386"/>
      <c r="P24" s="386"/>
      <c r="S24" s="386"/>
      <c r="T24" s="386"/>
    </row>
    <row r="25" spans="1:20" ht="15" thickBot="1" x14ac:dyDescent="0.35">
      <c r="A25" s="383" t="s">
        <v>1455</v>
      </c>
      <c r="B25" s="156">
        <v>50331</v>
      </c>
      <c r="C25" s="380">
        <v>50</v>
      </c>
      <c r="D25" s="49"/>
      <c r="E25" s="50"/>
      <c r="O25" s="386"/>
      <c r="P25" s="386"/>
      <c r="S25" s="386"/>
      <c r="T25" s="386"/>
    </row>
    <row r="26" spans="1:20" ht="15" thickBot="1" x14ac:dyDescent="0.35">
      <c r="A26" s="383" t="s">
        <v>548</v>
      </c>
      <c r="B26" s="156">
        <v>50332</v>
      </c>
      <c r="C26" s="380">
        <v>50</v>
      </c>
      <c r="D26" s="49"/>
      <c r="E26" s="50"/>
      <c r="O26" s="386"/>
      <c r="P26" s="386"/>
      <c r="S26" s="386"/>
      <c r="T26" s="386"/>
    </row>
    <row r="27" spans="1:20" ht="15" thickBot="1" x14ac:dyDescent="0.35">
      <c r="A27" s="383" t="s">
        <v>1456</v>
      </c>
      <c r="B27" s="156">
        <v>50333</v>
      </c>
      <c r="C27" s="380">
        <v>50</v>
      </c>
      <c r="D27" s="49"/>
      <c r="E27" s="50"/>
      <c r="O27" s="386"/>
      <c r="P27" s="386"/>
      <c r="S27" s="386"/>
      <c r="T27" s="386"/>
    </row>
    <row r="28" spans="1:20" ht="15" thickBot="1" x14ac:dyDescent="0.35">
      <c r="A28" s="383" t="s">
        <v>1457</v>
      </c>
      <c r="B28" s="156">
        <v>50335</v>
      </c>
      <c r="C28" s="380">
        <v>50</v>
      </c>
      <c r="D28" s="49"/>
      <c r="E28" s="50"/>
      <c r="O28" s="386"/>
      <c r="P28" s="386"/>
      <c r="S28" s="386"/>
      <c r="T28" s="386"/>
    </row>
    <row r="29" spans="1:20" ht="15" thickBot="1" x14ac:dyDescent="0.35">
      <c r="A29" s="383" t="s">
        <v>842</v>
      </c>
      <c r="B29" s="156">
        <v>50334</v>
      </c>
      <c r="C29" s="380">
        <v>50</v>
      </c>
      <c r="D29" s="49"/>
      <c r="E29" s="50"/>
      <c r="O29" s="386"/>
      <c r="P29" s="386"/>
      <c r="S29" s="386"/>
      <c r="T29" s="386"/>
    </row>
    <row r="30" spans="1:20" ht="15" thickBot="1" x14ac:dyDescent="0.35">
      <c r="A30" s="383" t="s">
        <v>843</v>
      </c>
      <c r="B30" s="156">
        <v>50336</v>
      </c>
      <c r="C30" s="380">
        <v>50</v>
      </c>
      <c r="D30" s="49"/>
      <c r="E30" s="50"/>
      <c r="O30" s="386"/>
      <c r="P30" s="386"/>
      <c r="S30" s="386"/>
      <c r="T30" s="386"/>
    </row>
    <row r="31" spans="1:20" ht="15" thickBot="1" x14ac:dyDescent="0.35">
      <c r="A31" s="383" t="s">
        <v>844</v>
      </c>
      <c r="B31" s="156">
        <v>50337</v>
      </c>
      <c r="C31" s="380">
        <v>50</v>
      </c>
      <c r="D31" s="49"/>
      <c r="E31" s="50"/>
      <c r="O31" s="386"/>
      <c r="P31" s="386"/>
      <c r="S31" s="386"/>
      <c r="T31" s="386"/>
    </row>
    <row r="32" spans="1:20" ht="15" thickBot="1" x14ac:dyDescent="0.35">
      <c r="A32" s="383" t="s">
        <v>845</v>
      </c>
      <c r="B32" s="156">
        <v>50338</v>
      </c>
      <c r="C32" s="380">
        <v>50</v>
      </c>
      <c r="D32" s="49"/>
      <c r="E32" s="50"/>
      <c r="O32" s="386"/>
      <c r="P32" s="386"/>
      <c r="S32" s="386"/>
      <c r="T32" s="386"/>
    </row>
    <row r="33" spans="1:20" ht="15" thickBot="1" x14ac:dyDescent="0.35">
      <c r="A33" s="383" t="s">
        <v>1458</v>
      </c>
      <c r="B33" s="156">
        <v>50339</v>
      </c>
      <c r="C33" s="380">
        <v>50</v>
      </c>
      <c r="D33" s="49"/>
      <c r="E33" s="50"/>
      <c r="O33" s="386"/>
      <c r="P33" s="386"/>
      <c r="S33" s="386"/>
      <c r="T33" s="386"/>
    </row>
    <row r="34" spans="1:20" ht="15" thickBot="1" x14ac:dyDescent="0.35">
      <c r="A34" s="383" t="s">
        <v>1459</v>
      </c>
      <c r="B34" s="156">
        <v>50443</v>
      </c>
      <c r="C34" s="380">
        <v>50</v>
      </c>
      <c r="D34" s="49"/>
      <c r="E34" s="50"/>
      <c r="O34" s="386"/>
      <c r="P34" s="386"/>
      <c r="S34" s="386"/>
      <c r="T34" s="386"/>
    </row>
    <row r="35" spans="1:20" ht="15" thickBot="1" x14ac:dyDescent="0.35">
      <c r="A35" s="383" t="s">
        <v>846</v>
      </c>
      <c r="B35" s="156">
        <v>50340</v>
      </c>
      <c r="C35" s="380">
        <v>50</v>
      </c>
      <c r="D35" s="49"/>
      <c r="E35" s="50"/>
      <c r="O35" s="386"/>
      <c r="P35" s="386"/>
      <c r="S35" s="386"/>
      <c r="T35" s="386"/>
    </row>
    <row r="36" spans="1:20" ht="15" thickBot="1" x14ac:dyDescent="0.35">
      <c r="A36" s="383" t="s">
        <v>1460</v>
      </c>
      <c r="B36" s="156">
        <v>50456</v>
      </c>
      <c r="C36" s="380">
        <v>50</v>
      </c>
      <c r="D36" s="49"/>
      <c r="E36" s="50"/>
      <c r="O36" s="386"/>
      <c r="P36" s="386"/>
      <c r="S36" s="386"/>
      <c r="T36" s="386"/>
    </row>
    <row r="37" spans="1:20" ht="15" thickBot="1" x14ac:dyDescent="0.35">
      <c r="A37" s="383" t="s">
        <v>1461</v>
      </c>
      <c r="B37" s="156">
        <v>50341</v>
      </c>
      <c r="C37" s="380">
        <v>50</v>
      </c>
      <c r="D37" s="49"/>
      <c r="E37" s="50"/>
      <c r="O37" s="386"/>
      <c r="P37" s="386"/>
      <c r="S37" s="386"/>
      <c r="T37" s="386"/>
    </row>
    <row r="38" spans="1:20" ht="15" thickBot="1" x14ac:dyDescent="0.35">
      <c r="A38" s="383" t="s">
        <v>1462</v>
      </c>
      <c r="B38" s="156">
        <v>50342</v>
      </c>
      <c r="C38" s="380">
        <v>50</v>
      </c>
      <c r="D38" s="49"/>
      <c r="E38" s="50"/>
      <c r="O38" s="386"/>
      <c r="P38" s="386"/>
      <c r="S38" s="386"/>
      <c r="T38" s="386"/>
    </row>
    <row r="39" spans="1:20" ht="15" thickBot="1" x14ac:dyDescent="0.35">
      <c r="A39" s="383" t="s">
        <v>1463</v>
      </c>
      <c r="B39" s="156">
        <v>50344</v>
      </c>
      <c r="C39" s="380">
        <v>50</v>
      </c>
      <c r="D39" s="49"/>
      <c r="E39" s="50"/>
      <c r="O39" s="386"/>
      <c r="P39" s="386"/>
      <c r="S39" s="386"/>
      <c r="T39" s="386"/>
    </row>
    <row r="40" spans="1:20" ht="15" thickBot="1" x14ac:dyDescent="0.35">
      <c r="A40" s="383" t="s">
        <v>1464</v>
      </c>
      <c r="B40" s="156">
        <v>50345</v>
      </c>
      <c r="C40" s="380">
        <v>50</v>
      </c>
      <c r="D40" s="49"/>
      <c r="E40" s="50"/>
      <c r="O40" s="386"/>
      <c r="P40" s="386"/>
      <c r="S40" s="386"/>
      <c r="T40" s="386"/>
    </row>
    <row r="41" spans="1:20" ht="15" thickBot="1" x14ac:dyDescent="0.35">
      <c r="A41" s="383" t="s">
        <v>1465</v>
      </c>
      <c r="B41" s="156">
        <v>50503</v>
      </c>
      <c r="C41" s="380">
        <v>50</v>
      </c>
      <c r="D41" s="49"/>
      <c r="E41" s="50"/>
      <c r="O41" s="386"/>
      <c r="P41" s="386"/>
      <c r="S41" s="386"/>
      <c r="T41" s="386"/>
    </row>
    <row r="42" spans="1:20" ht="15" thickBot="1" x14ac:dyDescent="0.35">
      <c r="A42" s="383" t="s">
        <v>1466</v>
      </c>
      <c r="B42" s="156">
        <v>50527</v>
      </c>
      <c r="C42" s="380">
        <v>50</v>
      </c>
      <c r="D42" s="49"/>
      <c r="E42" s="50"/>
      <c r="O42" s="386"/>
      <c r="P42" s="386"/>
      <c r="S42" s="386"/>
      <c r="T42" s="386"/>
    </row>
    <row r="43" spans="1:20" ht="15" thickBot="1" x14ac:dyDescent="0.35">
      <c r="A43" s="383" t="s">
        <v>1467</v>
      </c>
      <c r="B43" s="156">
        <v>50346</v>
      </c>
      <c r="C43" s="380">
        <v>50</v>
      </c>
      <c r="D43" s="49"/>
      <c r="E43" s="50"/>
      <c r="O43" s="386"/>
      <c r="P43" s="386"/>
      <c r="S43" s="386"/>
      <c r="T43" s="386"/>
    </row>
    <row r="44" spans="1:20" ht="15" thickBot="1" x14ac:dyDescent="0.35">
      <c r="A44" s="383" t="s">
        <v>1468</v>
      </c>
      <c r="B44" s="156">
        <v>50347</v>
      </c>
      <c r="C44" s="380">
        <v>50</v>
      </c>
      <c r="D44" s="49"/>
      <c r="E44" s="50"/>
      <c r="O44" s="386"/>
      <c r="P44" s="386"/>
      <c r="S44" s="386"/>
      <c r="T44" s="386"/>
    </row>
    <row r="45" spans="1:20" ht="15" thickBot="1" x14ac:dyDescent="0.35">
      <c r="A45" s="383" t="s">
        <v>1469</v>
      </c>
      <c r="B45" s="156">
        <v>50529</v>
      </c>
      <c r="C45" s="380">
        <v>50</v>
      </c>
      <c r="D45" s="49"/>
      <c r="E45" s="50"/>
      <c r="O45" s="386"/>
      <c r="P45" s="386"/>
      <c r="S45" s="386"/>
      <c r="T45" s="386"/>
    </row>
    <row r="46" spans="1:20" ht="15" thickBot="1" x14ac:dyDescent="0.35">
      <c r="A46" s="383" t="s">
        <v>550</v>
      </c>
      <c r="B46" s="156">
        <v>50348</v>
      </c>
      <c r="C46" s="380">
        <v>50</v>
      </c>
      <c r="D46" s="49"/>
      <c r="E46" s="50"/>
      <c r="O46" s="386"/>
      <c r="P46" s="386"/>
      <c r="S46" s="386"/>
      <c r="T46" s="386"/>
    </row>
    <row r="47" spans="1:20" ht="15" thickBot="1" x14ac:dyDescent="0.35">
      <c r="A47" s="383" t="s">
        <v>1470</v>
      </c>
      <c r="B47" s="156">
        <v>50349</v>
      </c>
      <c r="C47" s="380">
        <v>50</v>
      </c>
      <c r="D47" s="49"/>
      <c r="E47" s="50"/>
      <c r="O47" s="386"/>
      <c r="P47" s="386"/>
      <c r="S47" s="386"/>
      <c r="T47" s="386"/>
    </row>
    <row r="48" spans="1:20" ht="15" thickBot="1" x14ac:dyDescent="0.35">
      <c r="A48" s="383" t="s">
        <v>1471</v>
      </c>
      <c r="B48" s="156">
        <v>50350</v>
      </c>
      <c r="C48" s="380">
        <v>50</v>
      </c>
      <c r="D48" s="49"/>
      <c r="E48" s="50"/>
      <c r="O48" s="386"/>
      <c r="P48" s="386"/>
      <c r="S48" s="386"/>
      <c r="T48" s="386"/>
    </row>
    <row r="49" spans="1:20" ht="15" thickBot="1" x14ac:dyDescent="0.35">
      <c r="A49" s="383" t="s">
        <v>551</v>
      </c>
      <c r="B49" s="156">
        <v>50541</v>
      </c>
      <c r="C49" s="380">
        <v>50</v>
      </c>
      <c r="D49" s="49"/>
      <c r="E49" s="50"/>
      <c r="O49" s="386"/>
      <c r="P49" s="386"/>
      <c r="S49" s="386"/>
      <c r="T49" s="386"/>
    </row>
    <row r="50" spans="1:20" ht="15" thickBot="1" x14ac:dyDescent="0.35">
      <c r="A50" s="383" t="s">
        <v>1472</v>
      </c>
      <c r="B50" s="156">
        <v>50351</v>
      </c>
      <c r="C50" s="380">
        <v>50</v>
      </c>
      <c r="D50" s="49"/>
      <c r="E50" s="50"/>
      <c r="O50" s="386"/>
      <c r="P50" s="386"/>
      <c r="S50" s="386"/>
      <c r="T50" s="386"/>
    </row>
    <row r="51" spans="1:20" ht="15" thickBot="1" x14ac:dyDescent="0.35">
      <c r="A51" s="383" t="s">
        <v>1473</v>
      </c>
      <c r="B51" s="156">
        <v>50484</v>
      </c>
      <c r="C51" s="380">
        <v>50</v>
      </c>
      <c r="D51" s="49"/>
      <c r="E51" s="50"/>
      <c r="O51" s="386"/>
      <c r="P51" s="386"/>
      <c r="S51" s="386"/>
      <c r="T51" s="386"/>
    </row>
    <row r="52" spans="1:20" ht="15" thickBot="1" x14ac:dyDescent="0.35">
      <c r="A52" s="383" t="s">
        <v>1474</v>
      </c>
      <c r="B52" s="156">
        <v>50352</v>
      </c>
      <c r="C52" s="380">
        <v>50</v>
      </c>
      <c r="D52" s="49"/>
      <c r="E52" s="50"/>
      <c r="O52" s="386"/>
      <c r="P52" s="386"/>
      <c r="S52" s="386"/>
      <c r="T52" s="386"/>
    </row>
    <row r="53" spans="1:20" ht="15" thickBot="1" x14ac:dyDescent="0.35">
      <c r="A53" s="383" t="s">
        <v>1475</v>
      </c>
      <c r="B53" s="156">
        <v>50353</v>
      </c>
      <c r="C53" s="380">
        <v>50</v>
      </c>
      <c r="D53" s="49"/>
      <c r="E53" s="50"/>
      <c r="O53" s="386"/>
      <c r="P53" s="386"/>
      <c r="S53" s="386"/>
      <c r="T53" s="386"/>
    </row>
    <row r="54" spans="1:20" ht="15" thickBot="1" x14ac:dyDescent="0.35">
      <c r="A54" s="383" t="s">
        <v>1476</v>
      </c>
      <c r="B54" s="156">
        <v>50354</v>
      </c>
      <c r="C54" s="380">
        <v>50</v>
      </c>
      <c r="D54" s="49"/>
      <c r="E54" s="50"/>
      <c r="O54" s="386"/>
      <c r="P54" s="386"/>
      <c r="S54" s="386"/>
      <c r="T54" s="386"/>
    </row>
    <row r="55" spans="1:20" ht="15" thickBot="1" x14ac:dyDescent="0.35">
      <c r="A55" s="383" t="s">
        <v>552</v>
      </c>
      <c r="B55" s="156">
        <v>50355</v>
      </c>
      <c r="C55" s="380">
        <v>50</v>
      </c>
      <c r="D55" s="49"/>
      <c r="E55" s="50"/>
      <c r="O55" s="386"/>
      <c r="P55" s="386"/>
      <c r="S55" s="386"/>
      <c r="T55" s="386"/>
    </row>
    <row r="56" spans="1:20" ht="15" thickBot="1" x14ac:dyDescent="0.35">
      <c r="A56" s="383" t="s">
        <v>1477</v>
      </c>
      <c r="B56" s="156">
        <v>50356</v>
      </c>
      <c r="C56" s="380">
        <v>50</v>
      </c>
      <c r="D56" s="49"/>
      <c r="E56" s="50"/>
      <c r="O56" s="386"/>
      <c r="P56" s="386"/>
      <c r="S56" s="386"/>
      <c r="T56" s="386"/>
    </row>
    <row r="57" spans="1:20" ht="15" thickBot="1" x14ac:dyDescent="0.35">
      <c r="A57" s="383" t="s">
        <v>847</v>
      </c>
      <c r="B57" s="156">
        <v>50357</v>
      </c>
      <c r="C57" s="380">
        <v>50</v>
      </c>
      <c r="D57" s="49"/>
      <c r="E57" s="50"/>
      <c r="O57" s="386"/>
      <c r="P57" s="386"/>
      <c r="S57" s="386"/>
      <c r="T57" s="386"/>
    </row>
    <row r="58" spans="1:20" ht="15" thickBot="1" x14ac:dyDescent="0.35">
      <c r="A58" s="383" t="s">
        <v>1478</v>
      </c>
      <c r="B58" s="156">
        <v>50482</v>
      </c>
      <c r="C58" s="380">
        <v>50</v>
      </c>
      <c r="D58" s="49"/>
      <c r="E58" s="50"/>
      <c r="O58" s="386"/>
      <c r="P58" s="386"/>
      <c r="S58" s="386"/>
      <c r="T58" s="386"/>
    </row>
    <row r="59" spans="1:20" ht="15" thickBot="1" x14ac:dyDescent="0.35">
      <c r="A59" s="383" t="s">
        <v>1479</v>
      </c>
      <c r="B59" s="156">
        <v>50358</v>
      </c>
      <c r="C59" s="380">
        <v>50</v>
      </c>
      <c r="D59" s="49"/>
      <c r="E59" s="50"/>
      <c r="O59" s="386"/>
      <c r="P59" s="386"/>
      <c r="S59" s="386"/>
      <c r="T59" s="386"/>
    </row>
    <row r="60" spans="1:20" ht="15" thickBot="1" x14ac:dyDescent="0.35">
      <c r="A60" s="383" t="s">
        <v>1480</v>
      </c>
      <c r="B60" s="156">
        <v>50359</v>
      </c>
      <c r="C60" s="380">
        <v>50</v>
      </c>
      <c r="D60" s="49"/>
      <c r="E60" s="50"/>
      <c r="O60" s="386"/>
      <c r="P60" s="386"/>
      <c r="S60" s="386"/>
      <c r="T60" s="386"/>
    </row>
    <row r="61" spans="1:20" ht="15" thickBot="1" x14ac:dyDescent="0.35">
      <c r="A61" s="383" t="s">
        <v>553</v>
      </c>
      <c r="B61" s="156">
        <v>50360</v>
      </c>
      <c r="C61" s="380">
        <v>50</v>
      </c>
      <c r="D61" s="49"/>
      <c r="E61" s="50"/>
      <c r="O61" s="386"/>
      <c r="P61" s="386"/>
      <c r="S61" s="386"/>
      <c r="T61" s="386"/>
    </row>
    <row r="62" spans="1:20" ht="15" thickBot="1" x14ac:dyDescent="0.35">
      <c r="A62" s="383" t="s">
        <v>1481</v>
      </c>
      <c r="B62" s="156">
        <v>50361</v>
      </c>
      <c r="C62" s="380">
        <v>50</v>
      </c>
      <c r="D62" s="49"/>
      <c r="E62" s="50"/>
      <c r="O62" s="386"/>
      <c r="P62" s="386"/>
      <c r="S62" s="386"/>
      <c r="T62" s="386"/>
    </row>
    <row r="63" spans="1:20" ht="15" thickBot="1" x14ac:dyDescent="0.35">
      <c r="A63" s="383" t="s">
        <v>1482</v>
      </c>
      <c r="B63" s="156">
        <v>50362</v>
      </c>
      <c r="C63" s="380">
        <v>50</v>
      </c>
      <c r="D63" s="49"/>
      <c r="E63" s="50"/>
      <c r="O63" s="386"/>
      <c r="P63" s="386"/>
      <c r="S63" s="386"/>
      <c r="T63" s="386"/>
    </row>
    <row r="64" spans="1:20" ht="15" thickBot="1" x14ac:dyDescent="0.35">
      <c r="A64" s="383" t="s">
        <v>1483</v>
      </c>
      <c r="B64" s="156">
        <v>50363</v>
      </c>
      <c r="C64" s="380">
        <v>50</v>
      </c>
      <c r="D64" s="49"/>
      <c r="E64" s="50"/>
      <c r="O64" s="386"/>
      <c r="P64" s="386"/>
      <c r="S64" s="386"/>
      <c r="T64" s="386"/>
    </row>
    <row r="65" spans="1:20" ht="15" thickBot="1" x14ac:dyDescent="0.35">
      <c r="A65" s="383" t="s">
        <v>1484</v>
      </c>
      <c r="B65" s="156">
        <v>50364</v>
      </c>
      <c r="C65" s="380">
        <v>50</v>
      </c>
      <c r="D65" s="49"/>
      <c r="E65" s="50"/>
      <c r="O65" s="386"/>
      <c r="P65" s="386"/>
      <c r="S65" s="386"/>
      <c r="T65" s="386"/>
    </row>
    <row r="66" spans="1:20" ht="15" thickBot="1" x14ac:dyDescent="0.35">
      <c r="A66" s="383" t="s">
        <v>1485</v>
      </c>
      <c r="B66" s="156">
        <v>50365</v>
      </c>
      <c r="C66" s="380">
        <v>50</v>
      </c>
      <c r="D66" s="49"/>
      <c r="E66" s="50"/>
      <c r="O66" s="386"/>
      <c r="P66" s="386"/>
      <c r="S66" s="386"/>
      <c r="T66" s="386"/>
    </row>
    <row r="67" spans="1:20" ht="15" thickBot="1" x14ac:dyDescent="0.35">
      <c r="A67" s="383" t="s">
        <v>1486</v>
      </c>
      <c r="B67" s="156">
        <v>50366</v>
      </c>
      <c r="C67" s="380">
        <v>50</v>
      </c>
      <c r="D67" s="49"/>
      <c r="E67" s="50"/>
      <c r="O67" s="386"/>
      <c r="P67" s="386"/>
      <c r="S67" s="386"/>
      <c r="T67" s="386"/>
    </row>
    <row r="68" spans="1:20" ht="15" thickBot="1" x14ac:dyDescent="0.35">
      <c r="A68" s="383" t="s">
        <v>1497</v>
      </c>
      <c r="B68" s="156">
        <v>50367</v>
      </c>
      <c r="C68" s="380">
        <v>50</v>
      </c>
      <c r="D68" s="49"/>
      <c r="E68" s="50"/>
      <c r="O68" s="386"/>
      <c r="P68" s="386"/>
      <c r="S68" s="386"/>
      <c r="T68" s="386"/>
    </row>
    <row r="69" spans="1:20" ht="15" thickBot="1" x14ac:dyDescent="0.35">
      <c r="A69" s="383" t="s">
        <v>1487</v>
      </c>
      <c r="B69" s="156">
        <v>50368</v>
      </c>
      <c r="C69" s="380">
        <v>50</v>
      </c>
    </row>
    <row r="70" spans="1:20" ht="15" thickBot="1" x14ac:dyDescent="0.35">
      <c r="A70" s="383" t="s">
        <v>1488</v>
      </c>
      <c r="B70" s="156">
        <v>50369</v>
      </c>
      <c r="C70" s="380">
        <v>50</v>
      </c>
    </row>
    <row r="71" spans="1:20" ht="15" thickBot="1" x14ac:dyDescent="0.35">
      <c r="A71" s="383" t="s">
        <v>554</v>
      </c>
      <c r="B71" s="156">
        <v>50370</v>
      </c>
      <c r="C71" s="380">
        <v>50</v>
      </c>
    </row>
    <row r="72" spans="1:20" ht="15" thickBot="1" x14ac:dyDescent="0.35">
      <c r="A72" s="383" t="s">
        <v>1489</v>
      </c>
      <c r="B72" s="156">
        <v>50371</v>
      </c>
      <c r="C72" s="380">
        <v>50</v>
      </c>
    </row>
    <row r="73" spans="1:20" ht="15" thickBot="1" x14ac:dyDescent="0.35">
      <c r="A73" s="383"/>
      <c r="B73" s="156"/>
      <c r="C73" s="380"/>
    </row>
    <row r="74" spans="1:20" ht="15" thickBot="1" x14ac:dyDescent="0.35">
      <c r="A74" s="383"/>
      <c r="B74" s="156"/>
      <c r="C74" s="380"/>
    </row>
    <row r="75" spans="1:20" ht="15" thickBot="1" x14ac:dyDescent="0.35">
      <c r="A75" s="383"/>
      <c r="B75" s="156"/>
      <c r="C75" s="380"/>
    </row>
    <row r="76" spans="1:20" ht="15" thickBot="1" x14ac:dyDescent="0.35">
      <c r="A76" s="383"/>
      <c r="B76" s="156"/>
      <c r="C76" s="380"/>
    </row>
    <row r="77" spans="1:20" ht="15" thickBot="1" x14ac:dyDescent="0.35">
      <c r="A77" s="383"/>
      <c r="B77" s="156"/>
      <c r="C77" s="380"/>
    </row>
    <row r="78" spans="1:20" ht="15" thickBot="1" x14ac:dyDescent="0.35">
      <c r="A78" s="383"/>
      <c r="B78" s="156"/>
      <c r="C78" s="380"/>
    </row>
    <row r="79" spans="1:20" ht="15" thickBot="1" x14ac:dyDescent="0.35">
      <c r="A79" s="383"/>
      <c r="B79" s="156"/>
      <c r="C79" s="380"/>
    </row>
    <row r="80" spans="1:20" ht="15" thickBot="1" x14ac:dyDescent="0.35">
      <c r="A80" s="383"/>
      <c r="B80" s="156"/>
      <c r="C80" s="380"/>
    </row>
    <row r="81" spans="1:3" ht="15" thickBot="1" x14ac:dyDescent="0.35">
      <c r="A81" s="383"/>
      <c r="B81" s="156"/>
      <c r="C81" s="380"/>
    </row>
    <row r="82" spans="1:3" ht="15" thickBot="1" x14ac:dyDescent="0.35">
      <c r="A82" s="383"/>
      <c r="B82" s="156"/>
      <c r="C82" s="380"/>
    </row>
    <row r="83" spans="1:3" ht="15" thickBot="1" x14ac:dyDescent="0.35">
      <c r="A83" s="383"/>
      <c r="B83" s="156"/>
      <c r="C83" s="380"/>
    </row>
    <row r="84" spans="1:3" ht="15" thickBot="1" x14ac:dyDescent="0.35">
      <c r="A84" s="383"/>
      <c r="B84" s="156"/>
      <c r="C84" s="380"/>
    </row>
    <row r="85" spans="1:3" ht="15" thickBot="1" x14ac:dyDescent="0.35">
      <c r="A85" s="383"/>
      <c r="B85" s="156"/>
      <c r="C85" s="380"/>
    </row>
    <row r="86" spans="1:3" ht="15" thickBot="1" x14ac:dyDescent="0.35">
      <c r="A86" s="383"/>
      <c r="B86" s="156"/>
      <c r="C86" s="380"/>
    </row>
    <row r="87" spans="1:3" ht="15" thickBot="1" x14ac:dyDescent="0.35">
      <c r="A87" s="383"/>
      <c r="B87" s="156"/>
      <c r="C87" s="380"/>
    </row>
    <row r="88" spans="1:3" x14ac:dyDescent="0.3">
      <c r="C88" s="380"/>
    </row>
    <row r="89" spans="1:3" x14ac:dyDescent="0.3">
      <c r="C89" s="380"/>
    </row>
    <row r="90" spans="1:3" x14ac:dyDescent="0.3">
      <c r="C90" s="380"/>
    </row>
    <row r="91" spans="1:3" x14ac:dyDescent="0.3">
      <c r="C91" s="380"/>
    </row>
    <row r="92" spans="1:3" x14ac:dyDescent="0.3">
      <c r="C92" s="380"/>
    </row>
    <row r="93" spans="1:3" x14ac:dyDescent="0.3">
      <c r="C93" s="380"/>
    </row>
    <row r="94" spans="1:3" x14ac:dyDescent="0.3">
      <c r="C94" s="380"/>
    </row>
    <row r="95" spans="1:3" x14ac:dyDescent="0.3">
      <c r="C95" s="380"/>
    </row>
  </sheetData>
  <sheetProtection algorithmName="SHA-512" hashValue="+aEw4ZZeUxSMZrWTv53Nx2j16BtoyLti+vtjhgRG0y1GHkhIEx0ndctcYXD+vsH4twCkn3b7syG8FLyadRG5vg==" saltValue="DdfrnPtMKXDeAGr6zHTgA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I406"/>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9.6640625" style="279" customWidth="1"/>
    <col min="2" max="2" width="20.6640625" style="5" customWidth="1"/>
    <col min="3" max="3" width="17.44140625" style="5" customWidth="1"/>
    <col min="4" max="4" width="46.33203125" style="386" customWidth="1"/>
    <col min="5" max="5" width="17.109375" style="18" customWidth="1"/>
    <col min="6" max="6" width="21.5546875" style="386" customWidth="1"/>
    <col min="7" max="7" width="26.6640625" style="451" customWidth="1"/>
    <col min="8" max="8" width="25.109375" style="311" customWidth="1"/>
    <col min="9" max="10" width="24" style="386" customWidth="1"/>
    <col min="11" max="11" width="17.33203125" style="18" customWidth="1"/>
    <col min="12" max="12" width="11.6640625" style="18" customWidth="1"/>
    <col min="13" max="13" width="4" hidden="1" customWidth="1"/>
    <col min="14" max="14" width="11" style="18" hidden="1" customWidth="1"/>
    <col min="15" max="15" width="3.33203125" style="187" hidden="1" customWidth="1"/>
    <col min="16" max="16" width="2.109375" style="18" hidden="1" customWidth="1"/>
    <col min="17" max="17" width="13.44140625" style="18" hidden="1" customWidth="1"/>
    <col min="18" max="18" width="13.109375" style="18" customWidth="1"/>
    <col min="19" max="25" width="9.109375" style="18"/>
    <col min="26" max="26" width="8.88671875" customWidth="1"/>
    <col min="27" max="29" width="10.5546875" customWidth="1"/>
    <col min="30" max="96" width="20.6640625" customWidth="1"/>
    <col min="124" max="1881" width="9.109375" style="18"/>
    <col min="1882" max="16384" width="9.109375" style="386"/>
  </cols>
  <sheetData>
    <row r="1" spans="1:123" ht="15" thickBot="1" x14ac:dyDescent="0.35">
      <c r="B1" s="453" t="s">
        <v>388</v>
      </c>
      <c r="C1" s="453"/>
      <c r="E1" s="387" t="s">
        <v>35</v>
      </c>
      <c r="F1" s="388">
        <v>2023</v>
      </c>
      <c r="G1" s="115" t="s">
        <v>118</v>
      </c>
      <c r="H1" s="389"/>
      <c r="I1" s="390"/>
      <c r="J1" s="390"/>
      <c r="K1" s="391"/>
      <c r="N1" s="18" t="s">
        <v>50</v>
      </c>
      <c r="P1" s="18">
        <v>1</v>
      </c>
      <c r="Q1" s="18" t="s">
        <v>1135</v>
      </c>
    </row>
    <row r="2" spans="1:123" ht="44.25" customHeight="1" thickBot="1" x14ac:dyDescent="0.35">
      <c r="B2" s="1072" t="s">
        <v>284</v>
      </c>
      <c r="C2" s="1073"/>
      <c r="D2" s="392" t="s">
        <v>814</v>
      </c>
      <c r="E2" s="1070" t="s">
        <v>296</v>
      </c>
      <c r="F2" s="1070"/>
      <c r="G2" s="1071"/>
      <c r="H2" s="778" t="s">
        <v>2627</v>
      </c>
      <c r="N2" s="18" t="s">
        <v>51</v>
      </c>
      <c r="O2" s="187">
        <v>50</v>
      </c>
      <c r="P2" s="18">
        <v>2</v>
      </c>
      <c r="Q2" s="18">
        <v>9004</v>
      </c>
    </row>
    <row r="3" spans="1:123" ht="15" thickBot="1" x14ac:dyDescent="0.35">
      <c r="B3" s="454" t="s">
        <v>0</v>
      </c>
      <c r="C3" s="455"/>
      <c r="D3" s="394" t="e">
        <f>VLOOKUP(D2,'Unit Names(H)'!A2:B139,2,FALSE)</f>
        <v>#N/A</v>
      </c>
      <c r="E3" s="526"/>
      <c r="F3" s="395"/>
      <c r="G3" s="396"/>
      <c r="H3" s="393"/>
      <c r="O3" s="187">
        <v>51</v>
      </c>
      <c r="P3" s="18">
        <v>3</v>
      </c>
    </row>
    <row r="4" spans="1:123" ht="15" thickBot="1" x14ac:dyDescent="0.35">
      <c r="B4" s="456" t="s">
        <v>680</v>
      </c>
      <c r="C4" s="457"/>
      <c r="D4" s="397"/>
      <c r="E4" s="397"/>
      <c r="F4" s="398"/>
      <c r="G4" s="399"/>
      <c r="H4" s="393"/>
      <c r="I4" s="2"/>
      <c r="J4" s="2"/>
      <c r="N4" s="18" t="s">
        <v>324</v>
      </c>
      <c r="O4" s="187">
        <v>52</v>
      </c>
      <c r="P4" s="18">
        <v>4</v>
      </c>
    </row>
    <row r="5" spans="1:123" ht="37.5" customHeight="1" thickBot="1" x14ac:dyDescent="0.35">
      <c r="A5" s="375" t="s">
        <v>385</v>
      </c>
      <c r="B5" s="954" t="s">
        <v>103</v>
      </c>
      <c r="C5" s="954" t="s">
        <v>120</v>
      </c>
      <c r="D5" s="955" t="s">
        <v>1</v>
      </c>
      <c r="E5" s="955">
        <v>2022</v>
      </c>
      <c r="F5" s="400">
        <v>2023</v>
      </c>
      <c r="G5" s="956" t="s">
        <v>789</v>
      </c>
      <c r="H5" s="401" t="s">
        <v>300</v>
      </c>
      <c r="I5" s="388" t="s">
        <v>13</v>
      </c>
      <c r="J5" s="388"/>
      <c r="N5" s="18" t="s">
        <v>430</v>
      </c>
    </row>
    <row r="6" spans="1:123" ht="48" customHeight="1" thickBot="1" x14ac:dyDescent="0.4">
      <c r="A6" s="375"/>
      <c r="B6" s="1079" t="s">
        <v>1932</v>
      </c>
      <c r="C6" s="1080"/>
      <c r="D6" s="1080"/>
      <c r="E6" s="1080"/>
      <c r="F6" s="1080"/>
      <c r="G6" s="1081"/>
      <c r="H6" s="944"/>
      <c r="I6" s="388"/>
      <c r="J6" s="388"/>
      <c r="M6" s="180"/>
      <c r="N6" s="344" t="s">
        <v>464</v>
      </c>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c r="BF6" s="180"/>
      <c r="BG6" s="180"/>
      <c r="BH6" s="180"/>
      <c r="BI6" s="180"/>
      <c r="BJ6" s="180"/>
      <c r="BK6" s="180"/>
      <c r="BL6" s="180"/>
      <c r="BM6" s="180"/>
      <c r="BN6" s="180"/>
      <c r="BO6" s="180"/>
      <c r="BP6" s="180"/>
      <c r="BQ6" s="180"/>
      <c r="BR6" s="180"/>
      <c r="BS6" s="180"/>
      <c r="BT6" s="180"/>
      <c r="BU6" s="180"/>
      <c r="BV6" s="180"/>
      <c r="BW6" s="180"/>
      <c r="BX6" s="180"/>
      <c r="BY6" s="180"/>
      <c r="BZ6" s="180"/>
      <c r="CA6" s="180"/>
      <c r="CB6" s="180"/>
      <c r="CC6" s="180"/>
      <c r="CD6" s="180"/>
      <c r="CE6" s="180"/>
      <c r="CF6" s="180"/>
      <c r="CG6" s="180"/>
      <c r="CH6" s="180"/>
      <c r="CI6" s="180"/>
      <c r="CJ6" s="180"/>
      <c r="CK6" s="180"/>
      <c r="CL6" s="180"/>
      <c r="CM6" s="180"/>
      <c r="CN6" s="180"/>
      <c r="CO6" s="180"/>
      <c r="CP6" s="180"/>
      <c r="CQ6" s="180"/>
      <c r="CR6" s="180"/>
      <c r="CS6" s="180"/>
      <c r="CT6" s="180"/>
      <c r="CU6" s="180"/>
      <c r="CV6" s="180"/>
      <c r="CW6" s="180"/>
      <c r="CX6" s="180"/>
      <c r="CY6" s="180"/>
      <c r="CZ6" s="180"/>
      <c r="DA6" s="180"/>
      <c r="DB6" s="180"/>
      <c r="DC6" s="180"/>
      <c r="DD6" s="180"/>
      <c r="DE6" s="180"/>
      <c r="DF6" s="180"/>
      <c r="DG6" s="180"/>
      <c r="DH6" s="180"/>
      <c r="DI6" s="180"/>
      <c r="DJ6" s="180"/>
      <c r="DK6" s="180"/>
      <c r="DL6" s="180"/>
      <c r="DM6" s="180"/>
      <c r="DN6" s="180"/>
      <c r="DO6" s="180"/>
      <c r="DP6" s="180"/>
      <c r="DQ6" s="180"/>
      <c r="DR6" s="180"/>
      <c r="DS6" s="180"/>
    </row>
    <row r="7" spans="1:123" ht="72" customHeight="1" thickBot="1" x14ac:dyDescent="0.4">
      <c r="A7" s="375"/>
      <c r="B7" s="1079" t="s">
        <v>1968</v>
      </c>
      <c r="C7" s="1080"/>
      <c r="D7" s="1080"/>
      <c r="E7" s="1080"/>
      <c r="F7" s="1080"/>
      <c r="G7" s="1081"/>
      <c r="H7" s="944"/>
      <c r="I7" s="388"/>
      <c r="J7" s="388"/>
      <c r="M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80"/>
      <c r="BP7" s="180"/>
      <c r="BQ7" s="180"/>
      <c r="BR7" s="180"/>
      <c r="BS7" s="180"/>
      <c r="BT7" s="180"/>
      <c r="BU7" s="180"/>
      <c r="BV7" s="180"/>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c r="CV7" s="180"/>
      <c r="CW7" s="180"/>
      <c r="CX7" s="180"/>
      <c r="CY7" s="180"/>
      <c r="CZ7" s="180"/>
      <c r="DA7" s="180"/>
      <c r="DB7" s="180"/>
      <c r="DC7" s="180"/>
      <c r="DD7" s="180"/>
      <c r="DE7" s="180"/>
      <c r="DF7" s="180"/>
      <c r="DG7" s="180"/>
      <c r="DH7" s="180"/>
      <c r="DI7" s="180"/>
      <c r="DJ7" s="180"/>
      <c r="DK7" s="180"/>
      <c r="DL7" s="180"/>
      <c r="DM7" s="180"/>
      <c r="DN7" s="180"/>
      <c r="DO7" s="180"/>
      <c r="DP7" s="180"/>
      <c r="DQ7" s="180"/>
      <c r="DR7" s="180"/>
      <c r="DS7" s="180"/>
    </row>
    <row r="8" spans="1:123" ht="31.2" customHeight="1" x14ac:dyDescent="0.3">
      <c r="B8" s="481" t="s">
        <v>119</v>
      </c>
      <c r="C8" s="482"/>
      <c r="D8" s="483"/>
      <c r="E8" s="484"/>
      <c r="F8" s="485"/>
      <c r="G8" s="477"/>
      <c r="H8" s="17"/>
      <c r="K8" s="774"/>
      <c r="N8" s="18" t="s">
        <v>413</v>
      </c>
    </row>
    <row r="9" spans="1:123" s="18" customFormat="1" ht="72.599999999999994" customHeight="1" x14ac:dyDescent="0.3">
      <c r="A9" s="553">
        <v>333</v>
      </c>
      <c r="B9" s="375" t="s">
        <v>66</v>
      </c>
      <c r="C9" s="375" t="s">
        <v>121</v>
      </c>
      <c r="D9" s="385" t="s">
        <v>681</v>
      </c>
      <c r="E9" s="373" t="e">
        <f>INDEX('PY1 Data(H)'!$A$1:$CZ$265,MATCH('Unit Data from Audit Worksheet'!$A9,'PY1 Data(H)'!$A$1:$A$258,0),MATCH('Unit Data from Audit Worksheet'!$D$2,'PY1 Data(H)'!$A$1:$CZ$1,0))</f>
        <v>#N/A</v>
      </c>
      <c r="F9" s="810">
        <v>0</v>
      </c>
      <c r="G9" s="403">
        <f>IF(F9&lt;0,"Note: Number is normally positive.",)</f>
        <v>0</v>
      </c>
      <c r="H9" s="404"/>
      <c r="I9" s="405"/>
      <c r="J9" s="405"/>
      <c r="K9" s="294"/>
      <c r="L9" s="550"/>
      <c r="M9"/>
      <c r="N9" s="18" t="s">
        <v>431</v>
      </c>
      <c r="O9" s="187"/>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row>
    <row r="10" spans="1:123" s="18" customFormat="1" ht="51" customHeight="1" x14ac:dyDescent="0.3">
      <c r="A10" s="100">
        <v>500</v>
      </c>
      <c r="B10" s="375" t="s">
        <v>54</v>
      </c>
      <c r="C10" s="375" t="s">
        <v>121</v>
      </c>
      <c r="D10" s="385" t="s">
        <v>682</v>
      </c>
      <c r="E10" s="373" t="e">
        <f>INDEX('PY1 Data(H)'!$A$1:$CZ$265,MATCH('Unit Data from Audit Worksheet'!$A10,'PY1 Data(H)'!$A$1:$A$258,0),MATCH('Unit Data from Audit Worksheet'!$D$2,'PY1 Data(H)'!$A$1:$CZ$1,0))</f>
        <v>#N/A</v>
      </c>
      <c r="F10" s="810">
        <v>0</v>
      </c>
      <c r="G10" s="403">
        <f>IF(F10&lt;0,"Note: Number is normally positive.",)</f>
        <v>0</v>
      </c>
      <c r="H10" s="404"/>
      <c r="I10" s="404"/>
      <c r="J10" s="404"/>
      <c r="K10" s="294"/>
      <c r="L10" s="550"/>
      <c r="M10"/>
      <c r="N10" s="18" t="s">
        <v>432</v>
      </c>
      <c r="O10" s="187"/>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row>
    <row r="11" spans="1:123" ht="51" customHeight="1" x14ac:dyDescent="0.3">
      <c r="A11" s="565">
        <v>385</v>
      </c>
      <c r="B11" s="4" t="s">
        <v>59</v>
      </c>
      <c r="C11" s="375" t="s">
        <v>121</v>
      </c>
      <c r="D11" s="99" t="s">
        <v>122</v>
      </c>
      <c r="E11" s="373" t="e">
        <f>INDEX('PY1 Data(H)'!$A$1:$CZ$265,MATCH('Unit Data from Audit Worksheet'!$A11,'PY1 Data(H)'!$A$1:$A$258,0),MATCH('Unit Data from Audit Worksheet'!$D$2,'PY1 Data(H)'!$A$1:$CZ$1,0))-INDEX('PY1 Data(H)'!$A$1:$CZ$258,MATCH('Unit Data from Audit Worksheet'!$A13,'PY1 Data(H)'!$A$1:$A$258,0),MATCH('Unit Data from Audit Worksheet'!$D$2,'PY1 Data(H)'!$A$1:$CZ$1,0))</f>
        <v>#N/A</v>
      </c>
      <c r="F11" s="810">
        <v>0</v>
      </c>
      <c r="G11" s="403">
        <f>IF((F9+F10)&gt;F11,"Error: Please review Account numbers (333+500)&gt;385",)</f>
        <v>0</v>
      </c>
      <c r="H11" s="404"/>
      <c r="I11" s="404"/>
      <c r="J11" s="404"/>
      <c r="K11"/>
      <c r="L11" s="550"/>
    </row>
    <row r="12" spans="1:123" s="18" customFormat="1" ht="90" customHeight="1" x14ac:dyDescent="0.3">
      <c r="A12" s="100">
        <v>575</v>
      </c>
      <c r="B12" s="375" t="s">
        <v>69</v>
      </c>
      <c r="C12" s="375" t="s">
        <v>121</v>
      </c>
      <c r="D12" s="458" t="s">
        <v>683</v>
      </c>
      <c r="E12" s="373" t="e">
        <f>INDEX('PY1 Data(H)'!$A$1:$CZ$265,MATCH('Unit Data from Audit Worksheet'!$A12,'PY1 Data(H)'!$A$1:$A$258,0),MATCH('Unit Data from Audit Worksheet'!$D$2,'PY1 Data(H)'!$A$1:$CZ$1,0))</f>
        <v>#N/A</v>
      </c>
      <c r="F12" s="810">
        <v>0</v>
      </c>
      <c r="G12" s="403">
        <f>IF(F12&lt;0,"Note: Number is normally positive.",)</f>
        <v>0</v>
      </c>
      <c r="H12" s="406"/>
      <c r="I12" s="407"/>
      <c r="J12" s="407"/>
      <c r="K12"/>
      <c r="L12" s="550"/>
      <c r="M12"/>
      <c r="O12" s="187"/>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row>
    <row r="13" spans="1:123" s="18" customFormat="1" ht="93.75" customHeight="1" x14ac:dyDescent="0.3">
      <c r="A13" s="100">
        <v>576</v>
      </c>
      <c r="B13" s="375" t="s">
        <v>69</v>
      </c>
      <c r="C13" s="375" t="s">
        <v>121</v>
      </c>
      <c r="D13" s="458" t="s">
        <v>684</v>
      </c>
      <c r="E13" s="373" t="e">
        <f>INDEX('PY1 Data(H)'!$A$1:$CZ$265,MATCH('Unit Data from Audit Worksheet'!$A13,'PY1 Data(H)'!$A$1:$A$258,0),MATCH('Unit Data from Audit Worksheet'!$D$2,'PY1 Data(H)'!$A$1:$CZ$1,0))</f>
        <v>#N/A</v>
      </c>
      <c r="F13" s="810">
        <v>0</v>
      </c>
      <c r="G13" s="403">
        <f>IF(F13&lt;0,"Error: Enter as positive.",)</f>
        <v>0</v>
      </c>
      <c r="H13" s="406"/>
      <c r="I13" s="407"/>
      <c r="J13" s="407"/>
      <c r="K13"/>
      <c r="L13" s="550"/>
      <c r="M13"/>
      <c r="O13" s="187"/>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row>
    <row r="14" spans="1:123" ht="85.5" customHeight="1" x14ac:dyDescent="0.3">
      <c r="A14" s="566">
        <v>626</v>
      </c>
      <c r="B14" s="462" t="s">
        <v>445</v>
      </c>
      <c r="C14" s="462" t="s">
        <v>121</v>
      </c>
      <c r="D14" s="216" t="s">
        <v>685</v>
      </c>
      <c r="E14" s="373" t="e">
        <f>INDEX('PY1 Data(H)'!$A$1:$CZ$265,MATCH('Unit Data from Audit Worksheet'!$A14,'PY1 Data(H)'!$A$1:$A$258,0),MATCH('Unit Data from Audit Worksheet'!$D$2,'PY1 Data(H)'!$A$1:$CZ$1,0))-INDEX('PY1 Data(H)'!$A$1:$CZ$258,MATCH('Unit Data from Audit Worksheet'!$A13,'PY1 Data(H)'!$A$1:$A$258,0),MATCH('Unit Data from Audit Worksheet'!$D$2,'PY1 Data(H)'!$A$1:$CZ$1,0))</f>
        <v>#N/A</v>
      </c>
      <c r="F14" s="810">
        <v>0</v>
      </c>
      <c r="G14" s="403">
        <f>IF(F14&lt;0,"Error: Enter as positive.",)</f>
        <v>0</v>
      </c>
      <c r="H14" s="408"/>
      <c r="I14" s="408"/>
      <c r="J14" s="775"/>
      <c r="K14"/>
      <c r="L14" s="550"/>
    </row>
    <row r="15" spans="1:123" ht="89.25" customHeight="1" x14ac:dyDescent="0.3">
      <c r="A15" s="191">
        <v>627</v>
      </c>
      <c r="B15" s="463" t="s">
        <v>360</v>
      </c>
      <c r="C15" s="462" t="s">
        <v>121</v>
      </c>
      <c r="D15" s="216" t="s">
        <v>686</v>
      </c>
      <c r="E15" s="373" t="e">
        <f>INDEX('PY1 Data(H)'!$A$1:$CZ$265,MATCH('Unit Data from Audit Worksheet'!$A15,'PY1 Data(H)'!$A$1:$A$258,0),MATCH('Unit Data from Audit Worksheet'!$D$2,'PY1 Data(H)'!$A$1:$CZ$1,0))</f>
        <v>#N/A</v>
      </c>
      <c r="F15" s="810">
        <v>0</v>
      </c>
      <c r="G15" s="403">
        <f>IF(F15&gt;F14,"Please review account numbers 627 &gt;626",)</f>
        <v>0</v>
      </c>
      <c r="H15" s="408"/>
      <c r="I15" s="408"/>
      <c r="J15" s="775"/>
      <c r="K15"/>
      <c r="L15" s="550"/>
    </row>
    <row r="16" spans="1:123" ht="105" customHeight="1" x14ac:dyDescent="0.3">
      <c r="A16" s="191">
        <v>628</v>
      </c>
      <c r="B16" s="463" t="s">
        <v>360</v>
      </c>
      <c r="C16" s="462" t="s">
        <v>121</v>
      </c>
      <c r="D16" s="216" t="s">
        <v>687</v>
      </c>
      <c r="E16" s="373" t="e">
        <f>INDEX('PY1 Data(H)'!$A$1:$CZ$265,MATCH('Unit Data from Audit Worksheet'!$A16,'PY1 Data(H)'!$A$1:$A$258,0),MATCH('Unit Data from Audit Worksheet'!$D$2,'PY1 Data(H)'!$A$1:$CZ$1,0))</f>
        <v>#N/A</v>
      </c>
      <c r="F16" s="810">
        <v>0</v>
      </c>
      <c r="G16" s="403">
        <f>IF(F16&gt;F14,"Please review account numbers 628 &gt; 626",)</f>
        <v>0</v>
      </c>
      <c r="H16" s="408"/>
      <c r="I16" s="408"/>
      <c r="J16" s="775"/>
      <c r="K16"/>
      <c r="L16" s="550"/>
    </row>
    <row r="17" spans="1:12" ht="95.25" customHeight="1" x14ac:dyDescent="0.3">
      <c r="A17" s="191">
        <v>629</v>
      </c>
      <c r="B17" s="463" t="s">
        <v>360</v>
      </c>
      <c r="C17" s="462" t="s">
        <v>121</v>
      </c>
      <c r="D17" s="216" t="s">
        <v>688</v>
      </c>
      <c r="E17" s="373" t="e">
        <f>INDEX('PY1 Data(H)'!$A$1:$CZ$265,MATCH('Unit Data from Audit Worksheet'!$A17,'PY1 Data(H)'!$A$1:$A$258,0),MATCH('Unit Data from Audit Worksheet'!$D$2,'PY1 Data(H)'!$A$1:$CZ$1,0))</f>
        <v>#N/A</v>
      </c>
      <c r="F17" s="810">
        <v>0</v>
      </c>
      <c r="G17" s="403">
        <f>IF(F17&gt;F14,"Please review account numbers 629 &gt; 626",)</f>
        <v>0</v>
      </c>
      <c r="H17" s="408"/>
      <c r="I17" s="408"/>
      <c r="J17" s="775"/>
      <c r="K17"/>
      <c r="L17" s="550"/>
    </row>
    <row r="18" spans="1:12" ht="69" customHeight="1" x14ac:dyDescent="0.3">
      <c r="A18" s="191">
        <v>630</v>
      </c>
      <c r="B18" s="463" t="s">
        <v>360</v>
      </c>
      <c r="C18" s="462" t="s">
        <v>121</v>
      </c>
      <c r="D18" s="216" t="s">
        <v>426</v>
      </c>
      <c r="E18" s="373" t="e">
        <f>INDEX('PY1 Data(H)'!$A$1:$CZ$265,MATCH('Unit Data from Audit Worksheet'!$A18,'PY1 Data(H)'!$A$1:$A$258,0),MATCH('Unit Data from Audit Worksheet'!$D$2,'PY1 Data(H)'!$A$1:$CZ$1,0))</f>
        <v>#N/A</v>
      </c>
      <c r="F18" s="810">
        <v>0</v>
      </c>
      <c r="G18" s="403">
        <f>IF(F18&gt;F14,"Please review account numbers 630 &gt; 626",)</f>
        <v>0</v>
      </c>
      <c r="H18" s="408"/>
      <c r="I18" s="408"/>
      <c r="J18" s="775"/>
      <c r="K18"/>
      <c r="L18" s="550"/>
    </row>
    <row r="19" spans="1:12" ht="95.25" customHeight="1" x14ac:dyDescent="0.3">
      <c r="A19" s="191">
        <v>631</v>
      </c>
      <c r="B19" s="463" t="s">
        <v>360</v>
      </c>
      <c r="C19" s="462" t="s">
        <v>121</v>
      </c>
      <c r="D19" s="216" t="s">
        <v>689</v>
      </c>
      <c r="E19" s="373" t="e">
        <f>INDEX('PY1 Data(H)'!$A$1:$CZ$265,MATCH('Unit Data from Audit Worksheet'!$A19,'PY1 Data(H)'!$A$1:$A$258,0),MATCH('Unit Data from Audit Worksheet'!$D$2,'PY1 Data(H)'!$A$1:$CZ$1,0))</f>
        <v>#N/A</v>
      </c>
      <c r="F19" s="810">
        <v>0</v>
      </c>
      <c r="G19" s="403">
        <f>IF(F19&gt;F14,"Please review account numbers 631 &gt; 626",)</f>
        <v>0</v>
      </c>
      <c r="H19" s="408"/>
      <c r="I19" s="408"/>
      <c r="J19" s="775"/>
      <c r="K19"/>
      <c r="L19" s="550"/>
    </row>
    <row r="20" spans="1:12" ht="111.75" customHeight="1" x14ac:dyDescent="0.3">
      <c r="A20" s="191">
        <v>632</v>
      </c>
      <c r="B20" s="463" t="s">
        <v>360</v>
      </c>
      <c r="C20" s="462" t="s">
        <v>121</v>
      </c>
      <c r="D20" s="216" t="s">
        <v>690</v>
      </c>
      <c r="E20" s="373" t="e">
        <f>INDEX('PY1 Data(H)'!$A$1:$CZ$265,MATCH('Unit Data from Audit Worksheet'!$A20,'PY1 Data(H)'!$A$1:$A$258,0),MATCH('Unit Data from Audit Worksheet'!$D$2,'PY1 Data(H)'!$A$1:$CZ$1,0))</f>
        <v>#N/A</v>
      </c>
      <c r="F20" s="810">
        <v>0</v>
      </c>
      <c r="G20" s="403">
        <f>IF(F20&gt;F14,"Please review account numbers 632 &gt; 626",)</f>
        <v>0</v>
      </c>
      <c r="H20" s="408"/>
      <c r="I20" s="408"/>
      <c r="J20" s="775"/>
      <c r="K20"/>
      <c r="L20" s="550"/>
    </row>
    <row r="21" spans="1:12" ht="55.5" customHeight="1" x14ac:dyDescent="0.3">
      <c r="A21" s="565">
        <v>338</v>
      </c>
      <c r="B21" s="4" t="s">
        <v>55</v>
      </c>
      <c r="C21" s="375" t="s">
        <v>121</v>
      </c>
      <c r="D21" s="99" t="s">
        <v>123</v>
      </c>
      <c r="E21" s="373" t="e">
        <f>INDEX('PY1 Data(H)'!$A$1:$CZ$265,MATCH('Unit Data from Audit Worksheet'!$A21,'PY1 Data(H)'!$A$1:$A$258,0),MATCH('Unit Data from Audit Worksheet'!$D$2,'PY1 Data(H)'!$A$1:$CZ$1,0))-INDEX('PY1 Data(H)'!$A$1:$CZ$258,MATCH('Unit Data from Audit Worksheet'!$A13,'PY1 Data(H)'!$A$1:$A$258,0),MATCH('Unit Data from Audit Worksheet'!$D$2,'PY1 Data(H)'!$A$1:$CZ$1,0))</f>
        <v>#N/A</v>
      </c>
      <c r="F21" s="810">
        <v>0</v>
      </c>
      <c r="G21" s="403" t="str">
        <f>IF(F14&gt;F21,"Error: Please review accts 626 &gt; 338","")</f>
        <v/>
      </c>
      <c r="H21" s="404"/>
      <c r="I21" s="404"/>
      <c r="J21" s="404"/>
      <c r="K21"/>
      <c r="L21" s="550"/>
    </row>
    <row r="22" spans="1:12" ht="89.25" customHeight="1" x14ac:dyDescent="0.3">
      <c r="A22" s="100">
        <v>335</v>
      </c>
      <c r="B22" s="4" t="s">
        <v>55</v>
      </c>
      <c r="C22" s="375" t="s">
        <v>121</v>
      </c>
      <c r="D22" s="385" t="s">
        <v>691</v>
      </c>
      <c r="E22" s="373" t="e">
        <f>INDEX('PY1 Data(H)'!$A$1:$CZ$265,MATCH('Unit Data from Audit Worksheet'!$A22,'PY1 Data(H)'!$A$1:$A$258,0),MATCH('Unit Data from Audit Worksheet'!$D$2,'PY1 Data(H)'!$A$1:$CZ$1,0))</f>
        <v>#N/A</v>
      </c>
      <c r="F22" s="810">
        <v>0</v>
      </c>
      <c r="G22" s="403">
        <f>IF(F22&lt;0,"Error: Enter as positive.",)</f>
        <v>0</v>
      </c>
      <c r="H22" s="404"/>
      <c r="I22" s="244"/>
      <c r="J22" s="244"/>
      <c r="K22"/>
      <c r="L22" s="550"/>
    </row>
    <row r="23" spans="1:12" ht="48.75" customHeight="1" x14ac:dyDescent="0.3">
      <c r="A23" s="100">
        <v>252</v>
      </c>
      <c r="B23" s="4" t="s">
        <v>55</v>
      </c>
      <c r="C23" s="375" t="s">
        <v>121</v>
      </c>
      <c r="D23" s="99" t="s">
        <v>124</v>
      </c>
      <c r="E23" s="373" t="e">
        <f>INDEX('PY1 Data(H)'!$A$1:$CZ$265,MATCH('Unit Data from Audit Worksheet'!$A23,'PY1 Data(H)'!$A$1:$A$258,0),MATCH('Unit Data from Audit Worksheet'!$D$2,'PY1 Data(H)'!$A$1:$CZ$1,0))</f>
        <v>#N/A</v>
      </c>
      <c r="F23" s="810">
        <v>0</v>
      </c>
      <c r="G23" s="737"/>
      <c r="H23" s="404"/>
      <c r="I23" s="72"/>
      <c r="J23" s="72"/>
      <c r="K23"/>
      <c r="L23" s="550"/>
    </row>
    <row r="24" spans="1:12" ht="43.2" x14ac:dyDescent="0.3">
      <c r="A24" s="100">
        <v>253</v>
      </c>
      <c r="B24" s="4" t="s">
        <v>55</v>
      </c>
      <c r="C24" s="375" t="s">
        <v>121</v>
      </c>
      <c r="D24" s="99" t="s">
        <v>125</v>
      </c>
      <c r="E24" s="373" t="e">
        <f>INDEX('PY1 Data(H)'!$A$1:$CZ$265,MATCH('Unit Data from Audit Worksheet'!$A24,'PY1 Data(H)'!$A$1:$A$258,0),MATCH('Unit Data from Audit Worksheet'!$D$2,'PY1 Data(H)'!$A$1:$CZ$1,0))</f>
        <v>#N/A</v>
      </c>
      <c r="F24" s="810">
        <v>0</v>
      </c>
      <c r="G24" s="403"/>
      <c r="H24" s="404"/>
      <c r="I24" s="72"/>
      <c r="J24" s="72"/>
      <c r="K24"/>
      <c r="L24" s="550"/>
    </row>
    <row r="25" spans="1:12" ht="138" customHeight="1" x14ac:dyDescent="0.3">
      <c r="A25" s="100">
        <v>254</v>
      </c>
      <c r="B25" s="4" t="s">
        <v>55</v>
      </c>
      <c r="C25" s="375" t="s">
        <v>121</v>
      </c>
      <c r="D25" s="99" t="s">
        <v>692</v>
      </c>
      <c r="E25" s="373" t="e">
        <f>INDEX('PY1 Data(H)'!$A$1:$CZ$265,MATCH('Unit Data from Audit Worksheet'!$A25,'PY1 Data(H)'!$A$1:$A$258,0),MATCH('Unit Data from Audit Worksheet'!$D$2,'PY1 Data(H)'!$A$1:$CZ$1,0))</f>
        <v>#N/A</v>
      </c>
      <c r="F25" s="810">
        <v>0</v>
      </c>
      <c r="G25" s="403">
        <f>IF(H25=0,,"Error: Total assets and deferred outflows less total liabilities and deferred inflows do not equal total net position. Account numbers  385-338-252-253-254 = 0.  The amount the formula is off is located in the cell to the right")</f>
        <v>0</v>
      </c>
      <c r="H25" s="406">
        <f>F11-F21-F23-F24-F25</f>
        <v>0</v>
      </c>
      <c r="I25" s="72"/>
      <c r="J25" s="72"/>
      <c r="K25"/>
      <c r="L25" s="550"/>
    </row>
    <row r="26" spans="1:12" ht="21.75" customHeight="1" x14ac:dyDescent="0.3">
      <c r="A26" s="100"/>
      <c r="B26" s="492" t="s">
        <v>126</v>
      </c>
      <c r="C26" s="502"/>
      <c r="D26" s="475"/>
      <c r="E26" s="486"/>
      <c r="F26" s="486"/>
      <c r="G26" s="487"/>
      <c r="H26" s="17"/>
      <c r="I26" s="72"/>
      <c r="J26" s="72"/>
      <c r="K26"/>
      <c r="L26" s="550"/>
    </row>
    <row r="27" spans="1:12" ht="59.25" customHeight="1" x14ac:dyDescent="0.3">
      <c r="A27" s="100">
        <v>502</v>
      </c>
      <c r="B27" s="4" t="s">
        <v>54</v>
      </c>
      <c r="C27" s="375" t="s">
        <v>128</v>
      </c>
      <c r="D27" s="385" t="s">
        <v>693</v>
      </c>
      <c r="E27" s="373" t="e">
        <f>INDEX('PY1 Data(H)'!$A$1:$CZ$265,MATCH('Unit Data from Audit Worksheet'!$A27,'PY1 Data(H)'!$A$1:$A$258,0),MATCH('Unit Data from Audit Worksheet'!$D$2,'PY1 Data(H)'!$A$1:$CZ$1,0))</f>
        <v>#N/A</v>
      </c>
      <c r="F27" s="810">
        <v>0</v>
      </c>
      <c r="G27" s="403">
        <f>IF(F27&lt;0,"Note: Number is normally positive.",)</f>
        <v>0</v>
      </c>
      <c r="H27" s="17"/>
      <c r="I27" s="72"/>
      <c r="J27" s="72"/>
      <c r="K27"/>
      <c r="L27" s="550"/>
    </row>
    <row r="28" spans="1:12" ht="59.25" customHeight="1" x14ac:dyDescent="0.3">
      <c r="A28" s="100">
        <v>503</v>
      </c>
      <c r="B28" s="4" t="s">
        <v>54</v>
      </c>
      <c r="C28" s="375" t="s">
        <v>128</v>
      </c>
      <c r="D28" s="99" t="s">
        <v>127</v>
      </c>
      <c r="E28" s="373" t="e">
        <f>INDEX('PY1 Data(H)'!$A$1:$CZ$265,MATCH('Unit Data from Audit Worksheet'!$A28,'PY1 Data(H)'!$A$1:$A$258,0),MATCH('Unit Data from Audit Worksheet'!$D$2,'PY1 Data(H)'!$A$1:$CZ$1,0))</f>
        <v>#N/A</v>
      </c>
      <c r="F28" s="810">
        <v>0</v>
      </c>
      <c r="G28" s="403">
        <f>IF(F28&lt;0,"Note: Number is normally positive.",)</f>
        <v>0</v>
      </c>
      <c r="H28" s="17"/>
      <c r="I28" s="72"/>
      <c r="J28" s="72"/>
      <c r="K28"/>
      <c r="L28" s="550"/>
    </row>
    <row r="29" spans="1:12" ht="27" customHeight="1" x14ac:dyDescent="0.3">
      <c r="A29" s="100"/>
      <c r="B29" s="492" t="s">
        <v>129</v>
      </c>
      <c r="C29" s="502"/>
      <c r="D29" s="475"/>
      <c r="E29" s="476"/>
      <c r="F29" s="476"/>
      <c r="G29" s="477"/>
      <c r="H29" s="17"/>
      <c r="I29" s="72"/>
      <c r="J29" s="72"/>
      <c r="K29"/>
      <c r="L29" s="550"/>
    </row>
    <row r="30" spans="1:12" ht="49.5" customHeight="1" x14ac:dyDescent="0.3">
      <c r="A30" s="100">
        <v>344</v>
      </c>
      <c r="B30" s="4" t="s">
        <v>55</v>
      </c>
      <c r="C30" s="4" t="s">
        <v>136</v>
      </c>
      <c r="D30" s="99" t="s">
        <v>130</v>
      </c>
      <c r="E30" s="373" t="e">
        <f>INDEX('PY1 Data(H)'!$A$1:$CZ$265,MATCH('Unit Data from Audit Worksheet'!$A30,'PY1 Data(H)'!$A$1:$A$258,0),MATCH('Unit Data from Audit Worksheet'!$D$2,'PY1 Data(H)'!$A$1:$CZ$1,0))</f>
        <v>#N/A</v>
      </c>
      <c r="F30" s="810">
        <v>0</v>
      </c>
      <c r="G30" s="403">
        <f t="shared" ref="G30:G37" si="0">IF(F30&lt;0,"Error: Enter as positive.",)</f>
        <v>0</v>
      </c>
      <c r="H30" s="17"/>
      <c r="I30" s="72"/>
      <c r="J30" s="72"/>
      <c r="K30"/>
      <c r="L30" s="550"/>
    </row>
    <row r="31" spans="1:12" ht="49.5" customHeight="1" x14ac:dyDescent="0.3">
      <c r="A31" s="100">
        <v>388</v>
      </c>
      <c r="B31" s="4" t="s">
        <v>59</v>
      </c>
      <c r="C31" s="4" t="s">
        <v>136</v>
      </c>
      <c r="D31" s="99" t="s">
        <v>131</v>
      </c>
      <c r="E31" s="373" t="e">
        <f>INDEX('PY1 Data(H)'!$A$1:$CZ$265,MATCH('Unit Data from Audit Worksheet'!$A31,'PY1 Data(H)'!$A$1:$A$258,0),MATCH('Unit Data from Audit Worksheet'!$D$2,'PY1 Data(H)'!$A$1:$CZ$1,0))</f>
        <v>#N/A</v>
      </c>
      <c r="F31" s="810">
        <v>0</v>
      </c>
      <c r="G31" s="403">
        <f t="shared" si="0"/>
        <v>0</v>
      </c>
      <c r="H31" s="17"/>
      <c r="I31" s="72"/>
      <c r="J31" s="72"/>
      <c r="K31"/>
      <c r="L31" s="550"/>
    </row>
    <row r="32" spans="1:12" ht="51.75" customHeight="1" x14ac:dyDescent="0.3">
      <c r="A32" s="100">
        <v>339</v>
      </c>
      <c r="B32" s="4" t="s">
        <v>55</v>
      </c>
      <c r="C32" s="4" t="s">
        <v>136</v>
      </c>
      <c r="D32" s="99" t="s">
        <v>132</v>
      </c>
      <c r="E32" s="373" t="e">
        <f>INDEX('PY1 Data(H)'!$A$1:$CZ$265,MATCH('Unit Data from Audit Worksheet'!$A32,'PY1 Data(H)'!$A$1:$A$258,0),MATCH('Unit Data from Audit Worksheet'!$D$2,'PY1 Data(H)'!$A$1:$CZ$1,0))</f>
        <v>#N/A</v>
      </c>
      <c r="F32" s="810">
        <v>0</v>
      </c>
      <c r="G32" s="403">
        <f t="shared" si="0"/>
        <v>0</v>
      </c>
      <c r="H32" s="17"/>
      <c r="I32" s="72"/>
      <c r="J32" s="72"/>
      <c r="K32"/>
      <c r="L32" s="550"/>
    </row>
    <row r="33" spans="1:123" ht="50.25" customHeight="1" x14ac:dyDescent="0.3">
      <c r="A33" s="100">
        <v>504</v>
      </c>
      <c r="B33" s="4" t="s">
        <v>55</v>
      </c>
      <c r="C33" s="4" t="s">
        <v>136</v>
      </c>
      <c r="D33" s="99" t="s">
        <v>133</v>
      </c>
      <c r="E33" s="373" t="e">
        <f>INDEX('PY1 Data(H)'!$A$1:$CZ$265,MATCH('Unit Data from Audit Worksheet'!$A33,'PY1 Data(H)'!$A$1:$A$258,0),MATCH('Unit Data from Audit Worksheet'!$D$2,'PY1 Data(H)'!$A$1:$CZ$1,0))</f>
        <v>#N/A</v>
      </c>
      <c r="F33" s="810">
        <v>0</v>
      </c>
      <c r="G33" s="403">
        <f t="shared" si="0"/>
        <v>0</v>
      </c>
      <c r="H33" s="17"/>
      <c r="I33" s="72"/>
      <c r="J33" s="72"/>
      <c r="K33"/>
      <c r="L33" s="550"/>
    </row>
    <row r="34" spans="1:123" ht="60" customHeight="1" x14ac:dyDescent="0.3">
      <c r="A34" s="100">
        <v>505</v>
      </c>
      <c r="B34" s="4" t="s">
        <v>55</v>
      </c>
      <c r="C34" s="4" t="s">
        <v>136</v>
      </c>
      <c r="D34" s="379" t="s">
        <v>134</v>
      </c>
      <c r="E34" s="373" t="e">
        <f>INDEX('PY1 Data(H)'!$A$1:$CZ$265,MATCH('Unit Data from Audit Worksheet'!$A34,'PY1 Data(H)'!$A$1:$A$258,0),MATCH('Unit Data from Audit Worksheet'!$D$2,'PY1 Data(H)'!$A$1:$CZ$1,0))</f>
        <v>#N/A</v>
      </c>
      <c r="F34" s="810">
        <v>0</v>
      </c>
      <c r="G34" s="403">
        <f t="shared" si="0"/>
        <v>0</v>
      </c>
      <c r="H34" s="17"/>
      <c r="I34" s="72"/>
      <c r="J34" s="72"/>
      <c r="K34"/>
      <c r="L34" s="550"/>
    </row>
    <row r="35" spans="1:123" ht="67.95" customHeight="1" x14ac:dyDescent="0.3">
      <c r="A35" s="100">
        <v>341</v>
      </c>
      <c r="B35" s="4" t="s">
        <v>55</v>
      </c>
      <c r="C35" s="4" t="s">
        <v>136</v>
      </c>
      <c r="D35" s="385" t="s">
        <v>694</v>
      </c>
      <c r="E35" s="373" t="e">
        <f>INDEX('PY1 Data(H)'!$A$1:$CZ$265,MATCH('Unit Data from Audit Worksheet'!$A35,'PY1 Data(H)'!$A$1:$A$258,0),MATCH('Unit Data from Audit Worksheet'!$D$2,'PY1 Data(H)'!$A$1:$CZ$1,0))</f>
        <v>#N/A</v>
      </c>
      <c r="F35" s="810">
        <v>0</v>
      </c>
      <c r="G35" s="403">
        <f t="shared" si="0"/>
        <v>0</v>
      </c>
      <c r="H35" s="17"/>
      <c r="I35" s="72"/>
      <c r="J35" s="72"/>
      <c r="K35"/>
      <c r="L35" s="550"/>
    </row>
    <row r="36" spans="1:123" ht="44.25" customHeight="1" x14ac:dyDescent="0.3">
      <c r="A36" s="100">
        <v>386</v>
      </c>
      <c r="B36" s="4" t="s">
        <v>55</v>
      </c>
      <c r="C36" s="4" t="s">
        <v>136</v>
      </c>
      <c r="D36" s="99" t="s">
        <v>695</v>
      </c>
      <c r="E36" s="373" t="e">
        <f>INDEX('PY1 Data(H)'!$A$1:$CZ$265,MATCH('Unit Data from Audit Worksheet'!$A36,'PY1 Data(H)'!$A$1:$A$258,0),MATCH('Unit Data from Audit Worksheet'!$D$2,'PY1 Data(H)'!$A$1:$CZ$1,0))</f>
        <v>#N/A</v>
      </c>
      <c r="F36" s="810">
        <v>0</v>
      </c>
      <c r="G36" s="403">
        <f t="shared" si="0"/>
        <v>0</v>
      </c>
      <c r="H36" s="17"/>
      <c r="I36" s="72"/>
      <c r="J36" s="72"/>
      <c r="K36"/>
      <c r="L36" s="550"/>
    </row>
    <row r="37" spans="1:123" ht="48.75" customHeight="1" x14ac:dyDescent="0.3">
      <c r="A37" s="100">
        <v>387</v>
      </c>
      <c r="B37" s="4" t="s">
        <v>59</v>
      </c>
      <c r="C37" s="4" t="s">
        <v>136</v>
      </c>
      <c r="D37" s="99" t="s">
        <v>696</v>
      </c>
      <c r="E37" s="373" t="e">
        <f>INDEX('PY1 Data(H)'!$A$1:$CZ$265,MATCH('Unit Data from Audit Worksheet'!$A37,'PY1 Data(H)'!$A$1:$A$258,0),MATCH('Unit Data from Audit Worksheet'!$D$2,'PY1 Data(H)'!$A$1:$CZ$1,0))</f>
        <v>#N/A</v>
      </c>
      <c r="F37" s="810">
        <v>0</v>
      </c>
      <c r="G37" s="403">
        <f t="shared" si="0"/>
        <v>0</v>
      </c>
      <c r="H37" s="17"/>
      <c r="I37" s="72"/>
      <c r="J37" s="72"/>
      <c r="K37"/>
      <c r="L37" s="550"/>
    </row>
    <row r="38" spans="1:123" ht="92.25" customHeight="1" x14ac:dyDescent="0.3">
      <c r="A38" s="100">
        <v>389</v>
      </c>
      <c r="B38" s="4" t="s">
        <v>59</v>
      </c>
      <c r="C38" s="4" t="s">
        <v>136</v>
      </c>
      <c r="D38" s="385" t="s">
        <v>697</v>
      </c>
      <c r="E38" s="373" t="e">
        <f>INDEX('PY1 Data(H)'!$A$1:$CZ$265,MATCH('Unit Data from Audit Worksheet'!$A38,'PY1 Data(H)'!$A$1:$A$258,0),MATCH('Unit Data from Audit Worksheet'!$D$2,'PY1 Data(H)'!$A$1:$CZ$1,0))</f>
        <v>#N/A</v>
      </c>
      <c r="F38" s="810">
        <v>0</v>
      </c>
      <c r="G38" s="403"/>
      <c r="H38" s="17"/>
      <c r="I38" s="72"/>
      <c r="J38" s="72"/>
      <c r="K38"/>
      <c r="L38" s="550"/>
    </row>
    <row r="39" spans="1:123" ht="138" customHeight="1" x14ac:dyDescent="0.3">
      <c r="A39" s="100">
        <v>255</v>
      </c>
      <c r="B39" s="4" t="s">
        <v>55</v>
      </c>
      <c r="C39" s="4" t="s">
        <v>136</v>
      </c>
      <c r="D39" s="385" t="s">
        <v>698</v>
      </c>
      <c r="E39" s="373" t="e">
        <f>INDEX('PY1 Data(H)'!$A$1:$CZ$265,MATCH('Unit Data from Audit Worksheet'!$A39,'PY1 Data(H)'!$A$1:$A$258,0),MATCH('Unit Data from Audit Worksheet'!$D$2,'PY1 Data(H)'!$A$1:$CZ$1,0))</f>
        <v>#N/A</v>
      </c>
      <c r="F39" s="810">
        <v>0</v>
      </c>
      <c r="G39" s="403">
        <f>IF(H39=0,,"Error: Total revenues less total expenses do not equal total change in net position. Account numbers 339+504+505+341+386-387+389-388-255 = 0  The amount the formula is off is located in the cell to the right")</f>
        <v>0</v>
      </c>
      <c r="H39" s="406">
        <f>F32+F33+F34+F35+F36-F37+F38-F31-F39</f>
        <v>0</v>
      </c>
      <c r="I39" s="72"/>
      <c r="J39" s="72"/>
      <c r="K39"/>
      <c r="L39" s="550"/>
    </row>
    <row r="40" spans="1:123" ht="138" customHeight="1" x14ac:dyDescent="0.3">
      <c r="A40" s="100">
        <v>376</v>
      </c>
      <c r="B40" s="4" t="s">
        <v>55</v>
      </c>
      <c r="C40" s="4" t="s">
        <v>136</v>
      </c>
      <c r="D40" s="385" t="s">
        <v>699</v>
      </c>
      <c r="E40" s="373" t="e">
        <f>INDEX('PY1 Data(H)'!$A$1:$CZ$265,MATCH('Unit Data from Audit Worksheet'!$A40,'PY1 Data(H)'!$A$1:$A$258,0),MATCH('Unit Data from Audit Worksheet'!$D$2,'PY1 Data(H)'!$A$1:$CZ$1,0))</f>
        <v>#N/A</v>
      </c>
      <c r="F40" s="810">
        <v>0</v>
      </c>
      <c r="G40" s="766" t="e">
        <f>IF(H40=0,,"Error: Beginning Balance does not agree with our records.  Account numbers  252+253+254-255-376-(Prior Year 252+253+254)=0  The amount the formula is off is located in the cell to the right")</f>
        <v>#N/A</v>
      </c>
      <c r="H40" s="767" t="e">
        <f>F23+F24+F25-F39-F40-(E23+E24+E25)</f>
        <v>#N/A</v>
      </c>
      <c r="I40" s="1050" t="e">
        <f>IF(H40=0," ","If the out of balance is because prior years data is not populated in cells E23,E24,E25, disregard the error message.  Do not include prior year's ending balances in cell F40")</f>
        <v>#N/A</v>
      </c>
      <c r="J40" s="777"/>
      <c r="K40" s="527"/>
      <c r="L40" s="550"/>
    </row>
    <row r="41" spans="1:123" s="18" customFormat="1" ht="141.75" customHeight="1" x14ac:dyDescent="0.3">
      <c r="A41" s="100">
        <v>597</v>
      </c>
      <c r="B41" s="375" t="s">
        <v>326</v>
      </c>
      <c r="C41" s="375" t="s">
        <v>336</v>
      </c>
      <c r="D41" s="459" t="s">
        <v>700</v>
      </c>
      <c r="E41" s="373" t="e">
        <f>INDEX('PY1 Data(H)'!$A$1:$CZ$265,MATCH('Unit Data from Audit Worksheet'!$A41,'PY1 Data(H)'!$A$1:$A$258,0),MATCH('Unit Data from Audit Worksheet'!$D$2,'PY1 Data(H)'!$A$1:$CZ$1,0))</f>
        <v>#N/A</v>
      </c>
      <c r="F41" s="810">
        <v>0</v>
      </c>
      <c r="G41" s="403">
        <f>IF(F41&lt;0,"Note: Number is normally positive.",)</f>
        <v>0</v>
      </c>
      <c r="H41" s="404"/>
      <c r="I41" s="405"/>
      <c r="J41" s="405"/>
      <c r="K41"/>
      <c r="L41" s="550"/>
      <c r="M41"/>
      <c r="O41" s="187"/>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row>
    <row r="42" spans="1:123" ht="25.5" customHeight="1" x14ac:dyDescent="0.3">
      <c r="A42" s="100"/>
      <c r="B42" s="492" t="s">
        <v>325</v>
      </c>
      <c r="C42" s="502"/>
      <c r="D42" s="475"/>
      <c r="E42" s="476"/>
      <c r="F42" s="476"/>
      <c r="G42" s="477"/>
      <c r="H42" s="17"/>
      <c r="I42" s="72"/>
      <c r="J42" s="72"/>
      <c r="K42"/>
      <c r="L42" s="550"/>
    </row>
    <row r="43" spans="1:123" s="18" customFormat="1" ht="86.25" customHeight="1" x14ac:dyDescent="0.3">
      <c r="A43" s="100">
        <v>592</v>
      </c>
      <c r="B43" s="375" t="s">
        <v>58</v>
      </c>
      <c r="C43" s="375" t="s">
        <v>327</v>
      </c>
      <c r="D43" s="385" t="s">
        <v>701</v>
      </c>
      <c r="E43" s="373" t="e">
        <f>INDEX('PY1 Data(H)'!$A$1:$CZ$265,MATCH('Unit Data from Audit Worksheet'!$A43,'PY1 Data(H)'!$A$1:$A$258,0),MATCH('Unit Data from Audit Worksheet'!$D$2,'PY1 Data(H)'!$A$1:$CZ$1,0))</f>
        <v>#N/A</v>
      </c>
      <c r="F43" s="810">
        <v>0</v>
      </c>
      <c r="G43" s="403"/>
      <c r="H43" s="404"/>
      <c r="I43" s="405"/>
      <c r="K43"/>
      <c r="L43" s="550"/>
      <c r="M43"/>
      <c r="O43" s="187"/>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row>
    <row r="44" spans="1:123" s="18" customFormat="1" ht="71.25" customHeight="1" x14ac:dyDescent="0.3">
      <c r="A44" s="100">
        <v>591</v>
      </c>
      <c r="B44" s="375" t="s">
        <v>58</v>
      </c>
      <c r="C44" s="375" t="s">
        <v>327</v>
      </c>
      <c r="D44" s="99" t="s">
        <v>328</v>
      </c>
      <c r="E44" s="373" t="e">
        <f>INDEX('PY1 Data(H)'!$A$1:$CZ$265,MATCH('Unit Data from Audit Worksheet'!$A44,'PY1 Data(H)'!$A$1:$A$258,0),MATCH('Unit Data from Audit Worksheet'!$D$2,'PY1 Data(H)'!$A$1:$CZ$1,0))</f>
        <v>#N/A</v>
      </c>
      <c r="F44" s="810">
        <v>0</v>
      </c>
      <c r="G44" s="403">
        <f>IF(F44&lt;0,"Error: Enter as positive.",)</f>
        <v>0</v>
      </c>
      <c r="H44" s="404"/>
      <c r="I44" s="405"/>
      <c r="K44"/>
      <c r="L44" s="550"/>
      <c r="M44"/>
      <c r="O44" s="187"/>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row>
    <row r="45" spans="1:123" ht="27" customHeight="1" x14ac:dyDescent="0.3">
      <c r="A45" s="100"/>
      <c r="B45" s="492" t="s">
        <v>137</v>
      </c>
      <c r="C45" s="502"/>
      <c r="D45" s="478"/>
      <c r="E45" s="479"/>
      <c r="F45" s="479"/>
      <c r="G45" s="480"/>
      <c r="H45" s="17"/>
      <c r="I45" s="72"/>
      <c r="J45" s="72"/>
      <c r="K45"/>
      <c r="L45" s="550"/>
    </row>
    <row r="46" spans="1:123" s="18" customFormat="1" ht="55.5" customHeight="1" x14ac:dyDescent="0.3">
      <c r="A46" s="100">
        <v>506</v>
      </c>
      <c r="B46" s="958" t="s">
        <v>1944</v>
      </c>
      <c r="C46" s="460" t="s">
        <v>141</v>
      </c>
      <c r="D46" s="99" t="s">
        <v>702</v>
      </c>
      <c r="E46" s="373" t="e">
        <f>INDEX('PY1 Data(H)'!$A$1:$CZ$265,MATCH('Unit Data from Audit Worksheet'!$A46,'PY1 Data(H)'!$A$1:$A$258,0),MATCH('Unit Data from Audit Worksheet'!$D$2,'PY1 Data(H)'!$A$1:$CZ$1,0))</f>
        <v>#N/A</v>
      </c>
      <c r="F46" s="810">
        <v>0</v>
      </c>
      <c r="G46" s="403">
        <f>IF(F46&lt;0,"Note: Number is normally positive.",)</f>
        <v>0</v>
      </c>
      <c r="H46" s="404"/>
      <c r="I46" s="72"/>
      <c r="J46" s="72"/>
      <c r="K46"/>
      <c r="L46" s="550"/>
      <c r="M46"/>
      <c r="O46" s="187"/>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row>
    <row r="47" spans="1:123" s="18" customFormat="1" ht="63.6" customHeight="1" x14ac:dyDescent="0.3">
      <c r="A47" s="100">
        <v>536</v>
      </c>
      <c r="B47" s="958" t="s">
        <v>1944</v>
      </c>
      <c r="C47" s="460" t="s">
        <v>141</v>
      </c>
      <c r="D47" s="99" t="s">
        <v>138</v>
      </c>
      <c r="E47" s="373" t="e">
        <f>INDEX('PY1 Data(H)'!$A$1:$CZ$265,MATCH('Unit Data from Audit Worksheet'!$A47,'PY1 Data(H)'!$A$1:$A$258,0),MATCH('Unit Data from Audit Worksheet'!$D$2,'PY1 Data(H)'!$A$1:$CZ$1,0))</f>
        <v>#N/A</v>
      </c>
      <c r="F47" s="810">
        <v>0</v>
      </c>
      <c r="G47" s="403">
        <f>IF(F47&lt;0,"Note: Number is normally positive.",)</f>
        <v>0</v>
      </c>
      <c r="H47" s="404"/>
      <c r="I47" s="405"/>
      <c r="J47" s="405"/>
      <c r="K47"/>
      <c r="L47" s="550"/>
      <c r="M47"/>
      <c r="O47" s="18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row>
    <row r="48" spans="1:123" s="18" customFormat="1" ht="51.75" customHeight="1" x14ac:dyDescent="0.3">
      <c r="A48" s="100">
        <v>586</v>
      </c>
      <c r="B48" s="460" t="s">
        <v>58</v>
      </c>
      <c r="C48" s="460" t="s">
        <v>141</v>
      </c>
      <c r="D48" s="378" t="s">
        <v>314</v>
      </c>
      <c r="E48" s="373" t="e">
        <f>INDEX('PY1 Data(H)'!$A$1:$CZ$265,MATCH('Unit Data from Audit Worksheet'!$A48,'PY1 Data(H)'!$A$1:$A$258,0),MATCH('Unit Data from Audit Worksheet'!$D$2,'PY1 Data(H)'!$A$1:$CZ$1,0))</f>
        <v>#N/A</v>
      </c>
      <c r="F48" s="810">
        <v>0</v>
      </c>
      <c r="G48" s="403">
        <f>IF(F48&lt;0,"Note: Number is normally positive.",)</f>
        <v>0</v>
      </c>
      <c r="H48" s="404"/>
      <c r="I48" s="405"/>
      <c r="J48" s="405"/>
      <c r="K48"/>
      <c r="L48" s="550"/>
      <c r="M48"/>
      <c r="O48" s="187"/>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row>
    <row r="49" spans="1:123" ht="37.5" customHeight="1" x14ac:dyDescent="0.3">
      <c r="A49" s="100">
        <v>379</v>
      </c>
      <c r="B49" s="460" t="s">
        <v>59</v>
      </c>
      <c r="C49" s="460" t="s">
        <v>141</v>
      </c>
      <c r="D49" s="99" t="s">
        <v>122</v>
      </c>
      <c r="E49" s="373" t="e">
        <f>INDEX('PY1 Data(H)'!$A$1:$CZ$265,MATCH('Unit Data from Audit Worksheet'!$A49,'PY1 Data(H)'!$A$1:$A$258,0),MATCH('Unit Data from Audit Worksheet'!$D$2,'PY1 Data(H)'!$A$1:$CZ$1,0))</f>
        <v>#N/A</v>
      </c>
      <c r="F49" s="810">
        <v>0</v>
      </c>
      <c r="G49" s="403">
        <f>IF((F46+F47)&gt;F49,"Error: Please review account numbers (506+536)&gt;379",)</f>
        <v>0</v>
      </c>
      <c r="H49" s="404"/>
      <c r="I49" s="72"/>
      <c r="J49" s="72"/>
      <c r="K49"/>
      <c r="L49" s="550"/>
    </row>
    <row r="50" spans="1:123" ht="93" customHeight="1" x14ac:dyDescent="0.3">
      <c r="A50" s="100">
        <v>368</v>
      </c>
      <c r="B50" s="460" t="s">
        <v>1519</v>
      </c>
      <c r="C50" s="460" t="s">
        <v>141</v>
      </c>
      <c r="D50" s="385" t="s">
        <v>703</v>
      </c>
      <c r="E50" s="373" t="e">
        <f>INDEX('PY1 Data(H)'!$A$1:$CZ$265,MATCH('Unit Data from Audit Worksheet'!$A50,'PY1 Data(H)'!$A$1:$A$258,0),MATCH('Unit Data from Audit Worksheet'!$D$2,'PY1 Data(H)'!$A$1:$CZ$1,0))</f>
        <v>#N/A</v>
      </c>
      <c r="F50" s="810">
        <v>0</v>
      </c>
      <c r="G50" s="403">
        <f t="shared" ref="G50:G56" si="1">IF(F50&lt;0,"Error: Enter as positive.",)</f>
        <v>0</v>
      </c>
      <c r="H50" s="404"/>
      <c r="I50" s="404"/>
      <c r="J50" s="404"/>
      <c r="K50"/>
      <c r="L50" s="550"/>
    </row>
    <row r="51" spans="1:123" ht="87" customHeight="1" x14ac:dyDescent="0.3">
      <c r="A51" s="100">
        <v>4</v>
      </c>
      <c r="B51" s="958" t="s">
        <v>1944</v>
      </c>
      <c r="C51" s="460" t="s">
        <v>141</v>
      </c>
      <c r="D51" s="190" t="s">
        <v>704</v>
      </c>
      <c r="E51" s="373" t="e">
        <f>INDEX('PY1 Data(H)'!$A$1:$CZ$265,MATCH('Unit Data from Audit Worksheet'!$A51,'PY1 Data(H)'!$A$1:$A$258,0),MATCH('Unit Data from Audit Worksheet'!$D$2,'PY1 Data(H)'!$A$1:$CZ$1,0))</f>
        <v>#N/A</v>
      </c>
      <c r="F51" s="810">
        <v>0</v>
      </c>
      <c r="G51" s="403">
        <f t="shared" si="1"/>
        <v>0</v>
      </c>
      <c r="H51" s="404"/>
      <c r="I51" s="72"/>
      <c r="J51" s="72"/>
      <c r="K51"/>
      <c r="L51" s="550"/>
    </row>
    <row r="52" spans="1:123" ht="132" customHeight="1" x14ac:dyDescent="0.3">
      <c r="A52" s="100">
        <v>5</v>
      </c>
      <c r="B52" s="958" t="s">
        <v>1944</v>
      </c>
      <c r="C52" s="460" t="s">
        <v>141</v>
      </c>
      <c r="D52" s="213" t="s">
        <v>705</v>
      </c>
      <c r="E52" s="373" t="e">
        <f>INDEX('PY1 Data(H)'!$A$1:$CZ$265,MATCH('Unit Data from Audit Worksheet'!$A52,'PY1 Data(H)'!$A$1:$A$258,0),MATCH('Unit Data from Audit Worksheet'!$D$2,'PY1 Data(H)'!$A$1:$CZ$1,0))</f>
        <v>#N/A</v>
      </c>
      <c r="F52" s="810">
        <v>0</v>
      </c>
      <c r="G52" s="403">
        <f t="shared" si="1"/>
        <v>0</v>
      </c>
      <c r="H52" s="404"/>
      <c r="I52" s="72"/>
      <c r="J52" s="72"/>
      <c r="K52"/>
      <c r="L52" s="550"/>
    </row>
    <row r="53" spans="1:123" ht="93.75" customHeight="1" x14ac:dyDescent="0.3">
      <c r="A53" s="100">
        <v>380</v>
      </c>
      <c r="B53" s="460" t="s">
        <v>59</v>
      </c>
      <c r="C53" s="460" t="s">
        <v>141</v>
      </c>
      <c r="D53" s="213" t="s">
        <v>706</v>
      </c>
      <c r="E53" s="373" t="e">
        <f>INDEX('PY1 Data(H)'!$A$1:$CZ$265,MATCH('Unit Data from Audit Worksheet'!$A53,'PY1 Data(H)'!$A$1:$A$258,0),MATCH('Unit Data from Audit Worksheet'!$D$2,'PY1 Data(H)'!$A$1:$CZ$1,0))</f>
        <v>#N/A</v>
      </c>
      <c r="F53" s="810">
        <v>0</v>
      </c>
      <c r="G53" s="403">
        <f t="shared" si="1"/>
        <v>0</v>
      </c>
      <c r="H53" s="404"/>
      <c r="I53" s="72"/>
      <c r="J53" s="72"/>
      <c r="K53"/>
      <c r="L53" s="550"/>
    </row>
    <row r="54" spans="1:123" ht="48.75" customHeight="1" x14ac:dyDescent="0.3">
      <c r="A54" s="100">
        <v>391</v>
      </c>
      <c r="B54" s="460" t="s">
        <v>68</v>
      </c>
      <c r="C54" s="460" t="s">
        <v>141</v>
      </c>
      <c r="D54" s="99" t="s">
        <v>139</v>
      </c>
      <c r="E54" s="373" t="e">
        <f>INDEX('PY1 Data(H)'!$A$1:$CZ$265,MATCH('Unit Data from Audit Worksheet'!$A54,'PY1 Data(H)'!$A$1:$A$258,0),MATCH('Unit Data from Audit Worksheet'!$D$2,'PY1 Data(H)'!$A$1:$CZ$1,0))</f>
        <v>#N/A</v>
      </c>
      <c r="F54" s="810">
        <v>0</v>
      </c>
      <c r="G54" s="403">
        <f t="shared" si="1"/>
        <v>0</v>
      </c>
      <c r="H54" s="404"/>
      <c r="I54" s="72"/>
      <c r="J54" s="72"/>
      <c r="K54"/>
      <c r="L54" s="550"/>
    </row>
    <row r="55" spans="1:123" ht="51.75" customHeight="1" x14ac:dyDescent="0.3">
      <c r="A55" s="100">
        <v>7</v>
      </c>
      <c r="B55" s="460" t="s">
        <v>68</v>
      </c>
      <c r="C55" s="460" t="s">
        <v>141</v>
      </c>
      <c r="D55" s="99" t="s">
        <v>140</v>
      </c>
      <c r="E55" s="373" t="e">
        <f>INDEX('PY1 Data(H)'!$A$1:$CZ$265,MATCH('Unit Data from Audit Worksheet'!$A55,'PY1 Data(H)'!$A$1:$A$258,0),MATCH('Unit Data from Audit Worksheet'!$D$2,'PY1 Data(H)'!$A$1:$CZ$1,0))</f>
        <v>#N/A</v>
      </c>
      <c r="F55" s="810">
        <v>0</v>
      </c>
      <c r="G55" s="403">
        <f t="shared" si="1"/>
        <v>0</v>
      </c>
      <c r="H55" s="404"/>
      <c r="I55" s="72"/>
      <c r="J55" s="72"/>
      <c r="K55"/>
      <c r="L55" s="550"/>
    </row>
    <row r="56" spans="1:123" ht="83.4" customHeight="1" x14ac:dyDescent="0.3">
      <c r="A56" s="100">
        <v>11</v>
      </c>
      <c r="B56" s="958" t="s">
        <v>1945</v>
      </c>
      <c r="C56" s="460" t="s">
        <v>141</v>
      </c>
      <c r="D56" s="385" t="s">
        <v>707</v>
      </c>
      <c r="E56" s="373" t="e">
        <f>INDEX('PY1 Data(H)'!$A$1:$CZ$265,MATCH('Unit Data from Audit Worksheet'!$A56,'PY1 Data(H)'!$A$1:$A$258,0),MATCH('Unit Data from Audit Worksheet'!$D$2,'PY1 Data(H)'!$A$1:$CZ$1,0))</f>
        <v>#N/A</v>
      </c>
      <c r="F56" s="810">
        <v>0</v>
      </c>
      <c r="G56" s="403">
        <f t="shared" si="1"/>
        <v>0</v>
      </c>
      <c r="H56" s="404"/>
      <c r="I56" s="72"/>
      <c r="J56" s="72"/>
      <c r="K56"/>
      <c r="L56" s="550"/>
    </row>
    <row r="57" spans="1:123" ht="78.75" customHeight="1" x14ac:dyDescent="0.3">
      <c r="A57" s="191">
        <v>645</v>
      </c>
      <c r="B57" s="463" t="s">
        <v>360</v>
      </c>
      <c r="C57" s="463" t="s">
        <v>141</v>
      </c>
      <c r="D57" s="645" t="s">
        <v>386</v>
      </c>
      <c r="E57" s="373" t="e">
        <f>INDEX('PY1 Data(H)'!$A$1:$CZ$265,MATCH('Unit Data from Audit Worksheet'!$A57,'PY1 Data(H)'!$A$1:$A$258,0),MATCH('Unit Data from Audit Worksheet'!$D$2,'PY1 Data(H)'!$A$1:$CZ$1,0))</f>
        <v>#N/A</v>
      </c>
      <c r="F57" s="810">
        <v>0</v>
      </c>
      <c r="G57" s="403">
        <f>IF(F57&lt;0,"Note: Number is normally positive.",)</f>
        <v>0</v>
      </c>
      <c r="H57" s="404"/>
      <c r="I57" s="405"/>
      <c r="J57" s="405"/>
      <c r="K57"/>
      <c r="L57" s="550"/>
    </row>
    <row r="58" spans="1:123" ht="78.75" customHeight="1" x14ac:dyDescent="0.3">
      <c r="A58" s="191">
        <v>646</v>
      </c>
      <c r="B58" s="463" t="s">
        <v>360</v>
      </c>
      <c r="C58" s="463" t="s">
        <v>141</v>
      </c>
      <c r="D58" s="190" t="s">
        <v>361</v>
      </c>
      <c r="E58" s="373" t="e">
        <f>INDEX('PY1 Data(H)'!$A$1:$CZ$265,MATCH('Unit Data from Audit Worksheet'!$A58,'PY1 Data(H)'!$A$1:$A$258,0),MATCH('Unit Data from Audit Worksheet'!$D$2,'PY1 Data(H)'!$A$1:$CZ$1,0))</f>
        <v>#N/A</v>
      </c>
      <c r="F58" s="810">
        <v>0</v>
      </c>
      <c r="G58" s="403">
        <f>IF(F58&lt;0,"Note: Number is normally positive.",)</f>
        <v>0</v>
      </c>
      <c r="H58" s="404"/>
      <c r="I58" s="405"/>
      <c r="J58" s="405"/>
      <c r="K58"/>
      <c r="L58" s="550"/>
    </row>
    <row r="59" spans="1:123" ht="138" customHeight="1" x14ac:dyDescent="0.3">
      <c r="A59" s="100">
        <v>9</v>
      </c>
      <c r="B59" s="958" t="s">
        <v>1948</v>
      </c>
      <c r="C59" s="460" t="s">
        <v>141</v>
      </c>
      <c r="D59" s="385" t="s">
        <v>708</v>
      </c>
      <c r="E59" s="373" t="e">
        <f>INDEX('PY1 Data(H)'!$A$1:$CZ$265,MATCH('Unit Data from Audit Worksheet'!$A59,'PY1 Data(H)'!$A$1:$A$258,0),MATCH('Unit Data from Audit Worksheet'!$D$2,'PY1 Data(H)'!$A$1:$CZ$1,0))</f>
        <v>#N/A</v>
      </c>
      <c r="F59" s="810">
        <v>0</v>
      </c>
      <c r="G59" s="403">
        <f>IF(F49-F51-F52-F53-F59=0,,"Error: Total assets less total liabilities do not equal total fund balance. Account numbers 379-4-5-380-9= 0  The amount of the formula is in the cell to the right")</f>
        <v>0</v>
      </c>
      <c r="H59" s="406">
        <f>F49-F51-F52-F53-F59</f>
        <v>0</v>
      </c>
      <c r="I59" s="72"/>
      <c r="J59" s="72"/>
      <c r="K59"/>
      <c r="L59" s="550"/>
    </row>
    <row r="60" spans="1:123" s="18" customFormat="1" ht="63.75" customHeight="1" x14ac:dyDescent="0.3">
      <c r="A60" s="100">
        <v>540</v>
      </c>
      <c r="B60" s="375" t="s">
        <v>58</v>
      </c>
      <c r="C60" s="375" t="s">
        <v>709</v>
      </c>
      <c r="D60" s="99" t="s">
        <v>387</v>
      </c>
      <c r="E60" s="373" t="e">
        <f>INDEX('PY1 Data(H)'!$A$1:$CZ$265,MATCH('Unit Data from Audit Worksheet'!$A60,'PY1 Data(H)'!$A$1:$A$258,0),MATCH('Unit Data from Audit Worksheet'!$D$2,'PY1 Data(H)'!$A$1:$CZ$1,0))</f>
        <v>#N/A</v>
      </c>
      <c r="F60" s="810">
        <v>0</v>
      </c>
      <c r="G60" s="403"/>
      <c r="H60" s="404"/>
      <c r="I60" s="405"/>
      <c r="J60" s="405"/>
      <c r="K60"/>
      <c r="L60" s="550"/>
      <c r="M60"/>
      <c r="O60" s="187"/>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row>
    <row r="61" spans="1:123" s="18" customFormat="1" ht="63.75" customHeight="1" x14ac:dyDescent="0.3">
      <c r="A61" s="100">
        <v>1052</v>
      </c>
      <c r="B61" s="375" t="s">
        <v>58</v>
      </c>
      <c r="C61" s="794" t="s">
        <v>144</v>
      </c>
      <c r="D61" s="790" t="s">
        <v>1556</v>
      </c>
      <c r="E61" s="373" t="e">
        <f>INDEX('PY1 Data(H)'!$A$1:$CZ$265,MATCH('Unit Data from Audit Worksheet'!$A61,'PY1 Data(H)'!$A$1:$A$258,0),MATCH('Unit Data from Audit Worksheet'!$D$2,'PY1 Data(H)'!$A$1:$CZ$1,0))</f>
        <v>#N/A</v>
      </c>
      <c r="F61" s="810">
        <v>0</v>
      </c>
      <c r="G61" s="403"/>
      <c r="H61" s="404"/>
      <c r="I61" s="405"/>
      <c r="J61" s="405"/>
      <c r="K61" s="180"/>
      <c r="L61" s="550"/>
      <c r="M61" s="180"/>
      <c r="O61" s="187"/>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V61" s="180"/>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c r="CV61" s="180"/>
      <c r="CW61" s="180"/>
      <c r="CX61" s="180"/>
      <c r="CY61" s="180"/>
      <c r="CZ61" s="180"/>
      <c r="DA61" s="180"/>
      <c r="DB61" s="180"/>
      <c r="DC61" s="180"/>
      <c r="DD61" s="180"/>
      <c r="DE61" s="180"/>
      <c r="DF61" s="180"/>
      <c r="DG61" s="180"/>
      <c r="DH61" s="180"/>
      <c r="DI61" s="180"/>
      <c r="DJ61" s="180"/>
      <c r="DK61" s="180"/>
      <c r="DL61" s="180"/>
      <c r="DM61" s="180"/>
      <c r="DN61" s="180"/>
      <c r="DO61" s="180"/>
      <c r="DP61" s="180"/>
      <c r="DQ61" s="180"/>
      <c r="DR61" s="180"/>
      <c r="DS61" s="180"/>
    </row>
    <row r="62" spans="1:123" ht="30" customHeight="1" x14ac:dyDescent="0.3">
      <c r="A62" s="100"/>
      <c r="B62" s="492" t="s">
        <v>143</v>
      </c>
      <c r="C62" s="502"/>
      <c r="D62" s="475"/>
      <c r="E62" s="476"/>
      <c r="F62" s="476"/>
      <c r="G62" s="477"/>
      <c r="H62" s="17"/>
      <c r="I62" s="72"/>
      <c r="J62" s="72"/>
      <c r="K62"/>
      <c r="L62" s="550"/>
    </row>
    <row r="63" spans="1:123" ht="82.5" customHeight="1" x14ac:dyDescent="0.3">
      <c r="A63" s="100">
        <v>984</v>
      </c>
      <c r="B63" s="957" t="s">
        <v>1958</v>
      </c>
      <c r="C63" s="375" t="s">
        <v>709</v>
      </c>
      <c r="D63" s="385" t="s">
        <v>790</v>
      </c>
      <c r="E63" s="373" t="e">
        <f>INDEX('PY1 Data(H)'!$A$1:$CZ$265,MATCH('Unit Data from Audit Worksheet'!$A63,'PY1 Data(H)'!$A$1:$A$258,0),MATCH('Unit Data from Audit Worksheet'!$D$2,'PY1 Data(H)'!$A$1:$CZ$1,0))</f>
        <v>#N/A</v>
      </c>
      <c r="F63" s="810">
        <v>0</v>
      </c>
      <c r="G63" s="403"/>
      <c r="H63" s="17"/>
      <c r="I63" s="72"/>
      <c r="J63" s="72"/>
      <c r="K63"/>
      <c r="L63" s="550"/>
    </row>
    <row r="64" spans="1:123" ht="69" customHeight="1" x14ac:dyDescent="0.3">
      <c r="A64" s="100">
        <v>985</v>
      </c>
      <c r="B64" s="957" t="s">
        <v>1958</v>
      </c>
      <c r="C64" s="375" t="s">
        <v>709</v>
      </c>
      <c r="D64" s="385" t="s">
        <v>791</v>
      </c>
      <c r="E64" s="373" t="e">
        <f>INDEX('PY1 Data(H)'!$A$1:$CZ$265,MATCH('Unit Data from Audit Worksheet'!$A64,'PY1 Data(H)'!$A$1:$A$258,0),MATCH('Unit Data from Audit Worksheet'!$D$2,'PY1 Data(H)'!$A$1:$CZ$1,0))</f>
        <v>#N/A</v>
      </c>
      <c r="F64" s="810">
        <v>0</v>
      </c>
      <c r="G64" s="403"/>
      <c r="H64" s="17"/>
      <c r="I64" s="72"/>
      <c r="J64" s="72"/>
      <c r="K64"/>
      <c r="L64" s="550"/>
    </row>
    <row r="65" spans="1:123" ht="52.5" customHeight="1" x14ac:dyDescent="0.3">
      <c r="A65" s="100">
        <v>369</v>
      </c>
      <c r="B65" s="4" t="s">
        <v>55</v>
      </c>
      <c r="C65" s="4" t="s">
        <v>144</v>
      </c>
      <c r="D65" s="385" t="s">
        <v>710</v>
      </c>
      <c r="E65" s="373" t="e">
        <f>INDEX('PY1 Data(H)'!$A$1:$CZ$265,MATCH('Unit Data from Audit Worksheet'!$A65,'PY1 Data(H)'!$A$1:$A$258,0),MATCH('Unit Data from Audit Worksheet'!$D$2,'PY1 Data(H)'!$A$1:$CZ$1,0))</f>
        <v>#N/A</v>
      </c>
      <c r="F65" s="810">
        <v>0</v>
      </c>
      <c r="G65" s="403"/>
      <c r="H65" s="17"/>
      <c r="I65" s="72"/>
      <c r="J65" s="72"/>
      <c r="K65"/>
      <c r="L65" s="550"/>
    </row>
    <row r="66" spans="1:123" ht="57.75" customHeight="1" x14ac:dyDescent="0.3">
      <c r="A66" s="100">
        <v>16</v>
      </c>
      <c r="B66" s="4" t="s">
        <v>65</v>
      </c>
      <c r="C66" s="4" t="s">
        <v>144</v>
      </c>
      <c r="D66" s="99" t="s">
        <v>142</v>
      </c>
      <c r="E66" s="373" t="e">
        <f>INDEX('PY1 Data(H)'!$A$1:$CZ$265,MATCH('Unit Data from Audit Worksheet'!$A66,'PY1 Data(H)'!$A$1:$A$258,0),MATCH('Unit Data from Audit Worksheet'!$D$2,'PY1 Data(H)'!$A$1:$CZ$1,0))</f>
        <v>#N/A</v>
      </c>
      <c r="F66" s="810">
        <v>0</v>
      </c>
      <c r="G66" s="403"/>
      <c r="H66" s="17"/>
      <c r="I66" s="72"/>
      <c r="J66" s="72"/>
      <c r="K66"/>
      <c r="L66" s="550"/>
    </row>
    <row r="67" spans="1:123" ht="65.25" customHeight="1" x14ac:dyDescent="0.3">
      <c r="A67" s="100">
        <v>370</v>
      </c>
      <c r="B67" s="4" t="s">
        <v>55</v>
      </c>
      <c r="C67" s="4" t="s">
        <v>144</v>
      </c>
      <c r="D67" s="385" t="s">
        <v>711</v>
      </c>
      <c r="E67" s="373" t="e">
        <f>INDEX('PY1 Data(H)'!$A$1:$CZ$265,MATCH('Unit Data from Audit Worksheet'!$A67,'PY1 Data(H)'!$A$1:$A$258,0),MATCH('Unit Data from Audit Worksheet'!$D$2,'PY1 Data(H)'!$A$1:$CZ$1,0))</f>
        <v>#N/A</v>
      </c>
      <c r="F67" s="810">
        <v>0</v>
      </c>
      <c r="G67" s="403">
        <f>IF(F67&lt;0,"Error: Enter as positive.",)</f>
        <v>0</v>
      </c>
      <c r="H67" s="17"/>
      <c r="I67" s="72"/>
      <c r="J67" s="72"/>
      <c r="K67"/>
      <c r="L67" s="550"/>
    </row>
    <row r="68" spans="1:123" ht="69.75" customHeight="1" x14ac:dyDescent="0.3">
      <c r="A68" s="100">
        <v>532</v>
      </c>
      <c r="B68" s="957" t="s">
        <v>1944</v>
      </c>
      <c r="C68" s="4" t="s">
        <v>144</v>
      </c>
      <c r="D68" s="381" t="s">
        <v>712</v>
      </c>
      <c r="E68" s="373" t="e">
        <f>INDEX('PY1 Data(H)'!$A$1:$CZ$265,MATCH('Unit Data from Audit Worksheet'!$A68,'PY1 Data(H)'!$A$1:$A$258,0),MATCH('Unit Data from Audit Worksheet'!$D$2,'PY1 Data(H)'!$A$1:$CZ$1,0))</f>
        <v>#N/A</v>
      </c>
      <c r="F68" s="810">
        <v>0</v>
      </c>
      <c r="G68" s="403">
        <f>IF(F68&lt;0,"Error: Enter as positive.",)</f>
        <v>0</v>
      </c>
      <c r="H68" s="17"/>
      <c r="I68" s="72"/>
      <c r="J68" s="72"/>
      <c r="K68"/>
      <c r="L68" s="550"/>
    </row>
    <row r="69" spans="1:123" ht="69.75" customHeight="1" x14ac:dyDescent="0.3">
      <c r="A69" s="100">
        <v>1050</v>
      </c>
      <c r="B69" s="960" t="s">
        <v>1947</v>
      </c>
      <c r="C69" s="794" t="s">
        <v>144</v>
      </c>
      <c r="D69" s="795" t="s">
        <v>1507</v>
      </c>
      <c r="E69" s="373" t="e">
        <f>INDEX('PY1 Data(H)'!$A$1:$CZ$265,MATCH('Unit Data from Audit Worksheet'!$A69,'PY1 Data(H)'!$A$1:$A$258,0),MATCH('Unit Data from Audit Worksheet'!$D$2,'PY1 Data(H)'!$A$1:$CZ$1,0))</f>
        <v>#N/A</v>
      </c>
      <c r="F69" s="810">
        <v>0</v>
      </c>
      <c r="G69" s="403">
        <f>IF(F69&lt;0,"Error: Enter as positive.",)</f>
        <v>0</v>
      </c>
      <c r="H69" s="17"/>
      <c r="I69" s="72"/>
      <c r="J69" s="72"/>
      <c r="K69" s="180"/>
      <c r="L69" s="550"/>
      <c r="M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80"/>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c r="CV69" s="180"/>
      <c r="CW69" s="180"/>
      <c r="CX69" s="180"/>
      <c r="CY69" s="180"/>
      <c r="CZ69" s="180"/>
      <c r="DA69" s="180"/>
      <c r="DB69" s="180"/>
      <c r="DC69" s="180"/>
      <c r="DD69" s="180"/>
      <c r="DE69" s="180"/>
      <c r="DF69" s="180"/>
      <c r="DG69" s="180"/>
      <c r="DH69" s="180"/>
      <c r="DI69" s="180"/>
      <c r="DJ69" s="180"/>
      <c r="DK69" s="180"/>
      <c r="DL69" s="180"/>
      <c r="DM69" s="180"/>
      <c r="DN69" s="180"/>
      <c r="DO69" s="180"/>
      <c r="DP69" s="180"/>
      <c r="DQ69" s="180"/>
      <c r="DR69" s="180"/>
      <c r="DS69" s="180"/>
    </row>
    <row r="70" spans="1:123" ht="58.95" customHeight="1" x14ac:dyDescent="0.3">
      <c r="A70" s="100">
        <v>17</v>
      </c>
      <c r="B70" s="4" t="s">
        <v>59</v>
      </c>
      <c r="C70" s="4" t="s">
        <v>144</v>
      </c>
      <c r="D70" s="99" t="s">
        <v>713</v>
      </c>
      <c r="E70" s="373" t="e">
        <f>INDEX('PY1 Data(H)'!$A$1:$CZ$265,MATCH('Unit Data from Audit Worksheet'!$A70,'PY1 Data(H)'!$A$1:$A$258,0),MATCH('Unit Data from Audit Worksheet'!$D$2,'PY1 Data(H)'!$A$1:$CZ$1,0))</f>
        <v>#N/A</v>
      </c>
      <c r="F70" s="810">
        <v>0</v>
      </c>
      <c r="G70" s="403"/>
      <c r="H70" s="17"/>
      <c r="I70" s="72"/>
      <c r="J70" s="72"/>
      <c r="K70"/>
      <c r="L70" s="550"/>
    </row>
    <row r="71" spans="1:123" ht="66" customHeight="1" x14ac:dyDescent="0.3">
      <c r="A71" s="100">
        <v>20</v>
      </c>
      <c r="B71" s="957" t="s">
        <v>1944</v>
      </c>
      <c r="C71" s="4" t="s">
        <v>144</v>
      </c>
      <c r="D71" s="99" t="s">
        <v>714</v>
      </c>
      <c r="E71" s="373" t="e">
        <f>INDEX('PY1 Data(H)'!$A$1:$CZ$265,MATCH('Unit Data from Audit Worksheet'!$A71,'PY1 Data(H)'!$A$1:$A$258,0),MATCH('Unit Data from Audit Worksheet'!$D$2,'PY1 Data(H)'!$A$1:$CZ$1,0))</f>
        <v>#N/A</v>
      </c>
      <c r="F71" s="810">
        <v>0</v>
      </c>
      <c r="G71" s="403">
        <f>IF(F71&lt;0,"Error: Enter as positive.",)</f>
        <v>0</v>
      </c>
      <c r="H71" s="17"/>
      <c r="I71" s="72"/>
      <c r="J71" s="72"/>
      <c r="K71"/>
      <c r="L71" s="550"/>
    </row>
    <row r="72" spans="1:123" ht="62.4" customHeight="1" x14ac:dyDescent="0.3">
      <c r="A72" s="100">
        <v>533</v>
      </c>
      <c r="B72" s="957" t="s">
        <v>1944</v>
      </c>
      <c r="C72" s="4" t="s">
        <v>144</v>
      </c>
      <c r="D72" s="381" t="s">
        <v>715</v>
      </c>
      <c r="E72" s="373" t="e">
        <f>INDEX('PY1 Data(H)'!$A$1:$CZ$265,MATCH('Unit Data from Audit Worksheet'!$A72,'PY1 Data(H)'!$A$1:$A$258,0),MATCH('Unit Data from Audit Worksheet'!$D$2,'PY1 Data(H)'!$A$1:$CZ$1,0))</f>
        <v>#N/A</v>
      </c>
      <c r="F72" s="810">
        <v>0</v>
      </c>
      <c r="G72" s="409"/>
      <c r="H72" s="17"/>
      <c r="I72" s="72"/>
      <c r="J72" s="72"/>
      <c r="K72"/>
      <c r="L72" s="550"/>
    </row>
    <row r="73" spans="1:123" s="18" customFormat="1" ht="72.599999999999994" customHeight="1" x14ac:dyDescent="0.3">
      <c r="A73" s="100">
        <v>508</v>
      </c>
      <c r="B73" s="957" t="s">
        <v>1944</v>
      </c>
      <c r="C73" s="4" t="s">
        <v>144</v>
      </c>
      <c r="D73" s="99" t="s">
        <v>292</v>
      </c>
      <c r="E73" s="373" t="e">
        <f>INDEX('PY1 Data(H)'!$A$1:$CZ$265,MATCH('Unit Data from Audit Worksheet'!$A73,'PY1 Data(H)'!$A$1:$A$258,0),MATCH('Unit Data from Audit Worksheet'!$D$2,'PY1 Data(H)'!$A$1:$CZ$1,0))</f>
        <v>#N/A</v>
      </c>
      <c r="F73" s="810">
        <v>0</v>
      </c>
      <c r="G73" s="403"/>
      <c r="H73" s="404"/>
      <c r="I73" s="405"/>
      <c r="J73" s="405"/>
      <c r="K73"/>
      <c r="L73" s="550"/>
      <c r="M73"/>
      <c r="O73" s="187"/>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row>
    <row r="74" spans="1:123" s="18" customFormat="1" ht="81.75" customHeight="1" x14ac:dyDescent="0.3">
      <c r="A74" s="100">
        <v>509</v>
      </c>
      <c r="B74" s="957" t="s">
        <v>1944</v>
      </c>
      <c r="C74" s="4" t="s">
        <v>144</v>
      </c>
      <c r="D74" s="99" t="s">
        <v>290</v>
      </c>
      <c r="E74" s="373" t="e">
        <f>INDEX('PY1 Data(H)'!$A$1:$CZ$265,MATCH('Unit Data from Audit Worksheet'!$A74,'PY1 Data(H)'!$A$1:$A$258,0),MATCH('Unit Data from Audit Worksheet'!$D$2,'PY1 Data(H)'!$A$1:$CZ$1,0))</f>
        <v>#N/A</v>
      </c>
      <c r="F74" s="810">
        <v>0</v>
      </c>
      <c r="G74" s="403">
        <f>IF(F74&lt;0,"Error: Enter as positive.",)</f>
        <v>0</v>
      </c>
      <c r="H74" s="404"/>
      <c r="I74" s="405"/>
      <c r="J74" s="405"/>
      <c r="K74"/>
      <c r="L74" s="550"/>
      <c r="M74"/>
      <c r="O74" s="187"/>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row>
    <row r="75" spans="1:123" ht="69" customHeight="1" x14ac:dyDescent="0.3">
      <c r="A75" s="100">
        <v>22</v>
      </c>
      <c r="B75" s="4" t="s">
        <v>59</v>
      </c>
      <c r="C75" s="4" t="s">
        <v>144</v>
      </c>
      <c r="D75" s="99" t="s">
        <v>291</v>
      </c>
      <c r="E75" s="373" t="e">
        <f>INDEX('PY1 Data(H)'!$A$1:$CZ$265,MATCH('Unit Data from Audit Worksheet'!$A75,'PY1 Data(H)'!$A$1:$A$258,0),MATCH('Unit Data from Audit Worksheet'!$D$2,'PY1 Data(H)'!$A$1:$CZ$1,0))</f>
        <v>#N/A</v>
      </c>
      <c r="F75" s="810">
        <v>0</v>
      </c>
      <c r="G75" s="409"/>
      <c r="H75" s="17"/>
      <c r="I75" s="72"/>
      <c r="J75" s="72"/>
      <c r="K75"/>
      <c r="L75" s="550"/>
    </row>
    <row r="76" spans="1:123" ht="138" customHeight="1" x14ac:dyDescent="0.3">
      <c r="A76" s="100">
        <v>23</v>
      </c>
      <c r="B76" s="4" t="s">
        <v>59</v>
      </c>
      <c r="C76" s="4" t="s">
        <v>144</v>
      </c>
      <c r="D76" s="385" t="s">
        <v>716</v>
      </c>
      <c r="E76" s="373" t="e">
        <f>INDEX('PY1 Data(H)'!$A$1:$CZ$265,MATCH('Unit Data from Audit Worksheet'!$A76,'PY1 Data(H)'!$A$1:$A$258,0),MATCH('Unit Data from Audit Worksheet'!$D$2,'PY1 Data(H)'!$A$1:$CZ$1,0))</f>
        <v>#N/A</v>
      </c>
      <c r="F76" s="810"/>
      <c r="G76" s="403">
        <f>IF(H76=0,,"Error: Total revenues less total expenditures do not equal total change in fund balance.  Account numbers 16-532+17-20+533+22+508-509-23=0  The amount of the formula is located in the cell to the right")</f>
        <v>0</v>
      </c>
      <c r="H76" s="406">
        <f>+F66-F68+F70-F71+F72+F75+F73-F74-F76</f>
        <v>0</v>
      </c>
      <c r="I76" s="72"/>
      <c r="J76" s="72"/>
      <c r="K76"/>
      <c r="L76" s="550"/>
    </row>
    <row r="77" spans="1:123" ht="194.25" customHeight="1" x14ac:dyDescent="0.3">
      <c r="A77" s="100">
        <v>590</v>
      </c>
      <c r="B77" s="957" t="s">
        <v>2614</v>
      </c>
      <c r="C77" s="4"/>
      <c r="D77" s="791" t="s">
        <v>1646</v>
      </c>
      <c r="E77" s="525"/>
      <c r="F77" s="811"/>
      <c r="G77" s="662"/>
      <c r="H77" s="1025" t="str">
        <f>IF(F77&lt;&gt;""," ","Please do not leave cell F77 blank.")</f>
        <v>Please do not leave cell F77 blank.</v>
      </c>
      <c r="I77" s="405"/>
      <c r="J77" s="405"/>
      <c r="K77"/>
      <c r="L77" s="550"/>
    </row>
    <row r="78" spans="1:123" ht="138" customHeight="1" x14ac:dyDescent="0.3">
      <c r="A78" s="100">
        <v>507</v>
      </c>
      <c r="B78" s="375" t="s">
        <v>59</v>
      </c>
      <c r="C78" s="375" t="s">
        <v>144</v>
      </c>
      <c r="D78" s="385" t="s">
        <v>717</v>
      </c>
      <c r="E78" s="373" t="e">
        <f>INDEX('PY1 Data(H)'!$A$1:$CZ$265,MATCH('Unit Data from Audit Worksheet'!$A78,'PY1 Data(H)'!$A$1:$A$258,0),MATCH('Unit Data from Audit Worksheet'!$D$2,'PY1 Data(H)'!$A$1:$CZ$1,0))</f>
        <v>#N/A</v>
      </c>
      <c r="F78" s="810">
        <v>0</v>
      </c>
      <c r="G78" s="768" t="e">
        <f>IF(F59-F76-F78=E59,,"Error: Beginning Balance does not agree with our records.  (Acct# 9-23-507)= Prior Years Acct # 9 The amount of the formula is in the cell to the right")</f>
        <v>#N/A</v>
      </c>
      <c r="H78" s="769" t="e">
        <f>+F59-F76-F78-E59</f>
        <v>#N/A</v>
      </c>
      <c r="I78" s="1050" t="e">
        <f>IF(H78=0," ","If the out of balance is because prior years data is not populated in cell E59, disregard the error message. Do not include prior year's ending balance in cell F78.")</f>
        <v>#N/A</v>
      </c>
      <c r="J78" s="777"/>
      <c r="K78"/>
      <c r="L78" s="550"/>
    </row>
    <row r="79" spans="1:123" ht="82.5" customHeight="1" x14ac:dyDescent="0.3">
      <c r="A79" s="191">
        <v>647</v>
      </c>
      <c r="B79" s="959" t="s">
        <v>1946</v>
      </c>
      <c r="C79" s="462" t="s">
        <v>362</v>
      </c>
      <c r="D79" s="190" t="s">
        <v>1604</v>
      </c>
      <c r="E79" s="373" t="e">
        <f>INDEX('PY1 Data(H)'!$A$1:$CZ$265,MATCH('Unit Data from Audit Worksheet'!$A79,'PY1 Data(H)'!$A$1:$A$258,0),MATCH('Unit Data from Audit Worksheet'!$D$2,'PY1 Data(H)'!$A$1:$CZ$1,0))</f>
        <v>#N/A</v>
      </c>
      <c r="F79" s="810">
        <v>0</v>
      </c>
      <c r="G79" s="403">
        <f>IF(F79&lt;0,"Error: Enter as positive.",)</f>
        <v>0</v>
      </c>
      <c r="H79" s="410"/>
      <c r="I79" s="72"/>
      <c r="J79" s="72"/>
      <c r="K79"/>
      <c r="L79" s="550"/>
    </row>
    <row r="80" spans="1:123" ht="25.5" customHeight="1" x14ac:dyDescent="0.3">
      <c r="A80" s="100"/>
      <c r="B80" s="492" t="s">
        <v>11</v>
      </c>
      <c r="C80" s="502"/>
      <c r="D80" s="472"/>
      <c r="E80" s="473"/>
      <c r="F80" s="473"/>
      <c r="G80" s="474"/>
      <c r="H80" s="17"/>
      <c r="I80" s="72"/>
      <c r="J80" s="72"/>
      <c r="K80"/>
      <c r="L80" s="550"/>
    </row>
    <row r="81" spans="1:12" ht="78" customHeight="1" x14ac:dyDescent="0.3">
      <c r="A81" s="100">
        <v>171</v>
      </c>
      <c r="B81" s="4" t="s">
        <v>295</v>
      </c>
      <c r="C81" s="4" t="s">
        <v>294</v>
      </c>
      <c r="D81" s="374" t="s">
        <v>718</v>
      </c>
      <c r="E81" s="373" t="e">
        <f>INDEX('PY1 Data(H)'!$A$1:$CZ$265,MATCH('Unit Data from Audit Worksheet'!$A81,'PY1 Data(H)'!$A$1:$A$258,0),MATCH('Unit Data from Audit Worksheet'!$D$2,'PY1 Data(H)'!$A$1:$CZ$1,0))</f>
        <v>#N/A</v>
      </c>
      <c r="F81" s="820">
        <v>0</v>
      </c>
      <c r="G81" s="403">
        <f>IF(F81&lt;0,"Error: Enter as positive.",)</f>
        <v>0</v>
      </c>
      <c r="H81" s="17"/>
      <c r="I81" s="72"/>
      <c r="J81" s="72"/>
      <c r="K81"/>
      <c r="L81" s="550"/>
    </row>
    <row r="82" spans="1:12" ht="18" customHeight="1" x14ac:dyDescent="0.3">
      <c r="A82" s="100"/>
      <c r="B82" s="493" t="s">
        <v>719</v>
      </c>
      <c r="C82" s="502"/>
      <c r="D82" s="470"/>
      <c r="E82" s="489"/>
      <c r="F82" s="488"/>
      <c r="G82" s="489"/>
      <c r="H82" s="17"/>
      <c r="I82" s="72"/>
      <c r="J82" s="72"/>
      <c r="K82"/>
      <c r="L82" s="550"/>
    </row>
    <row r="83" spans="1:12" ht="14.4" customHeight="1" x14ac:dyDescent="0.3">
      <c r="A83" s="100"/>
      <c r="B83" s="493" t="s">
        <v>24</v>
      </c>
      <c r="C83" s="502"/>
      <c r="D83" s="484"/>
      <c r="E83" s="491"/>
      <c r="F83" s="490"/>
      <c r="G83" s="491"/>
      <c r="H83" s="17"/>
      <c r="I83" s="72"/>
      <c r="J83" s="72"/>
      <c r="K83"/>
      <c r="L83" s="550"/>
    </row>
    <row r="84" spans="1:12" ht="14.4" customHeight="1" x14ac:dyDescent="0.3">
      <c r="A84" s="100"/>
      <c r="B84" s="493" t="s">
        <v>22</v>
      </c>
      <c r="C84" s="502"/>
      <c r="D84" s="484"/>
      <c r="E84" s="491"/>
      <c r="F84" s="490"/>
      <c r="G84" s="491"/>
      <c r="H84" s="411"/>
      <c r="I84" s="72"/>
      <c r="J84" s="72"/>
      <c r="K84"/>
      <c r="L84" s="550"/>
    </row>
    <row r="85" spans="1:12" ht="88.95" customHeight="1" x14ac:dyDescent="0.3">
      <c r="A85" s="100">
        <v>596</v>
      </c>
      <c r="B85" s="375" t="s">
        <v>56</v>
      </c>
      <c r="C85" s="279"/>
      <c r="D85" s="752" t="s">
        <v>1617</v>
      </c>
      <c r="E85" s="373" t="e">
        <f>INDEX('PY1 Data(H)'!$A$1:$CZ$265,MATCH('Unit Data from Audit Worksheet'!$A85,'PY1 Data(H)'!$A$1:$A$258,0),MATCH('Unit Data from Audit Worksheet'!$D$2,'PY1 Data(H)'!$A$1:$CZ$1,0))</f>
        <v>#N/A</v>
      </c>
      <c r="F85" s="181"/>
      <c r="G85" s="932" t="s">
        <v>2606</v>
      </c>
      <c r="H85" s="411"/>
      <c r="I85" s="72"/>
      <c r="J85" s="72"/>
      <c r="K85"/>
      <c r="L85" s="550"/>
    </row>
    <row r="86" spans="1:12" ht="85.95" customHeight="1" x14ac:dyDescent="0.3">
      <c r="A86" s="100">
        <v>80</v>
      </c>
      <c r="B86" s="957" t="s">
        <v>1949</v>
      </c>
      <c r="C86" s="4" t="s">
        <v>720</v>
      </c>
      <c r="D86" s="21" t="s">
        <v>721</v>
      </c>
      <c r="E86" s="373" t="e">
        <f>INDEX('PY1 Data(H)'!$A$1:$CZ$265,MATCH('Unit Data from Audit Worksheet'!$A86,'PY1 Data(H)'!$A$1:$A$258,0),MATCH('Unit Data from Audit Worksheet'!$D$2,'PY1 Data(H)'!$A$1:$CZ$1,0))</f>
        <v>#N/A</v>
      </c>
      <c r="F86" s="820">
        <v>0</v>
      </c>
      <c r="G86" s="796" t="e">
        <f>INDEX('PY1 Data(H)'!$A$1:$CZ$282,MATCH('PY1 Data(H)'!$A261,'PY1 Data(H)'!$A$1:$A$282,0),MATCH('Unit Data from Audit Worksheet'!$D$2,'PY1 Data(H)'!$A$1:$CZ$1,0))</f>
        <v>#N/A</v>
      </c>
      <c r="H86" s="412"/>
      <c r="I86" s="72"/>
      <c r="J86" s="72"/>
      <c r="K86"/>
      <c r="L86" s="550"/>
    </row>
    <row r="87" spans="1:12" ht="69" customHeight="1" x14ac:dyDescent="0.3">
      <c r="A87" s="100">
        <v>81</v>
      </c>
      <c r="B87" s="4" t="s">
        <v>61</v>
      </c>
      <c r="C87" s="4" t="s">
        <v>720</v>
      </c>
      <c r="D87" s="21" t="s">
        <v>722</v>
      </c>
      <c r="E87" s="373" t="e">
        <f>INDEX('PY1 Data(H)'!$A$1:$CZ$265,MATCH('Unit Data from Audit Worksheet'!$A87,'PY1 Data(H)'!$A$1:$A$258,0),MATCH('Unit Data from Audit Worksheet'!$D$2,'PY1 Data(H)'!$A$1:$CZ$1,0))</f>
        <v>#N/A</v>
      </c>
      <c r="F87" s="810">
        <v>0</v>
      </c>
      <c r="G87" s="409"/>
      <c r="H87" s="17"/>
      <c r="I87" s="72"/>
      <c r="J87" s="72"/>
      <c r="K87"/>
      <c r="L87" s="550"/>
    </row>
    <row r="88" spans="1:12" ht="84" customHeight="1" x14ac:dyDescent="0.3">
      <c r="A88" s="100">
        <v>579</v>
      </c>
      <c r="B88" s="958" t="s">
        <v>1961</v>
      </c>
      <c r="C88" s="375" t="s">
        <v>720</v>
      </c>
      <c r="D88" s="461" t="s">
        <v>723</v>
      </c>
      <c r="E88" s="373" t="e">
        <f>INDEX('PY1 Data(H)'!$A$1:$CZ$265,MATCH('Unit Data from Audit Worksheet'!$A88,'PY1 Data(H)'!$A$1:$A$258,0),MATCH('Unit Data from Audit Worksheet'!$D$2,'PY1 Data(H)'!$A$1:$CZ$1,0))</f>
        <v>#N/A</v>
      </c>
      <c r="F88" s="810">
        <v>0</v>
      </c>
      <c r="G88" s="403"/>
      <c r="H88" s="17"/>
      <c r="I88" s="404"/>
      <c r="J88" s="404"/>
      <c r="K88"/>
      <c r="L88" s="550"/>
    </row>
    <row r="89" spans="1:12" ht="78.599999999999994" customHeight="1" x14ac:dyDescent="0.3">
      <c r="A89" s="100">
        <v>510</v>
      </c>
      <c r="B89" s="957" t="s">
        <v>1949</v>
      </c>
      <c r="C89" s="4" t="s">
        <v>720</v>
      </c>
      <c r="D89" s="26" t="s">
        <v>289</v>
      </c>
      <c r="E89" s="373" t="e">
        <f>INDEX('PY1 Data(H)'!$A$1:$CZ$265,MATCH('Unit Data from Audit Worksheet'!$A89,'PY1 Data(H)'!$A$1:$A$258,0),MATCH('Unit Data from Audit Worksheet'!$D$2,'PY1 Data(H)'!$A$1:$CZ$1,0))</f>
        <v>#N/A</v>
      </c>
      <c r="F89" s="810">
        <v>0</v>
      </c>
      <c r="G89" s="409"/>
      <c r="H89" s="17"/>
      <c r="I89" s="1053"/>
      <c r="J89" s="72"/>
      <c r="K89"/>
      <c r="L89" s="550"/>
    </row>
    <row r="90" spans="1:12" ht="68.25" customHeight="1" x14ac:dyDescent="0.3">
      <c r="A90" s="191">
        <v>654</v>
      </c>
      <c r="B90" s="961" t="s">
        <v>1960</v>
      </c>
      <c r="C90" s="462" t="s">
        <v>720</v>
      </c>
      <c r="D90" s="216" t="s">
        <v>724</v>
      </c>
      <c r="E90" s="373" t="e">
        <f>INDEX('PY1 Data(H)'!$A$1:$CZ$265,MATCH('Unit Data from Audit Worksheet'!$A90,'PY1 Data(H)'!$A$1:$A$258,0),MATCH('Unit Data from Audit Worksheet'!$D$2,'PY1 Data(H)'!$A$1:$CZ$1,0))</f>
        <v>#N/A</v>
      </c>
      <c r="F90" s="810">
        <v>0</v>
      </c>
      <c r="G90" s="403">
        <f>IF((F86+F87+F89)&gt;F90,"Error: Please review components of current assets above.  Account numbers (80+81+510)&gt;654",)</f>
        <v>0</v>
      </c>
      <c r="H90" s="17"/>
      <c r="I90" s="72"/>
      <c r="J90" s="72"/>
      <c r="K90"/>
      <c r="L90" s="550"/>
    </row>
    <row r="91" spans="1:12" ht="75.75" customHeight="1" x14ac:dyDescent="0.3">
      <c r="A91" s="191">
        <v>655</v>
      </c>
      <c r="B91" s="961" t="s">
        <v>1960</v>
      </c>
      <c r="C91" s="462" t="s">
        <v>720</v>
      </c>
      <c r="D91" s="193" t="s">
        <v>446</v>
      </c>
      <c r="E91" s="373" t="e">
        <f>INDEX('PY1 Data(H)'!$A$1:$CZ$265,MATCH('Unit Data from Audit Worksheet'!$A91,'PY1 Data(H)'!$A$1:$A$258,0),MATCH('Unit Data from Audit Worksheet'!$D$2,'PY1 Data(H)'!$A$1:$CZ$1,0))</f>
        <v>#N/A</v>
      </c>
      <c r="F91" s="810">
        <v>0</v>
      </c>
      <c r="G91" s="409"/>
      <c r="H91" s="17"/>
      <c r="I91" s="72"/>
      <c r="J91" s="72"/>
      <c r="K91"/>
      <c r="L91" s="550"/>
    </row>
    <row r="92" spans="1:12" ht="79.8" customHeight="1" x14ac:dyDescent="0.3">
      <c r="A92" s="100">
        <v>381</v>
      </c>
      <c r="B92" s="4" t="s">
        <v>36</v>
      </c>
      <c r="C92" s="4" t="s">
        <v>720</v>
      </c>
      <c r="D92" s="98" t="s">
        <v>122</v>
      </c>
      <c r="E92" s="373" t="e">
        <f>INDEX('PY1 Data(H)'!$A$1:$CZ$265,MATCH('Unit Data from Audit Worksheet'!$A92,'PY1 Data(H)'!$A$1:$A$258,0),MATCH('Unit Data from Audit Worksheet'!$D$2,'PY1 Data(H)'!$A$1:$CZ$1,0))</f>
        <v>#N/A</v>
      </c>
      <c r="F92" s="810">
        <v>0</v>
      </c>
      <c r="G92" s="403">
        <f>IF(F90&gt;F92,"Error: Please review components of current assets above. Account numbers 654&gt;381",)</f>
        <v>0</v>
      </c>
      <c r="H92" s="17"/>
      <c r="I92" s="72"/>
      <c r="J92" s="72"/>
      <c r="K92"/>
      <c r="L92" s="550"/>
    </row>
    <row r="93" spans="1:12" ht="63" customHeight="1" x14ac:dyDescent="0.3">
      <c r="A93" s="100">
        <v>578</v>
      </c>
      <c r="B93" s="957" t="s">
        <v>1961</v>
      </c>
      <c r="C93" s="375" t="s">
        <v>720</v>
      </c>
      <c r="D93" s="461" t="s">
        <v>725</v>
      </c>
      <c r="E93" s="373" t="e">
        <f>INDEX('PY1 Data(H)'!$A$1:$CZ$265,MATCH('Unit Data from Audit Worksheet'!$A93,'PY1 Data(H)'!$A$1:$A$258,0),MATCH('Unit Data from Audit Worksheet'!$D$2,'PY1 Data(H)'!$A$1:$CZ$1,0))</f>
        <v>#N/A</v>
      </c>
      <c r="F93" s="810">
        <v>0</v>
      </c>
      <c r="G93" s="403"/>
      <c r="H93" s="404"/>
      <c r="I93" s="405"/>
      <c r="J93" s="405"/>
      <c r="K93"/>
      <c r="L93" s="550"/>
    </row>
    <row r="94" spans="1:12" ht="113.4" customHeight="1" x14ac:dyDescent="0.3">
      <c r="A94" s="192">
        <v>633</v>
      </c>
      <c r="B94" s="961" t="s">
        <v>1952</v>
      </c>
      <c r="C94" s="462" t="s">
        <v>363</v>
      </c>
      <c r="D94" s="216" t="s">
        <v>792</v>
      </c>
      <c r="E94" s="373" t="e">
        <f>INDEX('PY1 Data(H)'!$A$1:$CZ$265,MATCH('Unit Data from Audit Worksheet'!$A94,'PY1 Data(H)'!$A$1:$A$258,0),MATCH('Unit Data from Audit Worksheet'!$D$2,'PY1 Data(H)'!$A$1:$CZ$1,0))</f>
        <v>#N/A</v>
      </c>
      <c r="F94" s="810">
        <v>0</v>
      </c>
      <c r="G94" s="738" t="str">
        <f>IF(F94&gt;=(F95+F96+F97+F98+F99+F100),"","Account 633 is less than the total sum of accounts 634 through 638 + 383")</f>
        <v/>
      </c>
      <c r="H94" s="414"/>
      <c r="I94" s="408"/>
      <c r="J94" s="775"/>
      <c r="K94"/>
      <c r="L94" s="550"/>
    </row>
    <row r="95" spans="1:12" ht="101.4" customHeight="1" x14ac:dyDescent="0.3">
      <c r="A95" s="191">
        <v>634</v>
      </c>
      <c r="B95" s="959" t="s">
        <v>1953</v>
      </c>
      <c r="C95" s="462" t="s">
        <v>363</v>
      </c>
      <c r="D95" s="216" t="s">
        <v>794</v>
      </c>
      <c r="E95" s="373" t="e">
        <f>INDEX('PY1 Data(H)'!$A$1:$CZ$265,MATCH('Unit Data from Audit Worksheet'!$A95,'PY1 Data(H)'!$A$1:$A$258,0),MATCH('Unit Data from Audit Worksheet'!$D$2,'PY1 Data(H)'!$A$1:$CZ$1,0))</f>
        <v>#N/A</v>
      </c>
      <c r="F95" s="810">
        <v>0</v>
      </c>
      <c r="G95" s="739">
        <f>IF(F95&gt;F94,"Please review account numbers 634&gt;633",)</f>
        <v>0</v>
      </c>
      <c r="H95" s="408"/>
      <c r="I95" s="408"/>
      <c r="J95" s="775"/>
      <c r="K95"/>
      <c r="L95" s="550"/>
    </row>
    <row r="96" spans="1:12" ht="107.4" customHeight="1" x14ac:dyDescent="0.3">
      <c r="A96" s="191">
        <v>635</v>
      </c>
      <c r="B96" s="959" t="s">
        <v>1953</v>
      </c>
      <c r="C96" s="462" t="s">
        <v>363</v>
      </c>
      <c r="D96" s="216" t="s">
        <v>793</v>
      </c>
      <c r="E96" s="373" t="e">
        <f>INDEX('PY1 Data(H)'!$A$1:$CZ$265,MATCH('Unit Data from Audit Worksheet'!$A96,'PY1 Data(H)'!$A$1:$A$258,0),MATCH('Unit Data from Audit Worksheet'!$D$2,'PY1 Data(H)'!$A$1:$CZ$1,0))</f>
        <v>#N/A</v>
      </c>
      <c r="F96" s="810">
        <v>0</v>
      </c>
      <c r="G96" s="739">
        <f>IF(F96&gt;F94,"Please review account numbers 635&gt;633",)</f>
        <v>0</v>
      </c>
      <c r="H96" s="408"/>
      <c r="I96" s="408"/>
      <c r="J96" s="775"/>
      <c r="K96"/>
      <c r="L96" s="550"/>
    </row>
    <row r="97" spans="1:12" ht="106.5" customHeight="1" x14ac:dyDescent="0.3">
      <c r="A97" s="191">
        <v>636</v>
      </c>
      <c r="B97" s="959" t="s">
        <v>1953</v>
      </c>
      <c r="C97" s="462" t="s">
        <v>363</v>
      </c>
      <c r="D97" s="216" t="s">
        <v>798</v>
      </c>
      <c r="E97" s="373" t="e">
        <f>INDEX('PY1 Data(H)'!$A$1:$CZ$265,MATCH('Unit Data from Audit Worksheet'!$A97,'PY1 Data(H)'!$A$1:$A$258,0),MATCH('Unit Data from Audit Worksheet'!$D$2,'PY1 Data(H)'!$A$1:$CZ$1,0))</f>
        <v>#N/A</v>
      </c>
      <c r="F97" s="810">
        <v>0</v>
      </c>
      <c r="G97" s="739">
        <f>IF(F97&gt;F94,"Please review account numbers 636&gt;633",)</f>
        <v>0</v>
      </c>
      <c r="H97" s="408"/>
      <c r="I97" s="408"/>
      <c r="J97" s="775"/>
      <c r="K97"/>
      <c r="L97" s="550"/>
    </row>
    <row r="98" spans="1:12" ht="80.25" customHeight="1" x14ac:dyDescent="0.3">
      <c r="A98" s="191">
        <v>637</v>
      </c>
      <c r="B98" s="959" t="s">
        <v>1953</v>
      </c>
      <c r="C98" s="462" t="s">
        <v>363</v>
      </c>
      <c r="D98" s="216" t="s">
        <v>797</v>
      </c>
      <c r="E98" s="373" t="e">
        <f>INDEX('PY1 Data(H)'!$A$1:$CZ$265,MATCH('Unit Data from Audit Worksheet'!$A98,'PY1 Data(H)'!$A$1:$A$258,0),MATCH('Unit Data from Audit Worksheet'!$D$2,'PY1 Data(H)'!$A$1:$CZ$1,0))</f>
        <v>#N/A</v>
      </c>
      <c r="F98" s="810">
        <v>0</v>
      </c>
      <c r="G98" s="739">
        <f>IF(F98&gt;F94,"Please review account numbers 637&gt;633",)</f>
        <v>0</v>
      </c>
      <c r="H98" s="408"/>
      <c r="I98" s="408"/>
      <c r="J98" s="775"/>
      <c r="K98"/>
      <c r="L98" s="550"/>
    </row>
    <row r="99" spans="1:12" ht="106.2" customHeight="1" x14ac:dyDescent="0.3">
      <c r="A99" s="191">
        <v>638</v>
      </c>
      <c r="B99" s="959" t="s">
        <v>1953</v>
      </c>
      <c r="C99" s="462" t="s">
        <v>363</v>
      </c>
      <c r="D99" s="216" t="s">
        <v>796</v>
      </c>
      <c r="E99" s="373" t="e">
        <f>INDEX('PY1 Data(H)'!$A$1:$CZ$265,MATCH('Unit Data from Audit Worksheet'!$A99,'PY1 Data(H)'!$A$1:$A$258,0),MATCH('Unit Data from Audit Worksheet'!$D$2,'PY1 Data(H)'!$A$1:$CZ$1,0))</f>
        <v>#N/A</v>
      </c>
      <c r="F99" s="810">
        <v>0</v>
      </c>
      <c r="G99" s="739">
        <f>IF(F99&gt;F94,"Please review account numbers 638&gt;633",)</f>
        <v>0</v>
      </c>
      <c r="H99" s="408"/>
      <c r="I99" s="408"/>
      <c r="J99" s="775"/>
      <c r="K99"/>
      <c r="L99" s="550"/>
    </row>
    <row r="100" spans="1:12" ht="93.75" customHeight="1" x14ac:dyDescent="0.3">
      <c r="A100" s="100">
        <v>383</v>
      </c>
      <c r="B100" s="4" t="s">
        <v>61</v>
      </c>
      <c r="C100" s="4" t="s">
        <v>720</v>
      </c>
      <c r="D100" s="26" t="s">
        <v>795</v>
      </c>
      <c r="E100" s="373" t="e">
        <f>INDEX('PY1 Data(H)'!$A$1:$CZ$265,MATCH('Unit Data from Audit Worksheet'!$A100,'PY1 Data(H)'!$A$1:$A$258,0),MATCH('Unit Data from Audit Worksheet'!$D$2,'PY1 Data(H)'!$A$1:$CZ$1,0))</f>
        <v>#N/A</v>
      </c>
      <c r="F100" s="810">
        <v>0</v>
      </c>
      <c r="G100" s="740">
        <f>IF(F100&gt;F94,"Error: Please review account numbers 383&gt;633",)</f>
        <v>0</v>
      </c>
      <c r="H100" s="413"/>
      <c r="I100" s="72"/>
      <c r="J100" s="72"/>
      <c r="K100"/>
      <c r="L100" s="550"/>
    </row>
    <row r="101" spans="1:12" ht="61.5" customHeight="1" x14ac:dyDescent="0.3">
      <c r="A101" s="100">
        <v>349</v>
      </c>
      <c r="B101" s="4" t="s">
        <v>61</v>
      </c>
      <c r="C101" s="4" t="s">
        <v>720</v>
      </c>
      <c r="D101" s="99" t="s">
        <v>145</v>
      </c>
      <c r="E101" s="373" t="e">
        <f>INDEX('PY1 Data(H)'!$A$1:$CZ$265,MATCH('Unit Data from Audit Worksheet'!$A101,'PY1 Data(H)'!$A$1:$A$258,0),MATCH('Unit Data from Audit Worksheet'!$D$2,'PY1 Data(H)'!$A$1:$CZ$1,0))</f>
        <v>#N/A</v>
      </c>
      <c r="F101" s="810">
        <v>0</v>
      </c>
      <c r="G101" s="403" t="str">
        <f>IF(F94&gt;F101,"Error: Please review accts 633&gt;349","")</f>
        <v/>
      </c>
      <c r="H101" s="17"/>
      <c r="I101" s="72"/>
      <c r="J101" s="72"/>
      <c r="K101"/>
      <c r="L101" s="550"/>
    </row>
    <row r="102" spans="1:12" ht="72" customHeight="1" x14ac:dyDescent="0.3">
      <c r="A102" s="100">
        <v>375</v>
      </c>
      <c r="B102" s="4" t="s">
        <v>61</v>
      </c>
      <c r="C102" s="4" t="s">
        <v>720</v>
      </c>
      <c r="D102" s="385" t="s">
        <v>726</v>
      </c>
      <c r="E102" s="373" t="e">
        <f>INDEX('PY1 Data(H)'!$A$1:$CZ$265,MATCH('Unit Data from Audit Worksheet'!$A102,'PY1 Data(H)'!$A$1:$A$258,0),MATCH('Unit Data from Audit Worksheet'!$D$2,'PY1 Data(H)'!$A$1:$CZ$1,0))</f>
        <v>#N/A</v>
      </c>
      <c r="F102" s="810">
        <v>0</v>
      </c>
      <c r="G102" s="409"/>
      <c r="H102" s="17"/>
      <c r="I102" s="72"/>
      <c r="J102" s="72"/>
      <c r="K102"/>
      <c r="L102" s="550"/>
    </row>
    <row r="103" spans="1:12" ht="138" customHeight="1" x14ac:dyDescent="0.3">
      <c r="A103" s="100">
        <v>83</v>
      </c>
      <c r="B103" s="4" t="s">
        <v>60</v>
      </c>
      <c r="C103" s="4" t="s">
        <v>720</v>
      </c>
      <c r="D103" s="99" t="s">
        <v>146</v>
      </c>
      <c r="E103" s="373" t="e">
        <f>INDEX('PY1 Data(H)'!$A$1:$CZ$265,MATCH('Unit Data from Audit Worksheet'!$A103,'PY1 Data(H)'!$A$1:$A$258,0),MATCH('Unit Data from Audit Worksheet'!$D$2,'PY1 Data(H)'!$A$1:$CZ$1,0))</f>
        <v>#N/A</v>
      </c>
      <c r="F103" s="810">
        <v>0</v>
      </c>
      <c r="G103" s="403">
        <f>IF(F92-F101-F103=0,,"Error: Total assets less total liabilities do not equal total net assets.  Account numbers 381-349-83=0  The amount of the formula is in the cell to the right")</f>
        <v>0</v>
      </c>
      <c r="H103" s="406">
        <f>F92-F101-F103</f>
        <v>0</v>
      </c>
      <c r="I103" s="72"/>
      <c r="J103" s="72"/>
      <c r="K103"/>
      <c r="L103" s="550"/>
    </row>
    <row r="104" spans="1:12" ht="40.5" customHeight="1" x14ac:dyDescent="0.3">
      <c r="A104" s="100"/>
      <c r="B104" s="492" t="s">
        <v>147</v>
      </c>
      <c r="C104" s="502"/>
      <c r="D104" s="470"/>
      <c r="E104" s="488"/>
      <c r="F104" s="488"/>
      <c r="G104" s="489"/>
      <c r="H104" s="411"/>
      <c r="I104" s="72"/>
      <c r="J104" s="72"/>
      <c r="K104"/>
      <c r="L104" s="550"/>
    </row>
    <row r="105" spans="1:12" ht="59.25" customHeight="1" x14ac:dyDescent="0.3">
      <c r="A105" s="100">
        <v>90</v>
      </c>
      <c r="B105" s="957" t="s">
        <v>1956</v>
      </c>
      <c r="C105" s="4" t="s">
        <v>727</v>
      </c>
      <c r="D105" s="21" t="s">
        <v>728</v>
      </c>
      <c r="E105" s="373" t="e">
        <f>INDEX('PY1 Data(H)'!$A$1:$CZ$265,MATCH('Unit Data from Audit Worksheet'!$A105,'PY1 Data(H)'!$A$1:$A$258,0),MATCH('Unit Data from Audit Worksheet'!$D$2,'PY1 Data(H)'!$A$1:$CZ$1,0))</f>
        <v>#N/A</v>
      </c>
      <c r="F105" s="810">
        <v>0</v>
      </c>
      <c r="G105" s="403">
        <f>IF(F105&lt;0,"Note: Number is normally positive.",)</f>
        <v>0</v>
      </c>
      <c r="H105" s="406"/>
      <c r="I105" s="72"/>
      <c r="J105" s="72"/>
      <c r="K105"/>
      <c r="L105" s="550"/>
    </row>
    <row r="106" spans="1:12" ht="75" customHeight="1" x14ac:dyDescent="0.3">
      <c r="A106" s="100">
        <v>91</v>
      </c>
      <c r="B106" s="4" t="s">
        <v>57</v>
      </c>
      <c r="C106" s="4" t="s">
        <v>727</v>
      </c>
      <c r="D106" s="21" t="s">
        <v>729</v>
      </c>
      <c r="E106" s="373" t="e">
        <f>INDEX('PY1 Data(H)'!$A$1:$CZ$265,MATCH('Unit Data from Audit Worksheet'!$A106,'PY1 Data(H)'!$A$1:$A$258,0),MATCH('Unit Data from Audit Worksheet'!$D$2,'PY1 Data(H)'!$A$1:$CZ$1,0))</f>
        <v>#N/A</v>
      </c>
      <c r="F106" s="810">
        <v>0</v>
      </c>
      <c r="G106" s="403">
        <f>IF(F106&lt;0,"Note: Number is normally positive.",)</f>
        <v>0</v>
      </c>
      <c r="H106" s="404"/>
      <c r="I106" s="72"/>
      <c r="J106" s="72"/>
      <c r="K106"/>
      <c r="L106" s="550"/>
    </row>
    <row r="107" spans="1:12" ht="66.75" customHeight="1" x14ac:dyDescent="0.3">
      <c r="A107" s="100">
        <v>581</v>
      </c>
      <c r="B107" s="957" t="s">
        <v>1951</v>
      </c>
      <c r="C107" s="375" t="s">
        <v>727</v>
      </c>
      <c r="D107" s="461" t="s">
        <v>730</v>
      </c>
      <c r="E107" s="373" t="e">
        <f>INDEX('PY1 Data(H)'!$A$1:$CZ$265,MATCH('Unit Data from Audit Worksheet'!$A107,'PY1 Data(H)'!$A$1:$A$258,0),MATCH('Unit Data from Audit Worksheet'!$D$2,'PY1 Data(H)'!$A$1:$CZ$1,0))</f>
        <v>#N/A</v>
      </c>
      <c r="F107" s="810">
        <v>0</v>
      </c>
      <c r="G107" s="403"/>
      <c r="H107" s="404"/>
      <c r="I107" s="72"/>
      <c r="J107" s="72"/>
      <c r="K107"/>
      <c r="L107" s="550"/>
    </row>
    <row r="108" spans="1:12" ht="67.5" customHeight="1" x14ac:dyDescent="0.3">
      <c r="A108" s="100">
        <v>511</v>
      </c>
      <c r="B108" s="957" t="s">
        <v>1951</v>
      </c>
      <c r="C108" s="4" t="s">
        <v>727</v>
      </c>
      <c r="D108" s="22" t="s">
        <v>148</v>
      </c>
      <c r="E108" s="373" t="e">
        <f>INDEX('PY1 Data(H)'!$A$1:$CZ$265,MATCH('Unit Data from Audit Worksheet'!$A108,'PY1 Data(H)'!$A$1:$A$258,0),MATCH('Unit Data from Audit Worksheet'!$D$2,'PY1 Data(H)'!$A$1:$CZ$1,0))</f>
        <v>#N/A</v>
      </c>
      <c r="F108" s="810">
        <v>0</v>
      </c>
      <c r="G108" s="403">
        <f>IF(F108&lt;0,"Note: Number is normally positive.",)</f>
        <v>0</v>
      </c>
      <c r="H108" s="404"/>
      <c r="I108" s="72"/>
      <c r="J108" s="72"/>
      <c r="K108"/>
      <c r="L108" s="550"/>
    </row>
    <row r="109" spans="1:12" ht="72" customHeight="1" x14ac:dyDescent="0.3">
      <c r="A109" s="191">
        <v>657</v>
      </c>
      <c r="B109" s="957" t="s">
        <v>1951</v>
      </c>
      <c r="C109" s="462" t="s">
        <v>727</v>
      </c>
      <c r="D109" s="216" t="s">
        <v>731</v>
      </c>
      <c r="E109" s="373" t="e">
        <f>INDEX('PY1 Data(H)'!$A$1:$CZ$265,MATCH('Unit Data from Audit Worksheet'!$A109,'PY1 Data(H)'!$A$1:$A$258,0),MATCH('Unit Data from Audit Worksheet'!$D$2,'PY1 Data(H)'!$A$1:$CZ$1,0))</f>
        <v>#N/A</v>
      </c>
      <c r="F109" s="810">
        <v>0</v>
      </c>
      <c r="G109" s="740">
        <f>IF((F105+F106+F108)&gt;F109,"Error: Please review components of current assets above.  Account numbers (90+91+511)&gt;657",)</f>
        <v>0</v>
      </c>
      <c r="H109" s="404"/>
      <c r="I109" s="72"/>
      <c r="J109" s="72"/>
      <c r="K109"/>
      <c r="L109" s="550"/>
    </row>
    <row r="110" spans="1:12" ht="70.5" customHeight="1" x14ac:dyDescent="0.3">
      <c r="A110" s="191">
        <v>658</v>
      </c>
      <c r="B110" s="957" t="s">
        <v>1951</v>
      </c>
      <c r="C110" s="462" t="s">
        <v>727</v>
      </c>
      <c r="D110" s="193" t="s">
        <v>447</v>
      </c>
      <c r="E110" s="373" t="e">
        <f>INDEX('PY1 Data(H)'!$A$1:$CZ$265,MATCH('Unit Data from Audit Worksheet'!$A110,'PY1 Data(H)'!$A$1:$A$258,0),MATCH('Unit Data from Audit Worksheet'!$D$2,'PY1 Data(H)'!$A$1:$CZ$1,0))</f>
        <v>#N/A</v>
      </c>
      <c r="F110" s="810">
        <v>0</v>
      </c>
      <c r="G110" s="403"/>
      <c r="H110" s="404"/>
      <c r="I110" s="72"/>
      <c r="J110" s="72"/>
      <c r="K110"/>
      <c r="L110" s="550"/>
    </row>
    <row r="111" spans="1:12" ht="138" customHeight="1" x14ac:dyDescent="0.3">
      <c r="A111" s="100">
        <v>382</v>
      </c>
      <c r="B111" s="4" t="s">
        <v>59</v>
      </c>
      <c r="C111" s="4" t="s">
        <v>727</v>
      </c>
      <c r="D111" s="98" t="s">
        <v>122</v>
      </c>
      <c r="E111" s="373" t="e">
        <f>INDEX('PY1 Data(H)'!$A$1:$CZ$265,MATCH('Unit Data from Audit Worksheet'!$A111,'PY1 Data(H)'!$A$1:$A$258,0),MATCH('Unit Data from Audit Worksheet'!$D$2,'PY1 Data(H)'!$A$1:$CZ$1,0))</f>
        <v>#N/A</v>
      </c>
      <c r="F111" s="810">
        <v>0</v>
      </c>
      <c r="G111" s="740">
        <f>IF(F109&gt;F111,"Error: Please review components of current assets above. Account numbers 657&gt;382",)</f>
        <v>0</v>
      </c>
      <c r="H111" s="404"/>
      <c r="I111" s="72"/>
      <c r="J111" s="72"/>
      <c r="K111"/>
      <c r="L111" s="550"/>
    </row>
    <row r="112" spans="1:12" ht="57.75" customHeight="1" x14ac:dyDescent="0.3">
      <c r="A112" s="100">
        <v>360</v>
      </c>
      <c r="B112" s="4" t="s">
        <v>55</v>
      </c>
      <c r="C112" s="4" t="s">
        <v>727</v>
      </c>
      <c r="D112" s="99" t="s">
        <v>149</v>
      </c>
      <c r="E112" s="373" t="e">
        <f>INDEX('PY1 Data(H)'!$A$1:$CZ$265,MATCH('Unit Data from Audit Worksheet'!$A112,'PY1 Data(H)'!$A$1:$A$258,0),MATCH('Unit Data from Audit Worksheet'!$D$2,'PY1 Data(H)'!$A$1:$CZ$1,0))</f>
        <v>#N/A</v>
      </c>
      <c r="F112" s="810">
        <v>0</v>
      </c>
      <c r="G112" s="738"/>
      <c r="H112" s="404"/>
      <c r="I112" s="72"/>
      <c r="J112" s="72"/>
      <c r="K112"/>
      <c r="L112" s="550"/>
    </row>
    <row r="113" spans="1:123" ht="62.25" customHeight="1" x14ac:dyDescent="0.3">
      <c r="A113" s="100">
        <v>580</v>
      </c>
      <c r="B113" s="957" t="s">
        <v>1951</v>
      </c>
      <c r="C113" s="375" t="s">
        <v>727</v>
      </c>
      <c r="D113" s="461" t="s">
        <v>732</v>
      </c>
      <c r="E113" s="373" t="e">
        <f>INDEX('PY1 Data(H)'!$A$1:$CZ$265,MATCH('Unit Data from Audit Worksheet'!$A113,'PY1 Data(H)'!$A$1:$A$258,0),MATCH('Unit Data from Audit Worksheet'!$D$2,'PY1 Data(H)'!$A$1:$CZ$1,0))</f>
        <v>#N/A</v>
      </c>
      <c r="F113" s="810">
        <v>0</v>
      </c>
      <c r="G113" s="738"/>
      <c r="H113" s="404"/>
      <c r="I113" s="72"/>
      <c r="J113" s="72"/>
      <c r="K113"/>
      <c r="L113" s="550"/>
    </row>
    <row r="114" spans="1:123" ht="114" customHeight="1" x14ac:dyDescent="0.3">
      <c r="A114" s="192">
        <v>639</v>
      </c>
      <c r="B114" s="961" t="s">
        <v>1952</v>
      </c>
      <c r="C114" s="462" t="s">
        <v>727</v>
      </c>
      <c r="D114" s="216" t="s">
        <v>799</v>
      </c>
      <c r="E114" s="373" t="e">
        <f>INDEX('PY1 Data(H)'!$A$1:$CZ$265,MATCH('Unit Data from Audit Worksheet'!$A114,'PY1 Data(H)'!$A$1:$A$258,0),MATCH('Unit Data from Audit Worksheet'!$D$2,'PY1 Data(H)'!$A$1:$CZ$1,0))</f>
        <v>#N/A</v>
      </c>
      <c r="F114" s="810">
        <v>0</v>
      </c>
      <c r="G114" s="738" t="str">
        <f>IF(F114&gt;=(F115+F116+F117+F118+F119+F120),"","Account 639 is less than the total sum of accounts 640 through 644 + 384")</f>
        <v/>
      </c>
      <c r="H114" s="414"/>
      <c r="I114" s="408"/>
      <c r="J114" s="775"/>
      <c r="K114"/>
      <c r="L114" s="550"/>
    </row>
    <row r="115" spans="1:123" ht="111.6" customHeight="1" x14ac:dyDescent="0.3">
      <c r="A115" s="191">
        <v>640</v>
      </c>
      <c r="B115" s="959" t="s">
        <v>1953</v>
      </c>
      <c r="C115" s="462" t="s">
        <v>727</v>
      </c>
      <c r="D115" s="216" t="s">
        <v>800</v>
      </c>
      <c r="E115" s="373" t="e">
        <f>INDEX('PY1 Data(H)'!$A$1:$CZ$265,MATCH('Unit Data from Audit Worksheet'!$A115,'PY1 Data(H)'!$A$1:$A$258,0),MATCH('Unit Data from Audit Worksheet'!$D$2,'PY1 Data(H)'!$A$1:$CZ$1,0))</f>
        <v>#N/A</v>
      </c>
      <c r="F115" s="810">
        <v>0</v>
      </c>
      <c r="G115" s="740">
        <f>IF(F115&gt;F114,"Error: Please review components of current liabilities above. Account numbers 640&gt;639",)</f>
        <v>0</v>
      </c>
      <c r="H115" s="408"/>
      <c r="I115" s="414"/>
      <c r="J115" s="776"/>
      <c r="K115"/>
      <c r="L115" s="550"/>
    </row>
    <row r="116" spans="1:123" ht="121.2" customHeight="1" x14ac:dyDescent="0.3">
      <c r="A116" s="191">
        <v>641</v>
      </c>
      <c r="B116" s="959" t="s">
        <v>1953</v>
      </c>
      <c r="C116" s="462" t="s">
        <v>727</v>
      </c>
      <c r="D116" s="216" t="s">
        <v>801</v>
      </c>
      <c r="E116" s="373" t="e">
        <f>INDEX('PY1 Data(H)'!$A$1:$CZ$265,MATCH('Unit Data from Audit Worksheet'!$A116,'PY1 Data(H)'!$A$1:$A$258,0),MATCH('Unit Data from Audit Worksheet'!$D$2,'PY1 Data(H)'!$A$1:$CZ$1,0))</f>
        <v>#N/A</v>
      </c>
      <c r="F116" s="810">
        <v>0</v>
      </c>
      <c r="G116" s="740">
        <f>IF(F116&gt;F114,"Error: Please review components of current liabilities above. Account numbers 641&gt;639",)</f>
        <v>0</v>
      </c>
      <c r="H116" s="408"/>
      <c r="I116" s="408"/>
      <c r="J116" s="775"/>
      <c r="K116"/>
      <c r="L116" s="550"/>
    </row>
    <row r="117" spans="1:123" ht="110.4" customHeight="1" x14ac:dyDescent="0.3">
      <c r="A117" s="191">
        <v>642</v>
      </c>
      <c r="B117" s="959" t="s">
        <v>1953</v>
      </c>
      <c r="C117" s="462" t="s">
        <v>727</v>
      </c>
      <c r="D117" s="216" t="s">
        <v>802</v>
      </c>
      <c r="E117" s="373" t="e">
        <f>INDEX('PY1 Data(H)'!$A$1:$CZ$265,MATCH('Unit Data from Audit Worksheet'!$A117,'PY1 Data(H)'!$A$1:$A$258,0),MATCH('Unit Data from Audit Worksheet'!$D$2,'PY1 Data(H)'!$A$1:$CZ$1,0))</f>
        <v>#N/A</v>
      </c>
      <c r="F117" s="810">
        <v>0</v>
      </c>
      <c r="G117" s="740">
        <f>IF(F117&gt;F114,"Error: Please review components of current liabilities above. Account numbers  642&gt;639",)</f>
        <v>0</v>
      </c>
      <c r="H117" s="408"/>
      <c r="I117" s="408"/>
      <c r="J117" s="775"/>
      <c r="K117"/>
      <c r="L117" s="550"/>
    </row>
    <row r="118" spans="1:123" ht="79.95" customHeight="1" x14ac:dyDescent="0.3">
      <c r="A118" s="191">
        <v>643</v>
      </c>
      <c r="B118" s="959" t="s">
        <v>1953</v>
      </c>
      <c r="C118" s="462" t="s">
        <v>727</v>
      </c>
      <c r="D118" s="216" t="s">
        <v>803</v>
      </c>
      <c r="E118" s="373" t="e">
        <f>INDEX('PY1 Data(H)'!$A$1:$CZ$265,MATCH('Unit Data from Audit Worksheet'!$A118,'PY1 Data(H)'!$A$1:$A$258,0),MATCH('Unit Data from Audit Worksheet'!$D$2,'PY1 Data(H)'!$A$1:$CZ$1,0))</f>
        <v>#N/A</v>
      </c>
      <c r="F118" s="810">
        <v>0</v>
      </c>
      <c r="G118" s="740">
        <f>IF(F118&gt;F114,"Error: Please review components of current liabilities above. Account numbers 643&gt;639",)</f>
        <v>0</v>
      </c>
      <c r="H118" s="408"/>
      <c r="I118" s="408"/>
      <c r="J118" s="775"/>
      <c r="K118"/>
      <c r="L118" s="550"/>
    </row>
    <row r="119" spans="1:123" ht="105" customHeight="1" x14ac:dyDescent="0.3">
      <c r="A119" s="191">
        <v>644</v>
      </c>
      <c r="B119" s="959" t="s">
        <v>1953</v>
      </c>
      <c r="C119" s="462" t="s">
        <v>727</v>
      </c>
      <c r="D119" s="216" t="s">
        <v>804</v>
      </c>
      <c r="E119" s="373" t="e">
        <f>INDEX('PY1 Data(H)'!$A$1:$CZ$265,MATCH('Unit Data from Audit Worksheet'!$A119,'PY1 Data(H)'!$A$1:$A$258,0),MATCH('Unit Data from Audit Worksheet'!$D$2,'PY1 Data(H)'!$A$1:$CZ$1,0))</f>
        <v>#N/A</v>
      </c>
      <c r="F119" s="810">
        <v>0</v>
      </c>
      <c r="G119" s="740">
        <f>IF(F119&gt;F114,"Error: Please review components of current liabilities above. Account number 644&gt;639",)</f>
        <v>0</v>
      </c>
      <c r="H119" s="408"/>
      <c r="I119" s="408"/>
      <c r="J119" s="775"/>
      <c r="K119"/>
      <c r="L119" s="550"/>
    </row>
    <row r="120" spans="1:123" ht="88.95" customHeight="1" x14ac:dyDescent="0.3">
      <c r="A120" s="100">
        <v>384</v>
      </c>
      <c r="B120" s="4" t="s">
        <v>62</v>
      </c>
      <c r="C120" s="4" t="s">
        <v>727</v>
      </c>
      <c r="D120" s="26" t="s">
        <v>805</v>
      </c>
      <c r="E120" s="373" t="e">
        <f>INDEX('PY1 Data(H)'!$A$1:$CZ$265,MATCH('Unit Data from Audit Worksheet'!$A120,'PY1 Data(H)'!$A$1:$A$258,0),MATCH('Unit Data from Audit Worksheet'!$D$2,'PY1 Data(H)'!$A$1:$CZ$1,0))</f>
        <v>#N/A</v>
      </c>
      <c r="F120" s="810">
        <v>0</v>
      </c>
      <c r="G120" s="740">
        <f>IF(F120&gt;F114,"Error: Please review components of current liabilities above. Account number 384&gt;639",)</f>
        <v>0</v>
      </c>
      <c r="H120" s="344"/>
      <c r="I120" s="72"/>
      <c r="J120" s="72"/>
      <c r="K120"/>
      <c r="L120" s="550"/>
    </row>
    <row r="121" spans="1:123" ht="92.4" customHeight="1" x14ac:dyDescent="0.3">
      <c r="A121" s="100">
        <v>361</v>
      </c>
      <c r="B121" s="4" t="s">
        <v>55</v>
      </c>
      <c r="C121" s="4" t="s">
        <v>727</v>
      </c>
      <c r="D121" s="385" t="s">
        <v>733</v>
      </c>
      <c r="E121" s="373" t="e">
        <f>INDEX('PY1 Data(H)'!$A$1:$CZ$265,MATCH('Unit Data from Audit Worksheet'!$A121,'PY1 Data(H)'!$A$1:$A$258,0),MATCH('Unit Data from Audit Worksheet'!$D$2,'PY1 Data(H)'!$A$1:$CZ$1,0))</f>
        <v>#N/A</v>
      </c>
      <c r="F121" s="810">
        <v>0</v>
      </c>
      <c r="G121" s="409"/>
      <c r="H121" s="404"/>
      <c r="I121" s="72"/>
      <c r="J121" s="72"/>
      <c r="K121"/>
      <c r="L121" s="550"/>
    </row>
    <row r="122" spans="1:123" ht="54" customHeight="1" x14ac:dyDescent="0.3">
      <c r="A122" s="100">
        <v>362</v>
      </c>
      <c r="B122" s="4" t="s">
        <v>55</v>
      </c>
      <c r="C122" s="4" t="s">
        <v>727</v>
      </c>
      <c r="D122" s="99" t="s">
        <v>150</v>
      </c>
      <c r="E122" s="373" t="e">
        <f>INDEX('PY1 Data(H)'!$A$1:$CZ$265,MATCH('Unit Data from Audit Worksheet'!$A122,'PY1 Data(H)'!$A$1:$A$258,0),MATCH('Unit Data from Audit Worksheet'!$D$2,'PY1 Data(H)'!$A$1:$CZ$1,0))</f>
        <v>#N/A</v>
      </c>
      <c r="F122" s="810">
        <v>0</v>
      </c>
      <c r="G122" s="403">
        <f>IF(H122=0,,"Error: Total assets less total liabilities do not equal total net position. Account numbers 382-360-362=0  The amount of the formula is in the cell to the right")</f>
        <v>0</v>
      </c>
      <c r="H122" s="406">
        <f>F111-F112-F122</f>
        <v>0</v>
      </c>
      <c r="I122" s="72"/>
      <c r="J122" s="72"/>
      <c r="K122"/>
      <c r="L122" s="550"/>
    </row>
    <row r="123" spans="1:123" ht="26.25" customHeight="1" x14ac:dyDescent="0.3">
      <c r="A123" s="100"/>
      <c r="B123" s="481" t="s">
        <v>174</v>
      </c>
      <c r="C123" s="482"/>
      <c r="D123" s="494"/>
      <c r="E123" s="480"/>
      <c r="F123" s="480"/>
      <c r="G123" s="480"/>
      <c r="H123" s="17"/>
      <c r="I123" s="72"/>
      <c r="J123" s="72"/>
      <c r="K123"/>
      <c r="L123" s="550"/>
    </row>
    <row r="124" spans="1:123" s="18" customFormat="1" ht="84.6" customHeight="1" x14ac:dyDescent="0.3">
      <c r="A124" s="100"/>
      <c r="B124" s="1074" t="s">
        <v>813</v>
      </c>
      <c r="C124" s="1074"/>
      <c r="D124" s="1074"/>
      <c r="E124" s="489"/>
      <c r="F124" s="489"/>
      <c r="G124" s="489"/>
      <c r="H124" s="17"/>
      <c r="I124" s="72"/>
      <c r="J124" s="72"/>
      <c r="K124"/>
      <c r="L124" s="550"/>
      <c r="M124"/>
      <c r="O124" s="187"/>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row>
    <row r="125" spans="1:123" ht="87" customHeight="1" x14ac:dyDescent="0.3">
      <c r="A125" s="100">
        <v>88</v>
      </c>
      <c r="B125" s="4" t="s">
        <v>60</v>
      </c>
      <c r="C125" s="4" t="s">
        <v>734</v>
      </c>
      <c r="D125" s="21" t="s">
        <v>735</v>
      </c>
      <c r="E125" s="373" t="e">
        <f>INDEX('PY1 Data(H)'!$A$1:$CZ$265,MATCH('Unit Data from Audit Worksheet'!$A125,'PY1 Data(H)'!$A$1:$A$258,0),MATCH('Unit Data from Audit Worksheet'!$D$2,'PY1 Data(H)'!$A$1:$CZ$1,0))</f>
        <v>#N/A</v>
      </c>
      <c r="F125" s="810">
        <v>0</v>
      </c>
      <c r="G125" s="409"/>
      <c r="H125" s="17"/>
      <c r="I125" s="72"/>
      <c r="J125" s="72"/>
      <c r="K125"/>
      <c r="L125" s="550"/>
    </row>
    <row r="126" spans="1:123" ht="81" customHeight="1" x14ac:dyDescent="0.3">
      <c r="A126" s="100">
        <v>84</v>
      </c>
      <c r="B126" s="957" t="s">
        <v>1949</v>
      </c>
      <c r="C126" s="4" t="s">
        <v>734</v>
      </c>
      <c r="D126" s="26" t="s">
        <v>151</v>
      </c>
      <c r="E126" s="373" t="e">
        <f>INDEX('PY1 Data(H)'!$A$1:$CZ$265,MATCH('Unit Data from Audit Worksheet'!$A126,'PY1 Data(H)'!$A$1:$A$258,0),MATCH('Unit Data from Audit Worksheet'!$D$2,'PY1 Data(H)'!$A$1:$CZ$1,0))</f>
        <v>#N/A</v>
      </c>
      <c r="F126" s="810">
        <v>0</v>
      </c>
      <c r="G126" s="403">
        <f>IF(F126&gt;=F125,,"Error: Charges for services exceed total operating revenues. Account numbers 88&gt;84")</f>
        <v>0</v>
      </c>
      <c r="H126" s="17"/>
      <c r="I126" s="72"/>
      <c r="J126" s="72"/>
      <c r="K126"/>
      <c r="L126" s="550"/>
    </row>
    <row r="127" spans="1:123" ht="78" customHeight="1" x14ac:dyDescent="0.3">
      <c r="A127" s="100">
        <v>49</v>
      </c>
      <c r="B127" s="957" t="s">
        <v>1949</v>
      </c>
      <c r="C127" s="4" t="s">
        <v>734</v>
      </c>
      <c r="D127" s="26" t="s">
        <v>152</v>
      </c>
      <c r="E127" s="373" t="e">
        <f>INDEX('PY1 Data(H)'!$A$1:$CZ$265,MATCH('Unit Data from Audit Worksheet'!$A127,'PY1 Data(H)'!$A$1:$A$258,0),MATCH('Unit Data from Audit Worksheet'!$D$2,'PY1 Data(H)'!$A$1:$CZ$1,0))</f>
        <v>#N/A</v>
      </c>
      <c r="F127" s="810">
        <v>0</v>
      </c>
      <c r="G127" s="403">
        <f>IF(F127&lt;0,"Error: Enter as positive.",)</f>
        <v>0</v>
      </c>
      <c r="H127" s="17"/>
      <c r="I127" s="72"/>
      <c r="J127" s="72"/>
      <c r="K127"/>
      <c r="L127" s="550"/>
    </row>
    <row r="128" spans="1:123" ht="87.6" customHeight="1" x14ac:dyDescent="0.3">
      <c r="A128" s="100">
        <v>85</v>
      </c>
      <c r="B128" s="957" t="s">
        <v>1949</v>
      </c>
      <c r="C128" s="4" t="s">
        <v>734</v>
      </c>
      <c r="D128" s="26" t="s">
        <v>153</v>
      </c>
      <c r="E128" s="373" t="e">
        <f>INDEX('PY1 Data(H)'!$A$1:$CZ$265,MATCH('Unit Data from Audit Worksheet'!$A128,'PY1 Data(H)'!$A$1:$A$258,0),MATCH('Unit Data from Audit Worksheet'!$D$2,'PY1 Data(H)'!$A$1:$CZ$1,0))</f>
        <v>#N/A</v>
      </c>
      <c r="F128" s="810">
        <v>0</v>
      </c>
      <c r="G128" s="403">
        <f>IF(F128&lt;0,"Error: Enter as positive.",)</f>
        <v>0</v>
      </c>
      <c r="H128" s="17"/>
      <c r="I128" s="72"/>
      <c r="J128" s="72"/>
      <c r="K128"/>
      <c r="L128" s="550"/>
    </row>
    <row r="129" spans="1:123" ht="75.599999999999994" customHeight="1" x14ac:dyDescent="0.3">
      <c r="A129" s="100">
        <v>89</v>
      </c>
      <c r="B129" s="957" t="s">
        <v>1949</v>
      </c>
      <c r="C129" s="4" t="s">
        <v>734</v>
      </c>
      <c r="D129" s="26" t="s">
        <v>154</v>
      </c>
      <c r="E129" s="373" t="e">
        <f>INDEX('PY1 Data(H)'!$A$1:$CZ$265,MATCH('Unit Data from Audit Worksheet'!$A129,'PY1 Data(H)'!$A$1:$A$258,0),MATCH('Unit Data from Audit Worksheet'!$D$2,'PY1 Data(H)'!$A$1:$CZ$1,0))</f>
        <v>#N/A</v>
      </c>
      <c r="F129" s="810">
        <v>0</v>
      </c>
      <c r="G129" s="403">
        <f>IF(F129&lt;0,"Error: Enter as positive.",)</f>
        <v>0</v>
      </c>
      <c r="H129" s="404"/>
      <c r="I129" s="72"/>
      <c r="J129" s="72"/>
      <c r="K129"/>
      <c r="L129" s="550"/>
    </row>
    <row r="130" spans="1:123" ht="79.2" customHeight="1" x14ac:dyDescent="0.3">
      <c r="A130" s="100">
        <v>350</v>
      </c>
      <c r="B130" s="4" t="s">
        <v>55</v>
      </c>
      <c r="C130" s="4" t="s">
        <v>734</v>
      </c>
      <c r="D130" s="21" t="s">
        <v>736</v>
      </c>
      <c r="E130" s="373" t="e">
        <f>INDEX('PY1 Data(H)'!$A$1:$CZ$265,MATCH('Unit Data from Audit Worksheet'!$A130,'PY1 Data(H)'!$A$1:$A$258,0),MATCH('Unit Data from Audit Worksheet'!$D$2,'PY1 Data(H)'!$A$1:$CZ$1,0))</f>
        <v>#N/A</v>
      </c>
      <c r="F130" s="810">
        <v>0</v>
      </c>
      <c r="G130" s="409"/>
      <c r="H130" s="404"/>
      <c r="I130" s="72"/>
      <c r="J130" s="72"/>
      <c r="K130"/>
      <c r="L130" s="550"/>
    </row>
    <row r="131" spans="1:123" ht="66" customHeight="1" x14ac:dyDescent="0.3">
      <c r="A131" s="100">
        <v>351</v>
      </c>
      <c r="B131" s="957" t="s">
        <v>1949</v>
      </c>
      <c r="C131" s="4" t="s">
        <v>734</v>
      </c>
      <c r="D131" s="21" t="s">
        <v>737</v>
      </c>
      <c r="E131" s="373" t="e">
        <f>INDEX('PY1 Data(H)'!$A$1:$CZ$265,MATCH('Unit Data from Audit Worksheet'!$A131,'PY1 Data(H)'!$A$1:$A$258,0),MATCH('Unit Data from Audit Worksheet'!$D$2,'PY1 Data(H)'!$A$1:$CZ$1,0))</f>
        <v>#N/A</v>
      </c>
      <c r="F131" s="810">
        <v>0</v>
      </c>
      <c r="G131" s="403">
        <f t="shared" ref="G131:G136" si="2">IF(F131&lt;0,"Error: Enter as positive.",)</f>
        <v>0</v>
      </c>
      <c r="H131" s="404"/>
      <c r="I131" s="72"/>
      <c r="J131" s="72"/>
      <c r="K131"/>
      <c r="L131" s="550"/>
    </row>
    <row r="132" spans="1:123" ht="93.75" customHeight="1" x14ac:dyDescent="0.3">
      <c r="A132" s="100">
        <v>191</v>
      </c>
      <c r="B132" s="4" t="s">
        <v>56</v>
      </c>
      <c r="C132" s="4" t="s">
        <v>734</v>
      </c>
      <c r="D132" s="21" t="s">
        <v>738</v>
      </c>
      <c r="E132" s="373" t="e">
        <f>INDEX('PY1 Data(H)'!$A$1:$CZ$265,MATCH('Unit Data from Audit Worksheet'!$A132,'PY1 Data(H)'!$A$1:$A$258,0),MATCH('Unit Data from Audit Worksheet'!$D$2,'PY1 Data(H)'!$A$1:$CZ$1,0))</f>
        <v>#N/A</v>
      </c>
      <c r="F132" s="810">
        <v>0</v>
      </c>
      <c r="G132" s="403">
        <f t="shared" si="2"/>
        <v>0</v>
      </c>
      <c r="H132" s="404"/>
      <c r="I132" s="72"/>
      <c r="J132" s="72"/>
      <c r="K132"/>
      <c r="L132" s="550"/>
    </row>
    <row r="133" spans="1:123" ht="81.599999999999994" customHeight="1" x14ac:dyDescent="0.3">
      <c r="A133" s="100">
        <v>1053</v>
      </c>
      <c r="B133" s="794" t="s">
        <v>587</v>
      </c>
      <c r="C133" s="794" t="s">
        <v>1510</v>
      </c>
      <c r="D133" s="795" t="s">
        <v>1548</v>
      </c>
      <c r="E133" s="373" t="e">
        <f>INDEX('PY1 Data(H)'!$A$1:$CZ$265,MATCH('Unit Data from Audit Worksheet'!$A133,'PY1 Data(H)'!$A$1:$A$258,0),MATCH('Unit Data from Audit Worksheet'!$D$2,'PY1 Data(H)'!$A$1:$CZ$1,0))</f>
        <v>#N/A</v>
      </c>
      <c r="F133" s="810">
        <v>0</v>
      </c>
      <c r="G133" s="403"/>
      <c r="H133" s="404"/>
      <c r="I133" s="72"/>
      <c r="J133" s="72"/>
      <c r="K133" s="180"/>
      <c r="L133" s="550"/>
      <c r="M133" s="180"/>
      <c r="Z133" s="180"/>
      <c r="AA133" s="180"/>
      <c r="AB133" s="180"/>
      <c r="AC133" s="180"/>
      <c r="AD133" s="180"/>
      <c r="AE133" s="180"/>
      <c r="AF133" s="180"/>
      <c r="AG133" s="180"/>
      <c r="AH133" s="180"/>
      <c r="AI133" s="180"/>
      <c r="AJ133" s="180"/>
      <c r="AK133" s="180"/>
      <c r="AL133" s="180"/>
      <c r="AM133" s="180"/>
      <c r="AN133" s="180"/>
      <c r="AO133" s="180"/>
      <c r="AP133" s="180"/>
      <c r="AQ133" s="180"/>
      <c r="AR133" s="180"/>
      <c r="AS133" s="180"/>
      <c r="AT133" s="180"/>
      <c r="AU133" s="180"/>
      <c r="AV133" s="180"/>
      <c r="AW133" s="180"/>
      <c r="AX133" s="180"/>
      <c r="AY133" s="180"/>
      <c r="AZ133" s="180"/>
      <c r="BA133" s="180"/>
      <c r="BB133" s="180"/>
      <c r="BC133" s="180"/>
      <c r="BD133" s="180"/>
      <c r="BE133" s="180"/>
      <c r="BF133" s="180"/>
      <c r="BG133" s="180"/>
      <c r="BH133" s="180"/>
      <c r="BI133" s="180"/>
      <c r="BJ133" s="180"/>
      <c r="BK133" s="180"/>
      <c r="BL133" s="180"/>
      <c r="BM133" s="180"/>
      <c r="BN133" s="180"/>
      <c r="BO133" s="180"/>
      <c r="BP133" s="180"/>
      <c r="BQ133" s="180"/>
      <c r="BR133" s="180"/>
      <c r="BS133" s="180"/>
      <c r="BT133" s="180"/>
      <c r="BU133" s="180"/>
      <c r="BV133" s="180"/>
      <c r="BW133" s="180"/>
      <c r="BX133" s="180"/>
      <c r="BY133" s="180"/>
      <c r="BZ133" s="180"/>
      <c r="CA133" s="180"/>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c r="CV133" s="180"/>
      <c r="CW133" s="180"/>
      <c r="CX133" s="180"/>
      <c r="CY133" s="180"/>
      <c r="CZ133" s="180"/>
      <c r="DA133" s="180"/>
      <c r="DB133" s="180"/>
      <c r="DC133" s="180"/>
      <c r="DD133" s="180"/>
      <c r="DE133" s="180"/>
      <c r="DF133" s="180"/>
      <c r="DG133" s="180"/>
      <c r="DH133" s="180"/>
      <c r="DI133" s="180"/>
      <c r="DJ133" s="180"/>
      <c r="DK133" s="180"/>
      <c r="DL133" s="180"/>
      <c r="DM133" s="180"/>
      <c r="DN133" s="180"/>
      <c r="DO133" s="180"/>
      <c r="DP133" s="180"/>
      <c r="DQ133" s="180"/>
      <c r="DR133" s="180"/>
      <c r="DS133" s="180"/>
    </row>
    <row r="134" spans="1:123" ht="78.599999999999994" customHeight="1" x14ac:dyDescent="0.3">
      <c r="A134" s="100">
        <v>352</v>
      </c>
      <c r="B134" s="4" t="s">
        <v>67</v>
      </c>
      <c r="C134" s="4" t="s">
        <v>734</v>
      </c>
      <c r="D134" s="26" t="s">
        <v>660</v>
      </c>
      <c r="E134" s="373" t="e">
        <f>INDEX('PY1 Data(H)'!$A$1:$CZ$265,MATCH('Unit Data from Audit Worksheet'!$A134,'PY1 Data(H)'!$A$1:$A$258,0),MATCH('Unit Data from Audit Worksheet'!$D$2,'PY1 Data(H)'!$A$1:$CZ$1,0))</f>
        <v>#N/A</v>
      </c>
      <c r="F134" s="810">
        <v>0</v>
      </c>
      <c r="G134" s="403">
        <f t="shared" si="2"/>
        <v>0</v>
      </c>
      <c r="H134" s="18"/>
      <c r="I134" s="17"/>
      <c r="J134" s="17"/>
      <c r="K134"/>
      <c r="L134" s="550"/>
    </row>
    <row r="135" spans="1:123" ht="79.95" customHeight="1" x14ac:dyDescent="0.3">
      <c r="A135" s="100">
        <v>986</v>
      </c>
      <c r="B135" s="957" t="s">
        <v>1950</v>
      </c>
      <c r="C135" s="375" t="s">
        <v>734</v>
      </c>
      <c r="D135" s="26" t="s">
        <v>594</v>
      </c>
      <c r="E135" s="373" t="e">
        <f>INDEX('PY1 Data(H)'!$A$1:$CZ$265,MATCH('Unit Data from Audit Worksheet'!$A135,'PY1 Data(H)'!$A$1:$A$258,0),MATCH('Unit Data from Audit Worksheet'!$D$2,'PY1 Data(H)'!$A$1:$CZ$1,0))</f>
        <v>#N/A</v>
      </c>
      <c r="F135" s="810">
        <v>0</v>
      </c>
      <c r="G135" s="403">
        <f t="shared" si="2"/>
        <v>0</v>
      </c>
      <c r="H135" s="404"/>
      <c r="I135" s="72"/>
      <c r="J135" s="72"/>
      <c r="K135"/>
      <c r="L135" s="550"/>
    </row>
    <row r="136" spans="1:123" ht="79.2" customHeight="1" x14ac:dyDescent="0.3">
      <c r="A136" s="100">
        <v>353</v>
      </c>
      <c r="B136" s="4" t="s">
        <v>67</v>
      </c>
      <c r="C136" s="4" t="s">
        <v>734</v>
      </c>
      <c r="D136" s="26" t="s">
        <v>135</v>
      </c>
      <c r="E136" s="373" t="e">
        <f>INDEX('PY1 Data(H)'!$A$1:$CZ$265,MATCH('Unit Data from Audit Worksheet'!$A136,'PY1 Data(H)'!$A$1:$A$258,0),MATCH('Unit Data from Audit Worksheet'!$D$2,'PY1 Data(H)'!$A$1:$CZ$1,0))</f>
        <v>#N/A</v>
      </c>
      <c r="F136" s="810">
        <v>0</v>
      </c>
      <c r="G136" s="403">
        <f t="shared" si="2"/>
        <v>0</v>
      </c>
      <c r="H136" s="404"/>
      <c r="I136" s="72"/>
      <c r="J136" s="72"/>
      <c r="K136"/>
      <c r="L136" s="550"/>
    </row>
    <row r="137" spans="1:123" ht="135" customHeight="1" x14ac:dyDescent="0.3">
      <c r="A137" s="100">
        <v>50</v>
      </c>
      <c r="B137" s="4" t="s">
        <v>63</v>
      </c>
      <c r="C137" s="4" t="s">
        <v>734</v>
      </c>
      <c r="D137" s="385" t="s">
        <v>739</v>
      </c>
      <c r="E137" s="373" t="e">
        <f>INDEX('PY1 Data(H)'!$A$1:$CZ$265,MATCH('Unit Data from Audit Worksheet'!$A137,'PY1 Data(H)'!$A$1:$A$258,0),MATCH('Unit Data from Audit Worksheet'!$D$2,'PY1 Data(H)'!$A$1:$CZ$1,0))</f>
        <v>#N/A</v>
      </c>
      <c r="F137" s="810">
        <v>0</v>
      </c>
      <c r="G137" s="403">
        <f>IF(H137=0,,"Error: Total revenues less total expenses do not equal total change in net position. Account number 84-85+350-351+191+352-353-50=0  The amount of the formula is in the cell to the right")</f>
        <v>0</v>
      </c>
      <c r="H137" s="406">
        <f>F126-F128+F130-F131+F132+F134-F136-F137</f>
        <v>0</v>
      </c>
      <c r="I137" s="72"/>
      <c r="J137" s="72"/>
      <c r="K137"/>
      <c r="L137" s="550"/>
    </row>
    <row r="138" spans="1:123" ht="135" customHeight="1" x14ac:dyDescent="0.3">
      <c r="A138" s="100">
        <v>377</v>
      </c>
      <c r="B138" s="4" t="s">
        <v>67</v>
      </c>
      <c r="C138" s="4" t="s">
        <v>734</v>
      </c>
      <c r="D138" s="385" t="s">
        <v>740</v>
      </c>
      <c r="E138" s="373" t="e">
        <f>INDEX('PY1 Data(H)'!$A$1:$CZ$265,MATCH('Unit Data from Audit Worksheet'!$A138,'PY1 Data(H)'!$A$1:$A$258,0),MATCH('Unit Data from Audit Worksheet'!$D$2,'PY1 Data(H)'!$A$1:$CZ$1,0))</f>
        <v>#N/A</v>
      </c>
      <c r="F138" s="810">
        <v>0</v>
      </c>
      <c r="G138" s="768" t="e">
        <f>IF(F103-F137-F138=E103,,"Error: Beginning Balance does not agree with our records.  Acct #s (83-50-377)=prior year 83 The amount of the formula is in the cell to the right")</f>
        <v>#N/A</v>
      </c>
      <c r="H138" s="769" t="e">
        <f>+F103-F137-F138-E103</f>
        <v>#N/A</v>
      </c>
      <c r="I138" s="1051" t="e">
        <f>IF(H138=0," ","If the out of balance is because prior years data is not populated in cell E103, disregard the error message. Do not include prior year's ending balance in cell F138.")</f>
        <v>#N/A</v>
      </c>
      <c r="J138" s="777"/>
      <c r="K138"/>
      <c r="L138" s="550"/>
    </row>
    <row r="139" spans="1:123" ht="78.599999999999994" customHeight="1" x14ac:dyDescent="0.3">
      <c r="A139" s="100">
        <v>537</v>
      </c>
      <c r="B139" s="375" t="s">
        <v>58</v>
      </c>
      <c r="C139" s="375" t="s">
        <v>734</v>
      </c>
      <c r="D139" s="372" t="s">
        <v>1528</v>
      </c>
      <c r="E139" s="809" t="e">
        <f>INDEX('PY1 Data(H)'!$A$1:$CZ$265,MATCH('Unit Data from Audit Worksheet'!$A139,'PY1 Data(H)'!$A$1:$A$258,0),MATCH('Unit Data from Audit Worksheet'!$D$2,'PY1 Data(H)'!$A$1:$CZ$1,0))</f>
        <v>#N/A</v>
      </c>
      <c r="F139" s="185"/>
      <c r="G139" s="403"/>
      <c r="H139" s="404"/>
      <c r="I139" s="405"/>
      <c r="J139" s="405"/>
      <c r="K139"/>
      <c r="L139" s="550"/>
    </row>
    <row r="140" spans="1:123" ht="96.75" customHeight="1" x14ac:dyDescent="0.3">
      <c r="A140" s="100">
        <v>538</v>
      </c>
      <c r="B140" s="375" t="s">
        <v>58</v>
      </c>
      <c r="C140" s="375" t="s">
        <v>734</v>
      </c>
      <c r="D140" s="372" t="s">
        <v>1529</v>
      </c>
      <c r="E140" s="809" t="e">
        <f>INDEX('PY1 Data(H)'!$A$1:$CZ$265,MATCH('Unit Data from Audit Worksheet'!$A140,'PY1 Data(H)'!$A$1:$A$258,0),MATCH('Unit Data from Audit Worksheet'!$D$2,'PY1 Data(H)'!$A$1:$CZ$1,0))</f>
        <v>#N/A</v>
      </c>
      <c r="F140" s="185"/>
      <c r="G140" s="403"/>
      <c r="H140" s="404"/>
      <c r="I140" s="405"/>
      <c r="J140" s="405"/>
      <c r="K140"/>
      <c r="L140" s="550"/>
    </row>
    <row r="141" spans="1:123" ht="26.25" customHeight="1" x14ac:dyDescent="0.3">
      <c r="A141" s="100"/>
      <c r="B141" s="716" t="s">
        <v>6</v>
      </c>
      <c r="C141" s="502"/>
      <c r="D141" s="470"/>
      <c r="E141" s="488"/>
      <c r="F141" s="488"/>
      <c r="G141" s="489"/>
      <c r="H141" s="17"/>
      <c r="I141" s="72"/>
      <c r="J141" s="72"/>
      <c r="K141"/>
      <c r="L141" s="550"/>
    </row>
    <row r="142" spans="1:123" ht="91.95" customHeight="1" x14ac:dyDescent="0.3">
      <c r="A142" s="100">
        <v>97</v>
      </c>
      <c r="B142" s="4" t="s">
        <v>67</v>
      </c>
      <c r="C142" s="4" t="s">
        <v>741</v>
      </c>
      <c r="D142" s="26" t="s">
        <v>155</v>
      </c>
      <c r="E142" s="373" t="e">
        <f>INDEX('PY1 Data(H)'!$A$1:$CZ$265,MATCH('Unit Data from Audit Worksheet'!$A142,'PY1 Data(H)'!$A$1:$A$258,0),MATCH('Unit Data from Audit Worksheet'!$D$2,'PY1 Data(H)'!$A$1:$CZ$1,0))</f>
        <v>#N/A</v>
      </c>
      <c r="F142" s="810">
        <v>0</v>
      </c>
      <c r="G142" s="409"/>
      <c r="H142" s="17"/>
      <c r="I142" s="72"/>
      <c r="J142" s="72"/>
      <c r="K142"/>
      <c r="L142" s="550"/>
    </row>
    <row r="143" spans="1:123" ht="72.599999999999994" customHeight="1" x14ac:dyDescent="0.3">
      <c r="A143" s="100">
        <v>93</v>
      </c>
      <c r="B143" s="957" t="s">
        <v>1954</v>
      </c>
      <c r="C143" s="4" t="s">
        <v>741</v>
      </c>
      <c r="D143" s="26" t="s">
        <v>151</v>
      </c>
      <c r="E143" s="373" t="e">
        <f>INDEX('PY1 Data(H)'!$A$1:$CZ$265,MATCH('Unit Data from Audit Worksheet'!$A143,'PY1 Data(H)'!$A$1:$A$258,0),MATCH('Unit Data from Audit Worksheet'!$D$2,'PY1 Data(H)'!$A$1:$CZ$1,0))</f>
        <v>#N/A</v>
      </c>
      <c r="F143" s="810">
        <v>0</v>
      </c>
      <c r="G143" s="403">
        <f>IF(F142&gt;F143,"Error: Charges for services exceed total operating revenues. Account number 97&gt;93",)</f>
        <v>0</v>
      </c>
      <c r="H143" s="404"/>
      <c r="I143" s="72"/>
      <c r="J143" s="72"/>
      <c r="K143"/>
      <c r="L143" s="550"/>
    </row>
    <row r="144" spans="1:123" ht="76.2" customHeight="1" x14ac:dyDescent="0.3">
      <c r="A144" s="100">
        <v>99</v>
      </c>
      <c r="B144" s="4" t="s">
        <v>57</v>
      </c>
      <c r="C144" s="4" t="s">
        <v>741</v>
      </c>
      <c r="D144" s="26" t="s">
        <v>156</v>
      </c>
      <c r="E144" s="373" t="e">
        <f>INDEX('PY1 Data(H)'!$A$1:$CZ$265,MATCH('Unit Data from Audit Worksheet'!$A144,'PY1 Data(H)'!$A$1:$A$258,0),MATCH('Unit Data from Audit Worksheet'!$D$2,'PY1 Data(H)'!$A$1:$CZ$1,0))</f>
        <v>#N/A</v>
      </c>
      <c r="F144" s="810">
        <v>0</v>
      </c>
      <c r="G144" s="403">
        <f t="shared" ref="G144:G153" si="3">IF(F144&lt;0,"Error: Enter as positive.",)</f>
        <v>0</v>
      </c>
      <c r="H144" s="404"/>
      <c r="I144" s="72"/>
      <c r="J144" s="72"/>
      <c r="K144"/>
      <c r="L144" s="550"/>
    </row>
    <row r="145" spans="1:123" ht="73.2" customHeight="1" x14ac:dyDescent="0.3">
      <c r="A145" s="100">
        <v>52</v>
      </c>
      <c r="B145" s="957" t="s">
        <v>1955</v>
      </c>
      <c r="C145" s="4" t="s">
        <v>741</v>
      </c>
      <c r="D145" s="26" t="s">
        <v>152</v>
      </c>
      <c r="E145" s="373" t="e">
        <f>INDEX('PY1 Data(H)'!$A$1:$CZ$265,MATCH('Unit Data from Audit Worksheet'!$A145,'PY1 Data(H)'!$A$1:$A$258,0),MATCH('Unit Data from Audit Worksheet'!$D$2,'PY1 Data(H)'!$A$1:$CZ$1,0))</f>
        <v>#N/A</v>
      </c>
      <c r="F145" s="810">
        <v>0</v>
      </c>
      <c r="G145" s="403">
        <f t="shared" si="3"/>
        <v>0</v>
      </c>
      <c r="H145" s="404"/>
      <c r="I145" s="72"/>
      <c r="J145" s="72"/>
      <c r="K145"/>
      <c r="L145" s="550"/>
    </row>
    <row r="146" spans="1:123" ht="81" customHeight="1" x14ac:dyDescent="0.3">
      <c r="A146" s="100">
        <v>94</v>
      </c>
      <c r="B146" s="957" t="s">
        <v>1954</v>
      </c>
      <c r="C146" s="4" t="s">
        <v>741</v>
      </c>
      <c r="D146" s="26" t="s">
        <v>153</v>
      </c>
      <c r="E146" s="373" t="e">
        <f>INDEX('PY1 Data(H)'!$A$1:$CZ$265,MATCH('Unit Data from Audit Worksheet'!$A146,'PY1 Data(H)'!$A$1:$A$258,0),MATCH('Unit Data from Audit Worksheet'!$D$2,'PY1 Data(H)'!$A$1:$CZ$1,0))</f>
        <v>#N/A</v>
      </c>
      <c r="F146" s="810">
        <v>0</v>
      </c>
      <c r="G146" s="403">
        <f t="shared" si="3"/>
        <v>0</v>
      </c>
      <c r="H146" s="404"/>
      <c r="I146" s="72"/>
      <c r="J146" s="72"/>
      <c r="K146"/>
      <c r="L146" s="550"/>
    </row>
    <row r="147" spans="1:123" ht="85.95" customHeight="1" x14ac:dyDescent="0.3">
      <c r="A147" s="100">
        <v>98</v>
      </c>
      <c r="B147" s="957" t="s">
        <v>1954</v>
      </c>
      <c r="C147" s="4" t="s">
        <v>741</v>
      </c>
      <c r="D147" s="26" t="s">
        <v>154</v>
      </c>
      <c r="E147" s="373" t="e">
        <f>INDEX('PY1 Data(H)'!$A$1:$CZ$265,MATCH('Unit Data from Audit Worksheet'!$A147,'PY1 Data(H)'!$A$1:$A$258,0),MATCH('Unit Data from Audit Worksheet'!$D$2,'PY1 Data(H)'!$A$1:$CZ$1,0))</f>
        <v>#N/A</v>
      </c>
      <c r="F147" s="810">
        <v>0</v>
      </c>
      <c r="G147" s="403">
        <f t="shared" si="3"/>
        <v>0</v>
      </c>
      <c r="H147" s="404"/>
      <c r="I147" s="72"/>
      <c r="J147" s="72"/>
      <c r="K147"/>
      <c r="L147" s="550"/>
    </row>
    <row r="148" spans="1:123" ht="84" customHeight="1" x14ac:dyDescent="0.3">
      <c r="A148" s="100">
        <v>363</v>
      </c>
      <c r="B148" s="4" t="s">
        <v>55</v>
      </c>
      <c r="C148" s="4" t="s">
        <v>741</v>
      </c>
      <c r="D148" s="21" t="s">
        <v>742</v>
      </c>
      <c r="E148" s="373" t="e">
        <f>INDEX('PY1 Data(H)'!$A$1:$CZ$265,MATCH('Unit Data from Audit Worksheet'!$A148,'PY1 Data(H)'!$A$1:$A$258,0),MATCH('Unit Data from Audit Worksheet'!$D$2,'PY1 Data(H)'!$A$1:$CZ$1,0))</f>
        <v>#N/A</v>
      </c>
      <c r="F148" s="810">
        <v>0</v>
      </c>
      <c r="G148" s="403">
        <f t="shared" si="3"/>
        <v>0</v>
      </c>
      <c r="H148" s="404"/>
      <c r="I148" s="72"/>
      <c r="J148" s="72"/>
      <c r="K148"/>
      <c r="L148" s="550"/>
    </row>
    <row r="149" spans="1:123" ht="76.95" customHeight="1" x14ac:dyDescent="0.3">
      <c r="A149" s="100">
        <v>364</v>
      </c>
      <c r="B149" s="957" t="s">
        <v>1957</v>
      </c>
      <c r="C149" s="4" t="s">
        <v>741</v>
      </c>
      <c r="D149" s="21" t="s">
        <v>743</v>
      </c>
      <c r="E149" s="373" t="e">
        <f>INDEX('PY1 Data(H)'!$A$1:$CZ$265,MATCH('Unit Data from Audit Worksheet'!$A149,'PY1 Data(H)'!$A$1:$A$258,0),MATCH('Unit Data from Audit Worksheet'!$D$2,'PY1 Data(H)'!$A$1:$CZ$1,0))</f>
        <v>#N/A</v>
      </c>
      <c r="F149" s="810">
        <v>0</v>
      </c>
      <c r="G149" s="403">
        <f t="shared" si="3"/>
        <v>0</v>
      </c>
      <c r="H149" s="404"/>
      <c r="I149" s="72"/>
      <c r="J149" s="72"/>
      <c r="K149"/>
      <c r="L149" s="550"/>
    </row>
    <row r="150" spans="1:123" ht="86.4" customHeight="1" x14ac:dyDescent="0.3">
      <c r="A150" s="100">
        <v>192</v>
      </c>
      <c r="B150" s="4" t="s">
        <v>57</v>
      </c>
      <c r="C150" s="4" t="s">
        <v>741</v>
      </c>
      <c r="D150" s="21" t="s">
        <v>744</v>
      </c>
      <c r="E150" s="373" t="e">
        <f>INDEX('PY1 Data(H)'!$A$1:$CZ$265,MATCH('Unit Data from Audit Worksheet'!$A150,'PY1 Data(H)'!$A$1:$A$258,0),MATCH('Unit Data from Audit Worksheet'!$D$2,'PY1 Data(H)'!$A$1:$CZ$1,0))</f>
        <v>#N/A</v>
      </c>
      <c r="F150" s="810">
        <v>0</v>
      </c>
      <c r="G150" s="403">
        <f t="shared" si="3"/>
        <v>0</v>
      </c>
      <c r="H150" s="404"/>
      <c r="I150" s="72"/>
      <c r="J150" s="72"/>
      <c r="K150"/>
      <c r="L150" s="550"/>
    </row>
    <row r="151" spans="1:123" ht="80.400000000000006" customHeight="1" x14ac:dyDescent="0.3">
      <c r="A151" s="100">
        <v>1054</v>
      </c>
      <c r="B151" s="375" t="s">
        <v>587</v>
      </c>
      <c r="C151" s="375" t="s">
        <v>1508</v>
      </c>
      <c r="D151" s="795" t="s">
        <v>1549</v>
      </c>
      <c r="E151" s="373" t="e">
        <f>INDEX('PY1 Data(H)'!$A$1:$CZ$265,MATCH('Unit Data from Audit Worksheet'!$A151,'PY1 Data(H)'!$A$1:$A$258,0),MATCH('Unit Data from Audit Worksheet'!$D$2,'PY1 Data(H)'!$A$1:$CZ$1,0))</f>
        <v>#N/A</v>
      </c>
      <c r="F151" s="810">
        <v>0</v>
      </c>
      <c r="G151" s="403"/>
      <c r="H151" s="404"/>
      <c r="I151" s="72"/>
      <c r="J151" s="72"/>
      <c r="K151" s="180"/>
      <c r="L151" s="550"/>
      <c r="M151" s="180"/>
      <c r="Z151" s="180"/>
      <c r="AA151" s="180"/>
      <c r="AB151" s="180"/>
      <c r="AC151" s="180"/>
      <c r="AD151" s="180"/>
      <c r="AE151" s="180"/>
      <c r="AF151" s="180"/>
      <c r="AG151" s="180"/>
      <c r="AH151" s="180"/>
      <c r="AI151" s="180"/>
      <c r="AJ151" s="180"/>
      <c r="AK151" s="180"/>
      <c r="AL151" s="180"/>
      <c r="AM151" s="180"/>
      <c r="AN151" s="180"/>
      <c r="AO151" s="180"/>
      <c r="AP151" s="180"/>
      <c r="AQ151" s="180"/>
      <c r="AR151" s="180"/>
      <c r="AS151" s="180"/>
      <c r="AT151" s="180"/>
      <c r="AU151" s="180"/>
      <c r="AV151" s="180"/>
      <c r="AW151" s="180"/>
      <c r="AX151" s="180"/>
      <c r="AY151" s="180"/>
      <c r="AZ151" s="180"/>
      <c r="BA151" s="180"/>
      <c r="BB151" s="180"/>
      <c r="BC151" s="180"/>
      <c r="BD151" s="180"/>
      <c r="BE151" s="180"/>
      <c r="BF151" s="180"/>
      <c r="BG151" s="180"/>
      <c r="BH151" s="180"/>
      <c r="BI151" s="180"/>
      <c r="BJ151" s="180"/>
      <c r="BK151" s="180"/>
      <c r="BL151" s="180"/>
      <c r="BM151" s="180"/>
      <c r="BN151" s="180"/>
      <c r="BO151" s="180"/>
      <c r="BP151" s="180"/>
      <c r="BQ151" s="180"/>
      <c r="BR151" s="180"/>
      <c r="BS151" s="180"/>
      <c r="BT151" s="180"/>
      <c r="BU151" s="180"/>
      <c r="BV151" s="180"/>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c r="CV151" s="180"/>
      <c r="CW151" s="180"/>
      <c r="CX151" s="180"/>
      <c r="CY151" s="180"/>
      <c r="CZ151" s="180"/>
      <c r="DA151" s="180"/>
      <c r="DB151" s="180"/>
      <c r="DC151" s="180"/>
      <c r="DD151" s="180"/>
      <c r="DE151" s="180"/>
      <c r="DF151" s="180"/>
      <c r="DG151" s="180"/>
      <c r="DH151" s="180"/>
      <c r="DI151" s="180"/>
      <c r="DJ151" s="180"/>
      <c r="DK151" s="180"/>
      <c r="DL151" s="180"/>
      <c r="DM151" s="180"/>
      <c r="DN151" s="180"/>
      <c r="DO151" s="180"/>
      <c r="DP151" s="180"/>
      <c r="DQ151" s="180"/>
      <c r="DR151" s="180"/>
      <c r="DS151" s="180"/>
    </row>
    <row r="152" spans="1:123" ht="94.2" customHeight="1" x14ac:dyDescent="0.3">
      <c r="A152" s="100">
        <v>365</v>
      </c>
      <c r="B152" s="4" t="s">
        <v>65</v>
      </c>
      <c r="C152" s="4" t="s">
        <v>741</v>
      </c>
      <c r="D152" s="21" t="s">
        <v>745</v>
      </c>
      <c r="E152" s="373" t="e">
        <f>INDEX('PY1 Data(H)'!$A$1:$CZ$265,MATCH('Unit Data from Audit Worksheet'!$A152,'PY1 Data(H)'!$A$1:$A$258,0),MATCH('Unit Data from Audit Worksheet'!$D$2,'PY1 Data(H)'!$A$1:$CZ$1,0))</f>
        <v>#N/A</v>
      </c>
      <c r="F152" s="810">
        <v>0</v>
      </c>
      <c r="G152" s="403">
        <f t="shared" si="3"/>
        <v>0</v>
      </c>
      <c r="H152" s="404"/>
      <c r="I152" s="72"/>
      <c r="J152" s="72"/>
      <c r="K152"/>
      <c r="L152" s="550"/>
    </row>
    <row r="153" spans="1:123" ht="84.75" customHeight="1" x14ac:dyDescent="0.3">
      <c r="A153" s="100">
        <v>366</v>
      </c>
      <c r="B153" s="957" t="s">
        <v>1954</v>
      </c>
      <c r="C153" s="4" t="s">
        <v>741</v>
      </c>
      <c r="D153" s="21" t="s">
        <v>746</v>
      </c>
      <c r="E153" s="373" t="e">
        <f>INDEX('PY1 Data(H)'!$A$1:$CZ$265,MATCH('Unit Data from Audit Worksheet'!$A153,'PY1 Data(H)'!$A$1:$A$258,0),MATCH('Unit Data from Audit Worksheet'!$D$2,'PY1 Data(H)'!$A$1:$CZ$1,0))</f>
        <v>#N/A</v>
      </c>
      <c r="F153" s="810">
        <v>0</v>
      </c>
      <c r="G153" s="403">
        <f t="shared" si="3"/>
        <v>0</v>
      </c>
      <c r="H153" s="404"/>
      <c r="I153" s="72"/>
      <c r="J153" s="72"/>
      <c r="K153"/>
      <c r="L153" s="550"/>
    </row>
    <row r="154" spans="1:123" s="18" customFormat="1" ht="138" customHeight="1" x14ac:dyDescent="0.3">
      <c r="A154" s="100">
        <v>53</v>
      </c>
      <c r="B154" s="375" t="s">
        <v>65</v>
      </c>
      <c r="C154" s="375" t="s">
        <v>741</v>
      </c>
      <c r="D154" s="385" t="s">
        <v>747</v>
      </c>
      <c r="E154" s="373" t="e">
        <f>INDEX('PY1 Data(H)'!$A$1:$CZ$265,MATCH('Unit Data from Audit Worksheet'!$A154,'PY1 Data(H)'!$A$1:$A$258,0),MATCH('Unit Data from Audit Worksheet'!$D$2,'PY1 Data(H)'!$A$1:$CZ$1,0))</f>
        <v>#N/A</v>
      </c>
      <c r="F154" s="810">
        <v>0</v>
      </c>
      <c r="G154" s="403">
        <f>IF(H154=0,,"Error: Total revenues less total expenses do not equal total change in net position. Account number 93-94+363-364+192+365-366-53=0  The amount of the formula is in the cell to the right")</f>
        <v>0</v>
      </c>
      <c r="H154" s="406">
        <f>+F143-F146+F148-F149+F150+F152-F153-F154</f>
        <v>0</v>
      </c>
      <c r="I154" s="72"/>
      <c r="J154" s="72"/>
      <c r="K154"/>
      <c r="L154" s="550"/>
      <c r="M154"/>
      <c r="O154" s="187"/>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row>
    <row r="155" spans="1:123" s="18" customFormat="1" ht="138" customHeight="1" x14ac:dyDescent="0.3">
      <c r="A155" s="100">
        <v>378</v>
      </c>
      <c r="B155" s="279" t="s">
        <v>55</v>
      </c>
      <c r="C155" s="375" t="s">
        <v>741</v>
      </c>
      <c r="D155" s="385" t="s">
        <v>748</v>
      </c>
      <c r="E155" s="373" t="e">
        <f>INDEX('PY1 Data(H)'!$A$1:$CZ$265,MATCH('Unit Data from Audit Worksheet'!$A155,'PY1 Data(H)'!$A$1:$A$258,0),MATCH('Unit Data from Audit Worksheet'!$D$2,'PY1 Data(H)'!$A$1:$CZ$1,0))</f>
        <v>#N/A</v>
      </c>
      <c r="F155" s="810">
        <v>0</v>
      </c>
      <c r="G155" s="766" t="e">
        <f>IF(F122-F154-F155=E122,,"Error: Beginning Balance does not agree with our records.  Acct #s (362-53-378)=prior year 362  The amount of the formula is in the cell to the right")</f>
        <v>#N/A</v>
      </c>
      <c r="H155" s="769" t="e">
        <f>+F122-F154-F155-E122</f>
        <v>#N/A</v>
      </c>
      <c r="I155" s="1052" t="e">
        <f>IF(H155=0," ","If the out of balance is because prior years data is not populated in cell E122, disregard the error message. Do not include prior year's ending balance in cell F155.")</f>
        <v>#N/A</v>
      </c>
      <c r="J155" s="777"/>
      <c r="K155"/>
      <c r="L155" s="550"/>
      <c r="M155"/>
      <c r="O155" s="187"/>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row>
    <row r="156" spans="1:123" ht="30.75" customHeight="1" x14ac:dyDescent="0.3">
      <c r="A156" s="100"/>
      <c r="B156" s="492" t="s">
        <v>427</v>
      </c>
      <c r="C156" s="716"/>
      <c r="D156" s="495"/>
      <c r="E156" s="496"/>
      <c r="F156" s="496"/>
      <c r="G156" s="477"/>
      <c r="H156" s="17"/>
      <c r="I156" s="72"/>
      <c r="J156" s="72"/>
      <c r="K156"/>
      <c r="L156" s="550"/>
    </row>
    <row r="157" spans="1:123" ht="13.5" customHeight="1" x14ac:dyDescent="0.3">
      <c r="A157" s="100"/>
      <c r="B157" s="749" t="s">
        <v>749</v>
      </c>
      <c r="C157" s="502"/>
      <c r="D157" s="470"/>
      <c r="E157" s="497"/>
      <c r="F157" s="497"/>
      <c r="G157" s="489"/>
      <c r="H157" s="17"/>
      <c r="I157" s="72"/>
      <c r="J157" s="72"/>
      <c r="K157"/>
      <c r="L157" s="550"/>
    </row>
    <row r="158" spans="1:123" ht="17.25" customHeight="1" x14ac:dyDescent="0.3">
      <c r="A158" s="100"/>
      <c r="B158" s="493" t="s">
        <v>750</v>
      </c>
      <c r="C158" s="502"/>
      <c r="D158" s="484"/>
      <c r="E158" s="498"/>
      <c r="F158" s="498"/>
      <c r="G158" s="491"/>
      <c r="H158" s="17"/>
      <c r="I158" s="72"/>
      <c r="J158" s="72"/>
      <c r="K158"/>
      <c r="L158" s="550"/>
    </row>
    <row r="159" spans="1:123" ht="13.5" customHeight="1" x14ac:dyDescent="0.3">
      <c r="A159" s="100"/>
      <c r="B159" s="493" t="s">
        <v>23</v>
      </c>
      <c r="C159" s="502"/>
      <c r="D159" s="484"/>
      <c r="E159" s="498"/>
      <c r="F159" s="498"/>
      <c r="G159" s="491"/>
      <c r="H159" s="17"/>
      <c r="I159" s="72"/>
      <c r="J159" s="72"/>
      <c r="K159"/>
      <c r="L159" s="550"/>
    </row>
    <row r="160" spans="1:123" ht="59.25" customHeight="1" x14ac:dyDescent="0.3">
      <c r="A160" s="100">
        <v>51</v>
      </c>
      <c r="B160" s="4" t="s">
        <v>285</v>
      </c>
      <c r="C160" s="465" t="s">
        <v>751</v>
      </c>
      <c r="D160" s="21" t="s">
        <v>752</v>
      </c>
      <c r="E160" s="373" t="e">
        <f>INDEX('PY1 Data(H)'!$A$1:$CZ$265,MATCH('Unit Data from Audit Worksheet'!$A160,'PY1 Data(H)'!$A$1:$A$258,0),MATCH('Unit Data from Audit Worksheet'!$D$2,'PY1 Data(H)'!$A$1:$CZ$1,0))</f>
        <v>#N/A</v>
      </c>
      <c r="F160" s="810">
        <v>0</v>
      </c>
      <c r="G160" s="409"/>
      <c r="H160" s="17"/>
      <c r="I160" s="72"/>
      <c r="J160" s="72"/>
      <c r="K160"/>
      <c r="L160" s="550"/>
    </row>
    <row r="161" spans="1:123" ht="45" customHeight="1" x14ac:dyDescent="0.3">
      <c r="A161" s="100">
        <v>332</v>
      </c>
      <c r="B161" s="4" t="s">
        <v>36</v>
      </c>
      <c r="C161" s="465" t="s">
        <v>751</v>
      </c>
      <c r="D161" s="21" t="s">
        <v>753</v>
      </c>
      <c r="E161" s="373" t="e">
        <f>INDEX('PY1 Data(H)'!$A$1:$CZ$265,MATCH('Unit Data from Audit Worksheet'!$A161,'PY1 Data(H)'!$A$1:$A$258,0),MATCH('Unit Data from Audit Worksheet'!$D$2,'PY1 Data(H)'!$A$1:$CZ$1,0))</f>
        <v>#N/A</v>
      </c>
      <c r="F161" s="810">
        <v>0</v>
      </c>
      <c r="G161" s="403">
        <f>IF(F161&lt;0,"Error: Enter as positive.",)</f>
        <v>0</v>
      </c>
      <c r="H161" s="17"/>
      <c r="I161" s="72"/>
      <c r="J161" s="72"/>
      <c r="K161"/>
      <c r="L161" s="550"/>
    </row>
    <row r="162" spans="1:123" ht="75" customHeight="1" x14ac:dyDescent="0.3">
      <c r="A162" s="100">
        <v>331</v>
      </c>
      <c r="B162" s="957" t="s">
        <v>1949</v>
      </c>
      <c r="C162" s="465" t="s">
        <v>751</v>
      </c>
      <c r="D162" s="21" t="s">
        <v>754</v>
      </c>
      <c r="E162" s="373" t="e">
        <f>INDEX('PY1 Data(H)'!$A$1:$CZ$265,MATCH('Unit Data from Audit Worksheet'!$A162,'PY1 Data(H)'!$A$1:$A$258,0),MATCH('Unit Data from Audit Worksheet'!$D$2,'PY1 Data(H)'!$A$1:$CZ$1,0))</f>
        <v>#N/A</v>
      </c>
      <c r="F162" s="810">
        <v>0</v>
      </c>
      <c r="G162" s="403">
        <f>IF(F162&lt;0,"Error: Enter as positive.",)</f>
        <v>0</v>
      </c>
      <c r="H162" s="17"/>
      <c r="I162" s="72"/>
      <c r="J162" s="72"/>
      <c r="K162"/>
      <c r="L162" s="550"/>
    </row>
    <row r="163" spans="1:123" ht="17.399999999999999" customHeight="1" x14ac:dyDescent="0.3">
      <c r="A163" s="100"/>
      <c r="B163" s="716" t="s">
        <v>6</v>
      </c>
      <c r="C163" s="502"/>
      <c r="D163" s="493"/>
      <c r="E163" s="497"/>
      <c r="F163" s="497"/>
      <c r="G163" s="499"/>
      <c r="H163" s="17"/>
      <c r="I163" s="72"/>
      <c r="J163" s="72"/>
      <c r="K163"/>
      <c r="L163" s="550"/>
    </row>
    <row r="164" spans="1:123" ht="48" customHeight="1" x14ac:dyDescent="0.3">
      <c r="A164" s="100">
        <v>55</v>
      </c>
      <c r="B164" s="4" t="s">
        <v>58</v>
      </c>
      <c r="C164" s="465" t="s">
        <v>755</v>
      </c>
      <c r="D164" s="21" t="s">
        <v>756</v>
      </c>
      <c r="E164" s="373" t="e">
        <f>INDEX('PY1 Data(H)'!$A$1:$CZ$265,MATCH('Unit Data from Audit Worksheet'!$A164,'PY1 Data(H)'!$A$1:$A$258,0),MATCH('Unit Data from Audit Worksheet'!$D$2,'PY1 Data(H)'!$A$1:$CZ$1,0))</f>
        <v>#N/A</v>
      </c>
      <c r="F164" s="810">
        <v>0</v>
      </c>
      <c r="G164" s="409"/>
      <c r="H164" s="17"/>
      <c r="I164" s="72"/>
      <c r="J164" s="72"/>
      <c r="K164"/>
      <c r="L164" s="550"/>
    </row>
    <row r="165" spans="1:123" ht="60" customHeight="1" x14ac:dyDescent="0.3">
      <c r="A165" s="100">
        <v>101</v>
      </c>
      <c r="B165" s="4" t="s">
        <v>64</v>
      </c>
      <c r="C165" s="465" t="s">
        <v>755</v>
      </c>
      <c r="D165" s="21" t="s">
        <v>757</v>
      </c>
      <c r="E165" s="373" t="e">
        <f>INDEX('PY1 Data(H)'!$A$1:$CZ$265,MATCH('Unit Data from Audit Worksheet'!$A165,'PY1 Data(H)'!$A$1:$A$258,0),MATCH('Unit Data from Audit Worksheet'!$D$2,'PY1 Data(H)'!$A$1:$CZ$1,0))</f>
        <v>#N/A</v>
      </c>
      <c r="F165" s="810">
        <v>0</v>
      </c>
      <c r="G165" s="403">
        <f>IF(F165&lt;0,"Error: Enter as positive.",)</f>
        <v>0</v>
      </c>
      <c r="H165" s="17"/>
      <c r="I165" s="72"/>
      <c r="J165" s="72"/>
      <c r="K165"/>
      <c r="L165" s="550"/>
    </row>
    <row r="166" spans="1:123" ht="71.25" customHeight="1" x14ac:dyDescent="0.3">
      <c r="A166" s="100">
        <v>100</v>
      </c>
      <c r="B166" s="957" t="s">
        <v>1954</v>
      </c>
      <c r="C166" s="465" t="s">
        <v>755</v>
      </c>
      <c r="D166" s="21" t="s">
        <v>754</v>
      </c>
      <c r="E166" s="373" t="e">
        <f>INDEX('PY1 Data(H)'!$A$1:$CZ$265,MATCH('Unit Data from Audit Worksheet'!$A166,'PY1 Data(H)'!$A$1:$A$258,0),MATCH('Unit Data from Audit Worksheet'!$D$2,'PY1 Data(H)'!$A$1:$CZ$1,0))</f>
        <v>#N/A</v>
      </c>
      <c r="F166" s="810">
        <v>0</v>
      </c>
      <c r="G166" s="403">
        <f>IF(F166&lt;0,"Error: Enter as positive.",)</f>
        <v>0</v>
      </c>
      <c r="H166" s="17"/>
      <c r="I166" s="72"/>
      <c r="J166" s="72"/>
      <c r="K166"/>
      <c r="L166" s="550"/>
    </row>
    <row r="167" spans="1:123" ht="31.2" customHeight="1" x14ac:dyDescent="0.3">
      <c r="A167" s="100"/>
      <c r="B167" s="492" t="s">
        <v>1644</v>
      </c>
      <c r="C167" s="716"/>
      <c r="D167" s="492"/>
      <c r="E167" s="492"/>
      <c r="F167" s="492"/>
      <c r="G167" s="492"/>
      <c r="H167" s="17"/>
      <c r="I167" s="72"/>
      <c r="J167" s="72"/>
      <c r="K167" s="180"/>
      <c r="L167" s="550"/>
      <c r="M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c r="DS167" s="180"/>
    </row>
    <row r="168" spans="1:123" ht="71.25" customHeight="1" x14ac:dyDescent="0.3">
      <c r="A168" s="789">
        <v>1060</v>
      </c>
      <c r="B168" s="375" t="s">
        <v>1519</v>
      </c>
      <c r="C168" s="411"/>
      <c r="D168" s="790" t="s">
        <v>1540</v>
      </c>
      <c r="E168" s="373" t="e">
        <f>INDEX('PY1 Data(H)'!$A$1:$CZ$265,MATCH('Unit Data from Audit Worksheet'!$A168,'PY1 Data(H)'!$A$1:$A$258,0),MATCH('Unit Data from Audit Worksheet'!$D$2,'PY1 Data(H)'!$A$1:$CZ$1,0))</f>
        <v>#N/A</v>
      </c>
      <c r="F168" s="810">
        <v>0</v>
      </c>
      <c r="G168" s="403"/>
      <c r="H168" s="17"/>
      <c r="I168" s="72"/>
      <c r="J168" s="72"/>
      <c r="K168" s="180"/>
      <c r="L168" s="550"/>
      <c r="M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c r="DS168" s="180"/>
    </row>
    <row r="169" spans="1:123" ht="71.25" customHeight="1" x14ac:dyDescent="0.3">
      <c r="A169" s="789">
        <v>1061</v>
      </c>
      <c r="B169" s="375" t="s">
        <v>1519</v>
      </c>
      <c r="C169" s="411"/>
      <c r="D169" s="790" t="s">
        <v>1541</v>
      </c>
      <c r="E169" s="373" t="e">
        <f>INDEX('PY1 Data(H)'!$A$1:$CZ$265,MATCH('Unit Data from Audit Worksheet'!$A169,'PY1 Data(H)'!$A$1:$A$258,0),MATCH('Unit Data from Audit Worksheet'!$D$2,'PY1 Data(H)'!$A$1:$CZ$1,0))</f>
        <v>#N/A</v>
      </c>
      <c r="F169" s="810">
        <v>0</v>
      </c>
      <c r="G169" s="403"/>
      <c r="H169" s="17"/>
      <c r="I169" s="72"/>
      <c r="J169" s="72"/>
      <c r="K169" s="180"/>
      <c r="L169" s="550"/>
      <c r="M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c r="DS169" s="180"/>
    </row>
    <row r="170" spans="1:123" ht="98.4" customHeight="1" x14ac:dyDescent="0.3">
      <c r="A170" s="789">
        <v>1062</v>
      </c>
      <c r="B170" s="375" t="s">
        <v>1519</v>
      </c>
      <c r="C170" s="411"/>
      <c r="D170" s="790" t="s">
        <v>1937</v>
      </c>
      <c r="E170" s="373" t="e">
        <f>INDEX('PY1 Data(H)'!$A$1:$CZ$265,MATCH('Unit Data from Audit Worksheet'!$A170,'PY1 Data(H)'!$A$1:$A$258,0),MATCH('Unit Data from Audit Worksheet'!$D$2,'PY1 Data(H)'!$A$1:$CZ$1,0))</f>
        <v>#N/A</v>
      </c>
      <c r="F170" s="185"/>
      <c r="G170" s="403"/>
      <c r="H170" s="17"/>
      <c r="I170" s="72"/>
      <c r="J170" s="72"/>
      <c r="K170" s="180"/>
      <c r="L170" s="550"/>
      <c r="M170" s="180"/>
      <c r="Z170" s="180"/>
      <c r="AA170" s="180"/>
      <c r="AB170" s="180"/>
      <c r="AC170" s="180"/>
      <c r="AD170" s="180"/>
      <c r="AE170" s="180"/>
      <c r="AF170" s="180"/>
      <c r="AG170" s="180"/>
      <c r="AH170" s="180"/>
      <c r="AI170" s="180"/>
      <c r="AJ170" s="180"/>
      <c r="AK170" s="180"/>
      <c r="AL170" s="180"/>
      <c r="AM170" s="180"/>
      <c r="AN170" s="180"/>
      <c r="AO170" s="180"/>
      <c r="AP170" s="180"/>
      <c r="AQ170" s="180"/>
      <c r="AR170" s="180"/>
      <c r="AS170" s="180"/>
      <c r="AT170" s="180"/>
      <c r="AU170" s="180"/>
      <c r="AV170" s="180"/>
      <c r="AW170" s="180"/>
      <c r="AX170" s="180"/>
      <c r="AY170" s="180"/>
      <c r="AZ170" s="180"/>
      <c r="BA170" s="180"/>
      <c r="BB170" s="180"/>
      <c r="BC170" s="180"/>
      <c r="BD170" s="180"/>
      <c r="BE170" s="180"/>
      <c r="BF170" s="180"/>
      <c r="BG170" s="180"/>
      <c r="BH170" s="180"/>
      <c r="BI170" s="180"/>
      <c r="BJ170" s="180"/>
      <c r="BK170" s="180"/>
      <c r="BL170" s="180"/>
      <c r="BM170" s="180"/>
      <c r="BN170" s="180"/>
      <c r="BO170" s="180"/>
      <c r="BP170" s="180"/>
      <c r="BQ170" s="180"/>
      <c r="BR170" s="180"/>
      <c r="BS170" s="180"/>
      <c r="BT170" s="180"/>
      <c r="BU170" s="180"/>
      <c r="BV170" s="180"/>
      <c r="BW170" s="180"/>
      <c r="BX170" s="180"/>
      <c r="BY170" s="180"/>
      <c r="BZ170" s="180"/>
      <c r="CA170" s="180"/>
      <c r="CB170" s="180"/>
      <c r="CC170" s="180"/>
      <c r="CD170" s="180"/>
      <c r="CE170" s="180"/>
      <c r="CF170" s="180"/>
      <c r="CG170" s="180"/>
      <c r="CH170" s="180"/>
      <c r="CI170" s="180"/>
      <c r="CJ170" s="180"/>
      <c r="CK170" s="180"/>
      <c r="CL170" s="180"/>
      <c r="CM170" s="180"/>
      <c r="CN170" s="180"/>
      <c r="CO170" s="180"/>
      <c r="CP170" s="180"/>
      <c r="CQ170" s="180"/>
      <c r="CR170" s="180"/>
      <c r="CS170" s="180"/>
      <c r="CT170" s="180"/>
      <c r="CU170" s="180"/>
      <c r="CV170" s="180"/>
      <c r="CW170" s="180"/>
      <c r="CX170" s="180"/>
      <c r="CY170" s="180"/>
      <c r="CZ170" s="180"/>
      <c r="DA170" s="180"/>
      <c r="DB170" s="180"/>
      <c r="DC170" s="180"/>
      <c r="DD170" s="180"/>
      <c r="DE170" s="180"/>
      <c r="DF170" s="180"/>
      <c r="DG170" s="180"/>
      <c r="DH170" s="180"/>
      <c r="DI170" s="180"/>
      <c r="DJ170" s="180"/>
      <c r="DK170" s="180"/>
      <c r="DL170" s="180"/>
      <c r="DM170" s="180"/>
      <c r="DN170" s="180"/>
      <c r="DO170" s="180"/>
      <c r="DP170" s="180"/>
      <c r="DQ170" s="180"/>
      <c r="DR170" s="180"/>
      <c r="DS170" s="180"/>
    </row>
    <row r="171" spans="1:123" ht="71.25" customHeight="1" x14ac:dyDescent="0.3">
      <c r="A171" s="789">
        <v>1063</v>
      </c>
      <c r="B171" s="375" t="s">
        <v>1519</v>
      </c>
      <c r="C171" s="411"/>
      <c r="D171" s="790" t="s">
        <v>1938</v>
      </c>
      <c r="E171" s="373" t="e">
        <f>INDEX('PY1 Data(H)'!$A$1:$CZ$265,MATCH('Unit Data from Audit Worksheet'!$A171,'PY1 Data(H)'!$A$1:$A$258,0),MATCH('Unit Data from Audit Worksheet'!$D$2,'PY1 Data(H)'!$A$1:$CZ$1,0))</f>
        <v>#N/A</v>
      </c>
      <c r="F171" s="185"/>
      <c r="G171" s="403"/>
      <c r="H171" s="17"/>
      <c r="I171" s="72"/>
      <c r="J171" s="72"/>
      <c r="K171" s="180"/>
      <c r="L171" s="550"/>
      <c r="M171" s="180"/>
      <c r="Z171" s="180"/>
      <c r="AA171" s="180"/>
      <c r="AB171" s="180"/>
      <c r="AC171" s="180"/>
      <c r="AD171" s="180"/>
      <c r="AE171" s="180"/>
      <c r="AF171" s="180"/>
      <c r="AG171" s="180"/>
      <c r="AH171" s="180"/>
      <c r="AI171" s="180"/>
      <c r="AJ171" s="180"/>
      <c r="AK171" s="180"/>
      <c r="AL171" s="180"/>
      <c r="AM171" s="180"/>
      <c r="AN171" s="180"/>
      <c r="AO171" s="180"/>
      <c r="AP171" s="180"/>
      <c r="AQ171" s="180"/>
      <c r="AR171" s="180"/>
      <c r="AS171" s="180"/>
      <c r="AT171" s="180"/>
      <c r="AU171" s="180"/>
      <c r="AV171" s="180"/>
      <c r="AW171" s="180"/>
      <c r="AX171" s="180"/>
      <c r="AY171" s="180"/>
      <c r="AZ171" s="180"/>
      <c r="BA171" s="180"/>
      <c r="BB171" s="180"/>
      <c r="BC171" s="180"/>
      <c r="BD171" s="180"/>
      <c r="BE171" s="180"/>
      <c r="BF171" s="180"/>
      <c r="BG171" s="180"/>
      <c r="BH171" s="180"/>
      <c r="BI171" s="180"/>
      <c r="BJ171" s="180"/>
      <c r="BK171" s="180"/>
      <c r="BL171" s="180"/>
      <c r="BM171" s="180"/>
      <c r="BN171" s="180"/>
      <c r="BO171" s="180"/>
      <c r="BP171" s="180"/>
      <c r="BQ171" s="180"/>
      <c r="BR171" s="180"/>
      <c r="BS171" s="180"/>
      <c r="BT171" s="180"/>
      <c r="BU171" s="180"/>
      <c r="BV171" s="180"/>
      <c r="BW171" s="180"/>
      <c r="BX171" s="180"/>
      <c r="BY171" s="180"/>
      <c r="BZ171" s="180"/>
      <c r="CA171" s="180"/>
      <c r="CB171" s="180"/>
      <c r="CC171" s="180"/>
      <c r="CD171" s="180"/>
      <c r="CE171" s="180"/>
      <c r="CF171" s="180"/>
      <c r="CG171" s="180"/>
      <c r="CH171" s="180"/>
      <c r="CI171" s="180"/>
      <c r="CJ171" s="180"/>
      <c r="CK171" s="180"/>
      <c r="CL171" s="180"/>
      <c r="CM171" s="180"/>
      <c r="CN171" s="180"/>
      <c r="CO171" s="180"/>
      <c r="CP171" s="180"/>
      <c r="CQ171" s="180"/>
      <c r="CR171" s="180"/>
      <c r="CS171" s="180"/>
      <c r="CT171" s="180"/>
      <c r="CU171" s="180"/>
      <c r="CV171" s="180"/>
      <c r="CW171" s="180"/>
      <c r="CX171" s="180"/>
      <c r="CY171" s="180"/>
      <c r="CZ171" s="180"/>
      <c r="DA171" s="180"/>
      <c r="DB171" s="180"/>
      <c r="DC171" s="180"/>
      <c r="DD171" s="180"/>
      <c r="DE171" s="180"/>
      <c r="DF171" s="180"/>
      <c r="DG171" s="180"/>
      <c r="DH171" s="180"/>
      <c r="DI171" s="180"/>
      <c r="DJ171" s="180"/>
      <c r="DK171" s="180"/>
      <c r="DL171" s="180"/>
      <c r="DM171" s="180"/>
      <c r="DN171" s="180"/>
      <c r="DO171" s="180"/>
      <c r="DP171" s="180"/>
      <c r="DQ171" s="180"/>
      <c r="DR171" s="180"/>
      <c r="DS171" s="180"/>
    </row>
    <row r="172" spans="1:123" x14ac:dyDescent="0.3">
      <c r="A172" s="100"/>
      <c r="B172" s="716" t="s">
        <v>70</v>
      </c>
      <c r="C172" s="502"/>
      <c r="D172" s="470"/>
      <c r="E172" s="500"/>
      <c r="F172" s="500"/>
      <c r="G172" s="487"/>
      <c r="H172" s="17"/>
      <c r="I172" s="72"/>
      <c r="J172" s="72"/>
      <c r="K172"/>
      <c r="L172" s="550"/>
    </row>
    <row r="173" spans="1:123" ht="90.6" customHeight="1" x14ac:dyDescent="0.3">
      <c r="A173" s="100">
        <v>512</v>
      </c>
      <c r="B173" s="279"/>
      <c r="C173" s="465" t="s">
        <v>157</v>
      </c>
      <c r="D173" s="21" t="s">
        <v>758</v>
      </c>
      <c r="E173" s="373" t="e">
        <f>INDEX('PY1 Data(H)'!$A$1:$CZ$265,MATCH('Unit Data from Audit Worksheet'!$A173,'PY1 Data(H)'!$A$1:$A$258,0),MATCH('Unit Data from Audit Worksheet'!$D$2,'PY1 Data(H)'!$A$1:$CZ$1,0))</f>
        <v>#N/A</v>
      </c>
      <c r="F173" s="810">
        <v>0</v>
      </c>
      <c r="G173" s="403">
        <f>IF(F173&lt;0,"Error: Enter as positive.",)</f>
        <v>0</v>
      </c>
      <c r="H173" s="17"/>
      <c r="I173" s="72"/>
      <c r="J173" s="72"/>
      <c r="K173"/>
      <c r="L173" s="550"/>
    </row>
    <row r="174" spans="1:123" x14ac:dyDescent="0.3">
      <c r="A174" s="100"/>
      <c r="B174" s="492" t="s">
        <v>417</v>
      </c>
      <c r="C174" s="502"/>
      <c r="D174" s="495"/>
      <c r="E174" s="500"/>
      <c r="F174" s="500"/>
      <c r="G174" s="487"/>
      <c r="H174" s="404"/>
      <c r="I174" s="405"/>
      <c r="J174" s="405"/>
      <c r="K174"/>
      <c r="L174" s="550"/>
    </row>
    <row r="175" spans="1:123" ht="59.25" customHeight="1" x14ac:dyDescent="0.3">
      <c r="A175" s="191">
        <v>656</v>
      </c>
      <c r="B175" s="191"/>
      <c r="C175" s="191"/>
      <c r="D175" s="753" t="s">
        <v>1618</v>
      </c>
      <c r="E175" s="373" t="e">
        <f>INDEX('PY1 Data(H)'!$A$1:$CZ$265,MATCH('Unit Data from Audit Worksheet'!$A175,'PY1 Data(H)'!$A$1:$A$258,0),MATCH('Unit Data from Audit Worksheet'!$D$2,'PY1 Data(H)'!$A$1:$CZ$1,0))</f>
        <v>#N/A</v>
      </c>
      <c r="F175" s="810"/>
      <c r="G175" s="403"/>
      <c r="H175" s="17"/>
      <c r="I175" s="72"/>
      <c r="J175" s="72"/>
      <c r="K175"/>
      <c r="L175" s="550"/>
    </row>
    <row r="176" spans="1:123" x14ac:dyDescent="0.3">
      <c r="A176" s="100"/>
      <c r="B176" s="492" t="s">
        <v>288</v>
      </c>
      <c r="C176" s="502"/>
      <c r="D176" s="495"/>
      <c r="E176" s="500"/>
      <c r="F176" s="500"/>
      <c r="G176" s="487"/>
      <c r="H176" s="404"/>
      <c r="I176" s="405"/>
      <c r="J176" s="405"/>
      <c r="K176"/>
      <c r="L176" s="550"/>
    </row>
    <row r="177" spans="1:12" ht="106.95" customHeight="1" x14ac:dyDescent="0.3">
      <c r="A177" s="100">
        <v>535</v>
      </c>
      <c r="B177" s="375" t="s">
        <v>54</v>
      </c>
      <c r="C177" s="375" t="s">
        <v>158</v>
      </c>
      <c r="D177" s="21" t="s">
        <v>759</v>
      </c>
      <c r="E177" s="373" t="e">
        <f>INDEX('PY1 Data(H)'!$A$1:$CZ$265,MATCH('Unit Data from Audit Worksheet'!$A177,'PY1 Data(H)'!$A$1:$A$258,0),MATCH('Unit Data from Audit Worksheet'!$D$2,'PY1 Data(H)'!$A$1:$CZ$1,0))</f>
        <v>#N/A</v>
      </c>
      <c r="F177" s="810">
        <v>0</v>
      </c>
      <c r="G177" s="766" t="str">
        <f>IF(F177&lt;1,"Reminder: Please make sure you have entered all cash and investments from bond/Debt proceeds, if applicable.",)</f>
        <v>Reminder: Please make sure you have entered all cash and investments from bond/Debt proceeds, if applicable.</v>
      </c>
      <c r="H177" s="404"/>
      <c r="I177" s="405"/>
      <c r="J177" s="405"/>
      <c r="K177"/>
      <c r="L177" s="550"/>
    </row>
    <row r="178" spans="1:12" x14ac:dyDescent="0.3">
      <c r="A178" s="100"/>
      <c r="B178" s="492" t="s">
        <v>29</v>
      </c>
      <c r="C178" s="502"/>
      <c r="D178" s="471"/>
      <c r="E178" s="497"/>
      <c r="F178" s="497"/>
      <c r="G178" s="489"/>
      <c r="H178" s="17"/>
      <c r="I178" s="72"/>
      <c r="J178" s="72"/>
      <c r="K178"/>
      <c r="L178" s="550"/>
    </row>
    <row r="179" spans="1:12" x14ac:dyDescent="0.3">
      <c r="A179" s="100"/>
      <c r="B179" s="279"/>
      <c r="C179" s="279"/>
      <c r="D179" s="417" t="s">
        <v>2</v>
      </c>
      <c r="E179" s="373"/>
      <c r="F179" s="154"/>
      <c r="G179" s="409"/>
      <c r="H179" s="17"/>
      <c r="I179" s="72"/>
      <c r="J179" s="72"/>
      <c r="K179"/>
      <c r="L179" s="550"/>
    </row>
    <row r="180" spans="1:12" ht="36" customHeight="1" x14ac:dyDescent="0.3">
      <c r="A180" s="100"/>
      <c r="B180" s="279"/>
      <c r="C180" s="279"/>
      <c r="D180" s="374" t="s">
        <v>760</v>
      </c>
      <c r="E180" s="373"/>
      <c r="F180" s="154"/>
      <c r="G180" s="409"/>
      <c r="H180" s="17"/>
      <c r="I180" s="72"/>
      <c r="J180" s="72"/>
      <c r="K180"/>
      <c r="L180" s="550"/>
    </row>
    <row r="181" spans="1:12" ht="51" customHeight="1" x14ac:dyDescent="0.3">
      <c r="A181" s="100">
        <v>334</v>
      </c>
      <c r="B181" s="4" t="s">
        <v>55</v>
      </c>
      <c r="C181" s="4" t="s">
        <v>165</v>
      </c>
      <c r="D181" s="21" t="s">
        <v>761</v>
      </c>
      <c r="E181" s="373" t="e">
        <f>INDEX('PY1 Data(H)'!$A$1:$CZ$265,MATCH('Unit Data from Audit Worksheet'!$A181,'PY1 Data(H)'!$A$1:$A$258,0),MATCH('Unit Data from Audit Worksheet'!$D$2,'PY1 Data(H)'!$A$1:$CZ$1,0))</f>
        <v>#N/A</v>
      </c>
      <c r="F181" s="810">
        <v>0</v>
      </c>
      <c r="G181" s="409"/>
      <c r="H181" s="17"/>
      <c r="I181" s="72"/>
      <c r="J181" s="72"/>
      <c r="K181"/>
      <c r="L181" s="550"/>
    </row>
    <row r="182" spans="1:12" ht="45.6" customHeight="1" x14ac:dyDescent="0.3">
      <c r="A182" s="100">
        <v>373</v>
      </c>
      <c r="B182" s="4" t="s">
        <v>55</v>
      </c>
      <c r="C182" s="4" t="s">
        <v>165</v>
      </c>
      <c r="D182" s="26" t="s">
        <v>164</v>
      </c>
      <c r="E182" s="373" t="e">
        <f>INDEX('PY1 Data(H)'!$A$1:$CZ$265,MATCH('Unit Data from Audit Worksheet'!$A182,'PY1 Data(H)'!$A$1:$A$258,0),MATCH('Unit Data from Audit Worksheet'!$D$2,'PY1 Data(H)'!$A$1:$CZ$1,0))</f>
        <v>#N/A</v>
      </c>
      <c r="F182" s="810">
        <v>0</v>
      </c>
      <c r="G182" s="403">
        <f>IF(F182&lt;0,"Error: Enter as positive.",)</f>
        <v>0</v>
      </c>
      <c r="H182" s="17"/>
      <c r="I182" s="72"/>
      <c r="J182" s="72"/>
      <c r="K182"/>
      <c r="L182" s="550"/>
    </row>
    <row r="183" spans="1:12" ht="92.25" customHeight="1" x14ac:dyDescent="0.3">
      <c r="A183" s="100">
        <v>987</v>
      </c>
      <c r="B183" s="375" t="s">
        <v>587</v>
      </c>
      <c r="C183" s="375"/>
      <c r="D183" s="21" t="s">
        <v>648</v>
      </c>
      <c r="E183" s="373" t="e">
        <f>INDEX('PY1 Data(H)'!$A$1:$CZ$265,MATCH('Unit Data from Audit Worksheet'!$A183,'PY1 Data(H)'!$A$1:$A$258,0),MATCH('Unit Data from Audit Worksheet'!$D$2,'PY1 Data(H)'!$A$1:$CZ$1,0))</f>
        <v>#N/A</v>
      </c>
      <c r="F183" s="810">
        <v>0</v>
      </c>
      <c r="G183" s="418" t="str">
        <f>IF(F183="","If this question is not applicable please place a zero in the cell to the left","")</f>
        <v/>
      </c>
      <c r="H183" s="386"/>
      <c r="I183" s="72"/>
      <c r="J183" s="72"/>
      <c r="K183"/>
      <c r="L183" s="550"/>
    </row>
    <row r="184" spans="1:12" ht="66.75" customHeight="1" x14ac:dyDescent="0.3">
      <c r="A184" s="100">
        <v>988</v>
      </c>
      <c r="B184" s="375" t="s">
        <v>587</v>
      </c>
      <c r="C184" s="375"/>
      <c r="D184" s="21" t="s">
        <v>647</v>
      </c>
      <c r="E184" s="373" t="e">
        <f>INDEX('PY1 Data(H)'!$A$1:$CZ$265,MATCH('Unit Data from Audit Worksheet'!$A184,'PY1 Data(H)'!$A$1:$A$258,0),MATCH('Unit Data from Audit Worksheet'!$D$2,'PY1 Data(H)'!$A$1:$CZ$1,0))</f>
        <v>#N/A</v>
      </c>
      <c r="F184" s="186"/>
      <c r="G184" s="403"/>
      <c r="H184" s="17"/>
      <c r="I184" s="72"/>
      <c r="J184" s="72"/>
      <c r="K184"/>
      <c r="L184" s="550"/>
    </row>
    <row r="185" spans="1:12" ht="90" customHeight="1" x14ac:dyDescent="0.3">
      <c r="A185" s="100">
        <v>989</v>
      </c>
      <c r="B185" s="375" t="s">
        <v>587</v>
      </c>
      <c r="C185" s="375"/>
      <c r="D185" s="21" t="s">
        <v>806</v>
      </c>
      <c r="E185" s="373" t="e">
        <f>INDEX('PY1 Data(H)'!$A$1:$CZ$265,MATCH('Unit Data from Audit Worksheet'!$A185,'PY1 Data(H)'!$A$1:$A$258,0),MATCH('Unit Data from Audit Worksheet'!$D$2,'PY1 Data(H)'!$A$1:$CZ$1,0))</f>
        <v>#N/A</v>
      </c>
      <c r="F185" s="186"/>
      <c r="G185" s="403"/>
      <c r="H185" s="17"/>
      <c r="I185" s="72"/>
      <c r="J185" s="72"/>
      <c r="K185"/>
      <c r="L185" s="550"/>
    </row>
    <row r="186" spans="1:12" ht="72" x14ac:dyDescent="0.3">
      <c r="A186" s="100"/>
      <c r="B186" s="502"/>
      <c r="C186" s="502"/>
      <c r="D186" s="503" t="s">
        <v>1629</v>
      </c>
      <c r="E186" s="505"/>
      <c r="F186" s="505"/>
      <c r="G186" s="506"/>
      <c r="H186" s="17"/>
      <c r="I186" s="72"/>
      <c r="J186" s="72"/>
      <c r="K186"/>
      <c r="L186" s="550"/>
    </row>
    <row r="187" spans="1:12" ht="30.6" customHeight="1" x14ac:dyDescent="0.3">
      <c r="A187" s="100"/>
      <c r="B187" s="279"/>
      <c r="C187" s="279"/>
      <c r="D187" s="419" t="s">
        <v>2620</v>
      </c>
      <c r="E187" s="373"/>
      <c r="F187" s="245"/>
      <c r="G187" s="409"/>
      <c r="H187" s="17"/>
      <c r="I187" s="72"/>
      <c r="J187" s="72"/>
      <c r="K187"/>
      <c r="L187" s="550"/>
    </row>
    <row r="188" spans="1:12" ht="48.75" customHeight="1" x14ac:dyDescent="0.3">
      <c r="A188" s="100"/>
      <c r="B188" s="279"/>
      <c r="C188" s="279"/>
      <c r="D188" s="21" t="s">
        <v>762</v>
      </c>
      <c r="E188" s="373"/>
      <c r="F188" s="245"/>
      <c r="G188" s="409"/>
      <c r="H188" s="17"/>
      <c r="I188" s="72"/>
      <c r="J188" s="72"/>
      <c r="K188"/>
      <c r="L188" s="550"/>
    </row>
    <row r="189" spans="1:12" ht="51.75" customHeight="1" x14ac:dyDescent="0.3">
      <c r="A189" s="100">
        <v>327</v>
      </c>
      <c r="B189" s="375" t="s">
        <v>36</v>
      </c>
      <c r="C189" s="375" t="s">
        <v>166</v>
      </c>
      <c r="D189" s="420" t="s">
        <v>763</v>
      </c>
      <c r="E189" s="373" t="e">
        <f>INDEX('PY1 Data(H)'!$A$1:$CZ$265,MATCH('Unit Data from Audit Worksheet'!$A189,'PY1 Data(H)'!$A$1:$A$258,0),MATCH('Unit Data from Audit Worksheet'!$D$2,'PY1 Data(H)'!$A$1:$CZ$1,0))</f>
        <v>#N/A</v>
      </c>
      <c r="F189" s="810">
        <v>0</v>
      </c>
      <c r="G189" s="409"/>
      <c r="H189" s="17"/>
      <c r="I189" s="405"/>
      <c r="J189" s="405"/>
      <c r="K189"/>
      <c r="L189" s="550"/>
    </row>
    <row r="190" spans="1:12" ht="51.75" customHeight="1" x14ac:dyDescent="0.3">
      <c r="A190" s="100">
        <v>328</v>
      </c>
      <c r="B190" s="375" t="s">
        <v>36</v>
      </c>
      <c r="C190" s="375" t="s">
        <v>166</v>
      </c>
      <c r="D190" s="27" t="s">
        <v>7</v>
      </c>
      <c r="E190" s="373" t="e">
        <f>INDEX('PY1 Data(H)'!$A$1:$CZ$265,MATCH('Unit Data from Audit Worksheet'!$A190,'PY1 Data(H)'!$A$1:$A$258,0),MATCH('Unit Data from Audit Worksheet'!$D$2,'PY1 Data(H)'!$A$1:$CZ$1,0))</f>
        <v>#N/A</v>
      </c>
      <c r="F190" s="810">
        <v>0</v>
      </c>
      <c r="G190" s="409"/>
      <c r="H190" s="17"/>
      <c r="I190" s="405"/>
      <c r="J190" s="405"/>
      <c r="K190"/>
      <c r="L190" s="550"/>
    </row>
    <row r="191" spans="1:12" ht="42" customHeight="1" x14ac:dyDescent="0.3">
      <c r="A191" s="100"/>
      <c r="B191" s="279"/>
      <c r="C191" s="279"/>
      <c r="D191" s="28" t="s">
        <v>764</v>
      </c>
      <c r="E191" s="93" t="e">
        <f>E189+E190</f>
        <v>#N/A</v>
      </c>
      <c r="F191" s="93">
        <f>SUM(F189:F190)</f>
        <v>0</v>
      </c>
      <c r="G191" s="409"/>
      <c r="H191" s="17"/>
      <c r="I191" s="72"/>
      <c r="J191" s="72"/>
      <c r="K191"/>
      <c r="L191" s="550"/>
    </row>
    <row r="192" spans="1:12" ht="28.8" x14ac:dyDescent="0.3">
      <c r="A192" s="100"/>
      <c r="B192" s="279"/>
      <c r="C192" s="279"/>
      <c r="D192" s="21" t="s">
        <v>765</v>
      </c>
      <c r="E192" s="1"/>
      <c r="F192" s="245"/>
      <c r="G192" s="409"/>
      <c r="H192" s="17"/>
      <c r="I192" s="72"/>
      <c r="J192" s="72"/>
      <c r="K192"/>
      <c r="L192" s="550"/>
    </row>
    <row r="193" spans="1:20" ht="24" customHeight="1" x14ac:dyDescent="0.3">
      <c r="A193" s="100"/>
      <c r="B193" s="279"/>
      <c r="C193" s="279"/>
      <c r="D193" s="25" t="s">
        <v>9</v>
      </c>
      <c r="F193" s="421"/>
      <c r="G193" s="409"/>
      <c r="H193" s="17"/>
      <c r="I193" s="72"/>
      <c r="J193" s="72"/>
      <c r="K193"/>
      <c r="L193" s="550"/>
    </row>
    <row r="194" spans="1:20" ht="72" customHeight="1" x14ac:dyDescent="0.3">
      <c r="A194" s="100">
        <v>515</v>
      </c>
      <c r="B194" s="957" t="s">
        <v>1949</v>
      </c>
      <c r="C194" s="375" t="s">
        <v>167</v>
      </c>
      <c r="D194" s="29" t="s">
        <v>3</v>
      </c>
      <c r="E194" s="373" t="e">
        <f>INDEX('PY1 Data(H)'!$A$1:$CZ$265,MATCH('Unit Data from Audit Worksheet'!$A194,'PY1 Data(H)'!$A$1:$A$258,0),MATCH('Unit Data from Audit Worksheet'!$D$2,'PY1 Data(H)'!$A$1:$CZ$1,0))</f>
        <v>#N/A</v>
      </c>
      <c r="F194" s="810">
        <v>0</v>
      </c>
      <c r="G194" s="403"/>
      <c r="H194" s="17"/>
      <c r="I194" s="72"/>
      <c r="J194" s="72"/>
      <c r="K194"/>
      <c r="L194" s="550"/>
    </row>
    <row r="195" spans="1:20" ht="75.599999999999994" customHeight="1" x14ac:dyDescent="0.3">
      <c r="A195" s="100">
        <v>516</v>
      </c>
      <c r="B195" s="957" t="s">
        <v>1949</v>
      </c>
      <c r="C195" s="375" t="s">
        <v>167</v>
      </c>
      <c r="D195" s="29" t="s">
        <v>4</v>
      </c>
      <c r="E195" s="373" t="e">
        <f>INDEX('PY1 Data(H)'!$A$1:$CZ$265,MATCH('Unit Data from Audit Worksheet'!$A195,'PY1 Data(H)'!$A$1:$A$258,0),MATCH('Unit Data from Audit Worksheet'!$D$2,'PY1 Data(H)'!$A$1:$CZ$1,0))</f>
        <v>#N/A</v>
      </c>
      <c r="F195" s="810">
        <v>0</v>
      </c>
      <c r="G195" s="403"/>
      <c r="H195" s="17"/>
      <c r="I195" s="72"/>
      <c r="J195" s="72"/>
      <c r="K195"/>
      <c r="L195" s="550"/>
    </row>
    <row r="196" spans="1:20" ht="73.2" customHeight="1" x14ac:dyDescent="0.3">
      <c r="A196" s="100">
        <v>517</v>
      </c>
      <c r="B196" s="957" t="s">
        <v>1949</v>
      </c>
      <c r="C196" s="375" t="s">
        <v>167</v>
      </c>
      <c r="D196" s="29" t="s">
        <v>5</v>
      </c>
      <c r="E196" s="373" t="e">
        <f>INDEX('PY1 Data(H)'!$A$1:$CZ$265,MATCH('Unit Data from Audit Worksheet'!$A196,'PY1 Data(H)'!$A$1:$A$258,0),MATCH('Unit Data from Audit Worksheet'!$D$2,'PY1 Data(H)'!$A$1:$CZ$1,0))</f>
        <v>#N/A</v>
      </c>
      <c r="F196" s="810">
        <v>0</v>
      </c>
      <c r="G196" s="403"/>
      <c r="H196" s="17"/>
      <c r="I196" s="72"/>
      <c r="J196" s="72"/>
      <c r="K196"/>
      <c r="L196" s="550"/>
    </row>
    <row r="197" spans="1:20" ht="78" customHeight="1" x14ac:dyDescent="0.3">
      <c r="A197" s="100">
        <v>518</v>
      </c>
      <c r="B197" s="957" t="s">
        <v>1949</v>
      </c>
      <c r="C197" s="375" t="s">
        <v>167</v>
      </c>
      <c r="D197" s="29" t="s">
        <v>38</v>
      </c>
      <c r="E197" s="373" t="e">
        <f>INDEX('PY1 Data(H)'!$A$1:$CZ$265,MATCH('Unit Data from Audit Worksheet'!$A197,'PY1 Data(H)'!$A$1:$A$258,0),MATCH('Unit Data from Audit Worksheet'!$D$2,'PY1 Data(H)'!$A$1:$CZ$1,0))</f>
        <v>#N/A</v>
      </c>
      <c r="F197" s="810">
        <v>0</v>
      </c>
      <c r="G197" s="403"/>
      <c r="H197" s="17"/>
      <c r="I197" s="72"/>
      <c r="J197" s="72"/>
      <c r="K197"/>
      <c r="L197" s="550"/>
    </row>
    <row r="198" spans="1:20" ht="51" customHeight="1" x14ac:dyDescent="0.3">
      <c r="A198" s="719"/>
      <c r="B198" s="279"/>
      <c r="C198" s="279"/>
      <c r="D198" s="422" t="s">
        <v>766</v>
      </c>
      <c r="E198" s="93" t="e">
        <f>E194+E195+E196+E197</f>
        <v>#N/A</v>
      </c>
      <c r="F198" s="93">
        <f>SUM(F194:F197)</f>
        <v>0</v>
      </c>
      <c r="G198" s="409"/>
      <c r="H198" s="17"/>
      <c r="I198" s="72"/>
      <c r="J198" s="72"/>
      <c r="K198"/>
      <c r="L198" s="550"/>
    </row>
    <row r="199" spans="1:20" ht="30.75" customHeight="1" x14ac:dyDescent="0.3">
      <c r="A199" s="100"/>
      <c r="B199" s="279"/>
      <c r="C199" s="279"/>
      <c r="D199" s="25" t="s">
        <v>47</v>
      </c>
      <c r="E199" s="1"/>
      <c r="F199" s="245"/>
      <c r="G199" s="409"/>
      <c r="H199" s="17"/>
      <c r="I199" s="72"/>
      <c r="J199" s="72"/>
      <c r="K199"/>
      <c r="L199" s="550"/>
    </row>
    <row r="200" spans="1:20" ht="63" customHeight="1" x14ac:dyDescent="0.3">
      <c r="A200" s="100">
        <v>519</v>
      </c>
      <c r="B200" s="375" t="s">
        <v>36</v>
      </c>
      <c r="C200" s="375" t="s">
        <v>168</v>
      </c>
      <c r="D200" s="29" t="s">
        <v>14</v>
      </c>
      <c r="E200" s="373" t="e">
        <f>INDEX('PY1 Data(H)'!$A$1:$CZ$265,MATCH('Unit Data from Audit Worksheet'!$A200,'PY1 Data(H)'!$A$1:$A$258,0),MATCH('Unit Data from Audit Worksheet'!$D$2,'PY1 Data(H)'!$A$1:$CZ$1,0))</f>
        <v>#N/A</v>
      </c>
      <c r="F200" s="810">
        <v>0</v>
      </c>
      <c r="G200" s="403">
        <f>IF(F200&lt;0,"Error: Enter as positive.",)</f>
        <v>0</v>
      </c>
      <c r="H200" s="17"/>
      <c r="I200" s="72"/>
      <c r="J200" s="72"/>
      <c r="K200"/>
      <c r="L200" s="550"/>
    </row>
    <row r="201" spans="1:20" ht="69.75" customHeight="1" x14ac:dyDescent="0.3">
      <c r="A201" s="100">
        <v>520</v>
      </c>
      <c r="B201" s="375" t="s">
        <v>36</v>
      </c>
      <c r="C201" s="375" t="s">
        <v>168</v>
      </c>
      <c r="D201" s="29" t="s">
        <v>16</v>
      </c>
      <c r="E201" s="373" t="e">
        <f>INDEX('PY1 Data(H)'!$A$1:$CZ$265,MATCH('Unit Data from Audit Worksheet'!$A201,'PY1 Data(H)'!$A$1:$A$258,0),MATCH('Unit Data from Audit Worksheet'!$D$2,'PY1 Data(H)'!$A$1:$CZ$1,0))</f>
        <v>#N/A</v>
      </c>
      <c r="F201" s="810">
        <v>0</v>
      </c>
      <c r="G201" s="403">
        <f>IF(F201&lt;0,"Error: Enter as positive.",)</f>
        <v>0</v>
      </c>
      <c r="H201" s="17"/>
      <c r="I201" s="72"/>
      <c r="J201" s="72"/>
      <c r="K201"/>
      <c r="L201" s="550"/>
    </row>
    <row r="202" spans="1:20" ht="72" customHeight="1" x14ac:dyDescent="0.3">
      <c r="A202" s="100">
        <v>521</v>
      </c>
      <c r="B202" s="375" t="s">
        <v>36</v>
      </c>
      <c r="C202" s="375" t="s">
        <v>168</v>
      </c>
      <c r="D202" s="29" t="s">
        <v>18</v>
      </c>
      <c r="E202" s="373" t="e">
        <f>INDEX('PY1 Data(H)'!$A$1:$CZ$265,MATCH('Unit Data from Audit Worksheet'!$A202,'PY1 Data(H)'!$A$1:$A$258,0),MATCH('Unit Data from Audit Worksheet'!$D$2,'PY1 Data(H)'!$A$1:$CZ$1,0))</f>
        <v>#N/A</v>
      </c>
      <c r="F202" s="810">
        <v>0</v>
      </c>
      <c r="G202" s="403">
        <f>IF(F202&lt;0,"Error: Enter as positive.",)</f>
        <v>0</v>
      </c>
      <c r="H202" s="17"/>
      <c r="I202" s="72"/>
      <c r="J202" s="72"/>
      <c r="K202"/>
      <c r="L202" s="550"/>
    </row>
    <row r="203" spans="1:20" ht="74.25" customHeight="1" x14ac:dyDescent="0.3">
      <c r="A203" s="100">
        <v>522</v>
      </c>
      <c r="B203" s="375" t="s">
        <v>36</v>
      </c>
      <c r="C203" s="375" t="s">
        <v>168</v>
      </c>
      <c r="D203" s="29" t="s">
        <v>39</v>
      </c>
      <c r="E203" s="373" t="e">
        <f>INDEX('PY1 Data(H)'!$A$1:$CZ$265,MATCH('Unit Data from Audit Worksheet'!$A203,'PY1 Data(H)'!$A$1:$A$258,0),MATCH('Unit Data from Audit Worksheet'!$D$2,'PY1 Data(H)'!$A$1:$CZ$1,0))</f>
        <v>#N/A</v>
      </c>
      <c r="F203" s="810">
        <v>0</v>
      </c>
      <c r="G203" s="403">
        <f>IF(F203&lt;0,"Error: Enter as positive.",)</f>
        <v>0</v>
      </c>
      <c r="H203" s="17"/>
      <c r="I203" s="72"/>
      <c r="J203" s="72"/>
      <c r="K203"/>
      <c r="L203" s="550"/>
    </row>
    <row r="204" spans="1:20" ht="31.5" customHeight="1" x14ac:dyDescent="0.3">
      <c r="A204" s="717"/>
      <c r="B204" s="279"/>
      <c r="C204" s="279"/>
      <c r="D204" s="423" t="s">
        <v>33</v>
      </c>
      <c r="E204" s="93" t="e">
        <f>E200+E201+E202+E203</f>
        <v>#N/A</v>
      </c>
      <c r="F204" s="93">
        <f>SUM(F200:F203)</f>
        <v>0</v>
      </c>
      <c r="G204" s="123"/>
      <c r="H204" s="17"/>
      <c r="I204" s="72"/>
      <c r="J204" s="72"/>
      <c r="K204"/>
      <c r="L204" s="550"/>
    </row>
    <row r="205" spans="1:20" ht="26.25" customHeight="1" x14ac:dyDescent="0.3">
      <c r="A205" s="717"/>
      <c r="B205" s="279"/>
      <c r="C205" s="279"/>
      <c r="D205" s="25" t="s">
        <v>31</v>
      </c>
      <c r="E205" s="6"/>
      <c r="F205" s="424"/>
      <c r="G205" s="123"/>
      <c r="H205" s="17"/>
      <c r="I205" s="1053"/>
      <c r="J205"/>
      <c r="K205"/>
      <c r="L205"/>
      <c r="N205"/>
      <c r="O205"/>
      <c r="P205"/>
      <c r="Q205"/>
      <c r="R205"/>
      <c r="S205"/>
      <c r="T205"/>
    </row>
    <row r="206" spans="1:20" ht="89.25" customHeight="1" x14ac:dyDescent="0.3">
      <c r="A206" s="100">
        <v>523</v>
      </c>
      <c r="B206" s="957" t="s">
        <v>1949</v>
      </c>
      <c r="C206" s="375" t="s">
        <v>169</v>
      </c>
      <c r="D206" s="29" t="s">
        <v>15</v>
      </c>
      <c r="E206" s="373" t="e">
        <f>INDEX('PY1 Data(H)'!$A$1:$CZ$265,MATCH('Unit Data from Audit Worksheet'!$A206,'PY1 Data(H)'!$A$1:$A$258,0),MATCH('Unit Data from Audit Worksheet'!$D$2,'PY1 Data(H)'!$A$1:$CZ$1,0))</f>
        <v>#N/A</v>
      </c>
      <c r="F206" s="810">
        <v>0</v>
      </c>
      <c r="G206" s="403">
        <f>IF(F206&lt;0,"Error: Enter as positive.",)</f>
        <v>0</v>
      </c>
      <c r="H206" s="17"/>
      <c r="I206" s="1053"/>
      <c r="J206"/>
      <c r="K206"/>
      <c r="L206"/>
      <c r="N206"/>
      <c r="O206"/>
      <c r="P206"/>
      <c r="Q206"/>
      <c r="R206"/>
      <c r="S206"/>
      <c r="T206"/>
    </row>
    <row r="207" spans="1:20" ht="75" customHeight="1" x14ac:dyDescent="0.3">
      <c r="A207" s="100">
        <v>524</v>
      </c>
      <c r="B207" s="957" t="s">
        <v>1949</v>
      </c>
      <c r="C207" s="375" t="s">
        <v>169</v>
      </c>
      <c r="D207" s="29" t="s">
        <v>17</v>
      </c>
      <c r="E207" s="373" t="e">
        <f>INDEX('PY1 Data(H)'!$A$1:$CZ$265,MATCH('Unit Data from Audit Worksheet'!$A207,'PY1 Data(H)'!$A$1:$A$258,0),MATCH('Unit Data from Audit Worksheet'!$D$2,'PY1 Data(H)'!$A$1:$CZ$1,0))</f>
        <v>#N/A</v>
      </c>
      <c r="F207" s="810">
        <v>0</v>
      </c>
      <c r="G207" s="403">
        <f>IF(F207&lt;0,"Error: Enter as positive.",)</f>
        <v>0</v>
      </c>
      <c r="H207" s="17"/>
      <c r="I207" s="1053"/>
      <c r="J207"/>
      <c r="K207"/>
      <c r="L207"/>
      <c r="N207"/>
      <c r="O207"/>
      <c r="P207"/>
      <c r="Q207"/>
      <c r="R207"/>
      <c r="S207"/>
      <c r="T207"/>
    </row>
    <row r="208" spans="1:20" ht="75" customHeight="1" x14ac:dyDescent="0.3">
      <c r="A208" s="100">
        <v>525</v>
      </c>
      <c r="B208" s="957" t="s">
        <v>1949</v>
      </c>
      <c r="C208" s="375" t="s">
        <v>169</v>
      </c>
      <c r="D208" s="29" t="s">
        <v>19</v>
      </c>
      <c r="E208" s="373" t="e">
        <f>INDEX('PY1 Data(H)'!$A$1:$CZ$265,MATCH('Unit Data from Audit Worksheet'!$A208,'PY1 Data(H)'!$A$1:$A$258,0),MATCH('Unit Data from Audit Worksheet'!$D$2,'PY1 Data(H)'!$A$1:$CZ$1,0))</f>
        <v>#N/A</v>
      </c>
      <c r="F208" s="810">
        <v>0</v>
      </c>
      <c r="G208" s="403">
        <f>IF(F208&lt;0,"Error: Enter as positive.",)</f>
        <v>0</v>
      </c>
      <c r="H208" s="17"/>
      <c r="I208" s="1053"/>
      <c r="J208"/>
      <c r="K208"/>
      <c r="L208"/>
      <c r="N208"/>
      <c r="O208"/>
      <c r="P208"/>
      <c r="Q208"/>
      <c r="R208"/>
      <c r="S208"/>
      <c r="T208"/>
    </row>
    <row r="209" spans="1:1881" ht="76.5" customHeight="1" x14ac:dyDescent="0.3">
      <c r="A209" s="100">
        <v>526</v>
      </c>
      <c r="B209" s="957" t="s">
        <v>1949</v>
      </c>
      <c r="C209" s="375" t="s">
        <v>169</v>
      </c>
      <c r="D209" s="29" t="s">
        <v>40</v>
      </c>
      <c r="E209" s="373" t="e">
        <f>INDEX('PY1 Data(H)'!$A$1:$CZ$265,MATCH('Unit Data from Audit Worksheet'!$A209,'PY1 Data(H)'!$A$1:$A$258,0),MATCH('Unit Data from Audit Worksheet'!$D$2,'PY1 Data(H)'!$A$1:$CZ$1,0))</f>
        <v>#N/A</v>
      </c>
      <c r="F209" s="810">
        <v>0</v>
      </c>
      <c r="G209" s="403">
        <f>IF(F209&lt;0,"Error: Enter as positive.",)</f>
        <v>0</v>
      </c>
      <c r="H209" s="17"/>
      <c r="I209" s="1053"/>
      <c r="J209"/>
      <c r="K209"/>
      <c r="L209"/>
      <c r="N209"/>
      <c r="O209"/>
      <c r="P209"/>
      <c r="Q209"/>
      <c r="R209"/>
      <c r="S209"/>
      <c r="T209"/>
    </row>
    <row r="210" spans="1:1881" ht="24.75" customHeight="1" x14ac:dyDescent="0.3">
      <c r="A210" s="100"/>
      <c r="B210" s="466"/>
      <c r="C210" s="466"/>
      <c r="D210" s="423" t="s">
        <v>32</v>
      </c>
      <c r="E210" s="93" t="e">
        <f>E206+E207+E208+E209</f>
        <v>#N/A</v>
      </c>
      <c r="F210" s="93">
        <f>SUM(F206:F209)</f>
        <v>0</v>
      </c>
      <c r="G210" s="409"/>
      <c r="H210" s="17"/>
      <c r="I210" s="72"/>
      <c r="J210" s="72"/>
      <c r="K210"/>
      <c r="L210" s="550"/>
    </row>
    <row r="211" spans="1:1881" ht="61.5" customHeight="1" x14ac:dyDescent="0.3">
      <c r="A211" s="100"/>
      <c r="B211" s="466"/>
      <c r="C211" s="466"/>
      <c r="D211" s="425" t="s">
        <v>34</v>
      </c>
      <c r="E211" s="93" t="e">
        <f>E191+E198-E210</f>
        <v>#N/A</v>
      </c>
      <c r="F211" s="93">
        <f>F191+F198-F210</f>
        <v>0</v>
      </c>
      <c r="G211" s="409"/>
      <c r="H211" s="17"/>
      <c r="I211" s="72"/>
      <c r="J211" s="72"/>
      <c r="K211"/>
      <c r="L211" s="550"/>
    </row>
    <row r="212" spans="1:1881" ht="21.6" customHeight="1" x14ac:dyDescent="0.3">
      <c r="A212" s="100"/>
      <c r="B212" s="279"/>
      <c r="C212" s="279"/>
      <c r="D212" s="417"/>
      <c r="E212" s="1"/>
      <c r="F212" s="245"/>
      <c r="G212" s="409"/>
      <c r="H212" s="17"/>
      <c r="I212" s="72"/>
      <c r="J212" s="72"/>
      <c r="K212"/>
      <c r="L212" s="550"/>
    </row>
    <row r="213" spans="1:1881" ht="34.5" customHeight="1" x14ac:dyDescent="0.3">
      <c r="A213" s="100"/>
      <c r="B213" s="502"/>
      <c r="C213" s="502"/>
      <c r="D213" s="494" t="s">
        <v>8</v>
      </c>
      <c r="E213" s="504"/>
      <c r="F213" s="505"/>
      <c r="G213" s="506"/>
      <c r="H213" s="17"/>
      <c r="I213" s="72"/>
      <c r="J213" s="72"/>
      <c r="K213"/>
      <c r="L213" s="550"/>
    </row>
    <row r="214" spans="1:1881" ht="55.5" customHeight="1" x14ac:dyDescent="0.3">
      <c r="A214" s="100">
        <v>527</v>
      </c>
      <c r="B214" s="957" t="s">
        <v>1955</v>
      </c>
      <c r="C214" s="375" t="s">
        <v>170</v>
      </c>
      <c r="D214" s="26" t="s">
        <v>767</v>
      </c>
      <c r="E214" s="373" t="e">
        <f>INDEX('PY1 Data(H)'!$A$1:$CZ$265,MATCH('Unit Data from Audit Worksheet'!$A214,'PY1 Data(H)'!$A$1:$A$258,0),MATCH('Unit Data from Audit Worksheet'!$D$2,'PY1 Data(H)'!$A$1:$CZ$1,0))</f>
        <v>#N/A</v>
      </c>
      <c r="F214" s="810">
        <v>0</v>
      </c>
      <c r="G214" s="409"/>
      <c r="H214" s="17"/>
      <c r="I214" s="405"/>
      <c r="J214" s="405"/>
      <c r="K214"/>
      <c r="L214" s="550"/>
    </row>
    <row r="215" spans="1:1881" ht="55.5" customHeight="1" x14ac:dyDescent="0.3">
      <c r="A215" s="100">
        <v>356</v>
      </c>
      <c r="B215" s="957" t="s">
        <v>1954</v>
      </c>
      <c r="C215" s="375" t="s">
        <v>170</v>
      </c>
      <c r="D215" s="99" t="s">
        <v>20</v>
      </c>
      <c r="E215" s="373" t="e">
        <f>INDEX('PY1 Data(H)'!$A$1:$CZ$265,MATCH('Unit Data from Audit Worksheet'!$A215,'PY1 Data(H)'!$A$1:$A$258,0),MATCH('Unit Data from Audit Worksheet'!$D$2,'PY1 Data(H)'!$A$1:$CZ$1,0))</f>
        <v>#N/A</v>
      </c>
      <c r="F215" s="810">
        <v>0</v>
      </c>
      <c r="G215" s="409"/>
      <c r="H215" s="17"/>
      <c r="I215" s="405"/>
      <c r="J215" s="405"/>
      <c r="K215"/>
      <c r="L215" s="550"/>
    </row>
    <row r="216" spans="1:1881" ht="55.5" customHeight="1" x14ac:dyDescent="0.3">
      <c r="A216" s="100">
        <v>357</v>
      </c>
      <c r="B216" s="375" t="s">
        <v>55</v>
      </c>
      <c r="C216" s="375" t="s">
        <v>171</v>
      </c>
      <c r="D216" s="99" t="s">
        <v>21</v>
      </c>
      <c r="E216" s="373" t="e">
        <f>INDEX('PY1 Data(H)'!$A$1:$CZ$265,MATCH('Unit Data from Audit Worksheet'!$A216,'PY1 Data(H)'!$A$1:$A$258,0),MATCH('Unit Data from Audit Worksheet'!$D$2,'PY1 Data(H)'!$A$1:$CZ$1,0))</f>
        <v>#N/A</v>
      </c>
      <c r="F216" s="810">
        <v>0</v>
      </c>
      <c r="G216" s="403">
        <f>IF(F216&lt;0,"Error: Enter as positive.",)</f>
        <v>0</v>
      </c>
      <c r="H216" s="17"/>
      <c r="I216" s="405"/>
      <c r="J216" s="405"/>
      <c r="K216"/>
      <c r="L216" s="550"/>
    </row>
    <row r="217" spans="1:1881" s="18" customFormat="1" ht="35.25" customHeight="1" x14ac:dyDescent="0.3">
      <c r="A217" s="100"/>
      <c r="B217" s="492" t="s">
        <v>10</v>
      </c>
      <c r="C217" s="502"/>
      <c r="D217" s="470"/>
      <c r="E217" s="507"/>
      <c r="F217" s="507"/>
      <c r="G217" s="489"/>
      <c r="H217" s="17"/>
      <c r="I217" s="72"/>
      <c r="J217" s="72"/>
      <c r="K217"/>
      <c r="L217" s="550"/>
      <c r="M217"/>
      <c r="O217" s="18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row>
    <row r="218" spans="1:1881" s="18" customFormat="1" ht="253.2" customHeight="1" x14ac:dyDescent="0.3">
      <c r="A218" s="100">
        <v>337</v>
      </c>
      <c r="B218" s="4" t="s">
        <v>55</v>
      </c>
      <c r="C218" s="4" t="s">
        <v>768</v>
      </c>
      <c r="D218" s="21" t="s">
        <v>649</v>
      </c>
      <c r="E218" s="373" t="e">
        <f>INDEX('PY1 Data(H)'!$A$1:$CZ$265,MATCH('Unit Data from Audit Worksheet'!$A218,'PY1 Data(H)'!$A$1:$A$258,0),MATCH('Unit Data from Audit Worksheet'!$D$2,'PY1 Data(H)'!$A$1:$CZ$1,0))</f>
        <v>#N/A</v>
      </c>
      <c r="F218" s="810">
        <v>0</v>
      </c>
      <c r="G218" s="403">
        <f>IF(F218&lt;0,"Error: Enter as positive.",)</f>
        <v>0</v>
      </c>
      <c r="H218" s="17"/>
      <c r="I218" s="72"/>
      <c r="J218" s="72"/>
      <c r="K218"/>
      <c r="L218" s="550"/>
      <c r="M218"/>
      <c r="O218" s="187"/>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row>
    <row r="219" spans="1:1881" s="18" customFormat="1" ht="81.75" customHeight="1" x14ac:dyDescent="0.3">
      <c r="A219" s="100">
        <v>343</v>
      </c>
      <c r="B219" s="4" t="s">
        <v>55</v>
      </c>
      <c r="C219" s="4" t="s">
        <v>339</v>
      </c>
      <c r="D219" s="26" t="s">
        <v>769</v>
      </c>
      <c r="E219" s="373" t="e">
        <f>INDEX('PY1 Data(H)'!$A$1:$CZ$265,MATCH('Unit Data from Audit Worksheet'!$A219,'PY1 Data(H)'!$A$1:$A$258,0),MATCH('Unit Data from Audit Worksheet'!$D$2,'PY1 Data(H)'!$A$1:$CZ$1,0))</f>
        <v>#N/A</v>
      </c>
      <c r="F219" s="810">
        <v>0</v>
      </c>
      <c r="G219" s="403">
        <f>IF(F219&lt;0,"Error: Enter as positive.",)</f>
        <v>0</v>
      </c>
      <c r="H219" s="17"/>
      <c r="I219" s="72"/>
      <c r="J219" s="72"/>
      <c r="K219"/>
      <c r="L219" s="550"/>
      <c r="M219"/>
      <c r="N219" s="91"/>
      <c r="O219" s="187"/>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row>
    <row r="220" spans="1:1881" ht="274.5" customHeight="1" x14ac:dyDescent="0.3">
      <c r="A220" s="100">
        <v>82</v>
      </c>
      <c r="B220" s="4" t="s">
        <v>60</v>
      </c>
      <c r="C220" s="4" t="s">
        <v>770</v>
      </c>
      <c r="D220" s="21" t="s">
        <v>454</v>
      </c>
      <c r="E220" s="373" t="e">
        <f>INDEX('PY1 Data(H)'!$A$1:$CZ$265,MATCH('Unit Data from Audit Worksheet'!$A220,'PY1 Data(H)'!$A$1:$A$258,0),MATCH('Unit Data from Audit Worksheet'!$D$2,'PY1 Data(H)'!$A$1:$CZ$1,0))</f>
        <v>#N/A</v>
      </c>
      <c r="F220" s="820">
        <v>0</v>
      </c>
      <c r="G220" s="403">
        <f>IF(F220&lt;0,"Error: Enter as positive.",)</f>
        <v>0</v>
      </c>
      <c r="H220" s="17"/>
      <c r="I220" s="426"/>
      <c r="J220" s="426"/>
      <c r="K220"/>
      <c r="L220" s="550"/>
    </row>
    <row r="221" spans="1:1881" ht="270.75" customHeight="1" x14ac:dyDescent="0.3">
      <c r="A221" s="100">
        <v>359</v>
      </c>
      <c r="B221" s="4" t="s">
        <v>55</v>
      </c>
      <c r="C221" s="4" t="s">
        <v>771</v>
      </c>
      <c r="D221" s="21" t="s">
        <v>454</v>
      </c>
      <c r="E221" s="373" t="e">
        <f>INDEX('PY1 Data(H)'!$A$1:$CZ$265,MATCH('Unit Data from Audit Worksheet'!$A221,'PY1 Data(H)'!$A$1:$A$258,0),MATCH('Unit Data from Audit Worksheet'!$D$2,'PY1 Data(H)'!$A$1:$CZ$1,0))</f>
        <v>#N/A</v>
      </c>
      <c r="F221" s="810">
        <v>0</v>
      </c>
      <c r="G221" s="403">
        <f>IF(F221&lt;0,"Error: Enter as positive.",)</f>
        <v>0</v>
      </c>
      <c r="H221" s="17"/>
      <c r="I221" s="426"/>
      <c r="J221" s="426"/>
      <c r="K221"/>
      <c r="L221" s="550"/>
    </row>
    <row r="222" spans="1:1881" s="428" customFormat="1" ht="33" customHeight="1" x14ac:dyDescent="0.3">
      <c r="A222" s="100"/>
      <c r="B222" s="750" t="s">
        <v>355</v>
      </c>
      <c r="C222" s="722"/>
      <c r="D222" s="89"/>
      <c r="E222" s="427"/>
      <c r="F222" s="415"/>
      <c r="G222" s="402"/>
      <c r="H222" s="17"/>
      <c r="I222" s="426"/>
      <c r="J222" s="426"/>
      <c r="K222"/>
      <c r="L222" s="550"/>
      <c r="M222"/>
      <c r="N222" s="18"/>
      <c r="O222" s="187"/>
      <c r="P222" s="18"/>
      <c r="Q222" s="18"/>
      <c r="R222" s="18"/>
      <c r="S222" s="18"/>
      <c r="T222" s="18"/>
      <c r="U222" s="18"/>
      <c r="V222" s="18"/>
      <c r="W222" s="18"/>
      <c r="X222" s="18"/>
      <c r="Y222" s="18"/>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c r="BTI222" s="18"/>
    </row>
    <row r="223" spans="1:1881" s="428" customFormat="1" ht="110.25" customHeight="1" x14ac:dyDescent="0.3">
      <c r="A223" s="100">
        <v>622</v>
      </c>
      <c r="B223" s="429" t="s">
        <v>326</v>
      </c>
      <c r="C223" s="117" t="s">
        <v>354</v>
      </c>
      <c r="D223" s="116" t="s">
        <v>673</v>
      </c>
      <c r="E223" s="373" t="e">
        <f>INDEX('PY1 Data(H)'!$A$1:$CZ$265,MATCH('Unit Data from Audit Worksheet'!$A223,'PY1 Data(H)'!$A$1:$A$258,0),MATCH('Unit Data from Audit Worksheet'!$D$2,'PY1 Data(H)'!$A$1:$CZ$1,0))</f>
        <v>#N/A</v>
      </c>
      <c r="F223" s="820">
        <v>0</v>
      </c>
      <c r="G223" s="403"/>
      <c r="H223" s="17"/>
      <c r="I223" s="426"/>
      <c r="J223" s="426"/>
      <c r="K223"/>
      <c r="L223" s="550"/>
      <c r="M223"/>
      <c r="N223" s="18"/>
      <c r="O223" s="187"/>
      <c r="P223" s="18"/>
      <c r="Q223" s="18"/>
      <c r="R223" s="18"/>
      <c r="S223" s="18"/>
      <c r="T223" s="18"/>
      <c r="U223" s="18"/>
      <c r="V223" s="18"/>
      <c r="W223" s="18"/>
      <c r="X223" s="18"/>
      <c r="Y223" s="18"/>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c r="BTI223" s="18"/>
    </row>
    <row r="224" spans="1:1881" s="428" customFormat="1" ht="191.4" customHeight="1" x14ac:dyDescent="0.3">
      <c r="A224" s="100">
        <v>577</v>
      </c>
      <c r="B224" s="429" t="s">
        <v>326</v>
      </c>
      <c r="C224" s="375" t="s">
        <v>298</v>
      </c>
      <c r="D224" s="228" t="s">
        <v>1530</v>
      </c>
      <c r="E224" s="531"/>
      <c r="F224" s="810"/>
      <c r="G224" s="533" t="str">
        <f>IF(F224="Yes","In this cell - Please include the name of the plan, a brief description of the benefit and the population group that received the benefits."," ")</f>
        <v xml:space="preserve"> </v>
      </c>
      <c r="H224" s="17"/>
      <c r="I224" s="426"/>
      <c r="J224" s="426"/>
      <c r="K224"/>
      <c r="L224" s="550"/>
      <c r="M224"/>
      <c r="N224" s="18"/>
      <c r="O224" s="187"/>
      <c r="P224" s="18"/>
      <c r="Q224" s="18"/>
      <c r="R224" s="18"/>
      <c r="S224" s="18"/>
      <c r="T224" s="18"/>
      <c r="U224" s="18"/>
      <c r="V224" s="18"/>
      <c r="W224" s="18"/>
      <c r="X224" s="18"/>
      <c r="Y224" s="18"/>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c r="BTI224" s="18"/>
    </row>
    <row r="225" spans="1:1881" s="428" customFormat="1" ht="30.75" customHeight="1" x14ac:dyDescent="0.3">
      <c r="A225" s="100"/>
      <c r="B225" s="750" t="s">
        <v>286</v>
      </c>
      <c r="C225" s="722"/>
      <c r="D225" s="89"/>
      <c r="E225" s="427"/>
      <c r="F225" s="430"/>
      <c r="G225" s="402"/>
      <c r="H225" s="17"/>
      <c r="I225" s="72"/>
      <c r="J225" s="72"/>
      <c r="K225"/>
      <c r="L225" s="550"/>
      <c r="M225"/>
      <c r="N225" s="18"/>
      <c r="O225" s="187"/>
      <c r="P225" s="18"/>
      <c r="Q225" s="18"/>
      <c r="R225" s="18"/>
      <c r="S225" s="18"/>
      <c r="T225" s="18"/>
      <c r="U225" s="18"/>
      <c r="V225" s="18"/>
      <c r="W225" s="18"/>
      <c r="X225" s="18"/>
      <c r="Y225" s="18"/>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c r="BTI225" s="18"/>
    </row>
    <row r="226" spans="1:1881" s="428" customFormat="1" ht="81.75" customHeight="1" x14ac:dyDescent="0.3">
      <c r="A226" s="100">
        <v>598</v>
      </c>
      <c r="B226" s="375" t="s">
        <v>58</v>
      </c>
      <c r="C226" s="375" t="s">
        <v>287</v>
      </c>
      <c r="D226" s="385" t="s">
        <v>340</v>
      </c>
      <c r="E226" s="373" t="e">
        <f>INDEX('PY1 Data(H)'!$A$1:$CZ$265,MATCH('Unit Data from Audit Worksheet'!$A226,'PY1 Data(H)'!$A$1:$A$258,0),MATCH('Unit Data from Audit Worksheet'!$D$2,'PY1 Data(H)'!$A$1:$CZ$1,0))</f>
        <v>#N/A</v>
      </c>
      <c r="F226" s="810">
        <v>0</v>
      </c>
      <c r="G226" s="403">
        <f>IF(F226&lt;0,"Error: Enter as positive.",)</f>
        <v>0</v>
      </c>
      <c r="H226" s="403"/>
      <c r="I226" s="426"/>
      <c r="J226" s="426"/>
      <c r="K226"/>
      <c r="L226" s="550"/>
      <c r="M226"/>
      <c r="N226" s="18"/>
      <c r="O226" s="187"/>
      <c r="P226" s="18"/>
      <c r="Q226" s="18"/>
      <c r="R226" s="18"/>
      <c r="S226" s="18"/>
      <c r="T226" s="18"/>
      <c r="U226" s="18"/>
      <c r="V226" s="18"/>
      <c r="W226" s="18"/>
      <c r="X226" s="18"/>
      <c r="Y226" s="18"/>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c r="BTI226" s="18"/>
    </row>
    <row r="227" spans="1:1881" s="428" customFormat="1" ht="53.25" customHeight="1" x14ac:dyDescent="0.3">
      <c r="A227" s="100">
        <v>599</v>
      </c>
      <c r="B227" s="375" t="s">
        <v>58</v>
      </c>
      <c r="C227" s="375" t="s">
        <v>287</v>
      </c>
      <c r="D227" s="26" t="s">
        <v>341</v>
      </c>
      <c r="E227" s="373" t="e">
        <f>INDEX('PY1 Data(H)'!$A$1:$CZ$265,MATCH('Unit Data from Audit Worksheet'!$A227,'PY1 Data(H)'!$A$1:$A$258,0),MATCH('Unit Data from Audit Worksheet'!$D$2,'PY1 Data(H)'!$A$1:$CZ$1,0))</f>
        <v>#N/A</v>
      </c>
      <c r="F227" s="810">
        <v>0</v>
      </c>
      <c r="G227" s="432" t="str">
        <f>IF(ISBLANK(F227),"Please do not leave blank","")</f>
        <v/>
      </c>
      <c r="H227" s="403">
        <f>IF(F227&lt;0,"Error: Enter as positive.",)</f>
        <v>0</v>
      </c>
      <c r="I227" s="72"/>
      <c r="J227" s="72"/>
      <c r="K227"/>
      <c r="L227" s="550"/>
      <c r="M227"/>
      <c r="N227" s="18"/>
      <c r="O227" s="187"/>
      <c r="P227" s="18"/>
      <c r="Q227" s="18"/>
      <c r="R227" s="18"/>
      <c r="S227" s="18"/>
      <c r="T227" s="18"/>
      <c r="U227" s="18"/>
      <c r="V227" s="18"/>
      <c r="W227" s="18"/>
      <c r="X227" s="18"/>
      <c r="Y227" s="18"/>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c r="BTI227" s="18"/>
    </row>
    <row r="228" spans="1:1881" s="428" customFormat="1" ht="78.75" customHeight="1" x14ac:dyDescent="0.3">
      <c r="A228" s="100">
        <v>602</v>
      </c>
      <c r="B228" s="375" t="s">
        <v>58</v>
      </c>
      <c r="C228" s="375" t="s">
        <v>287</v>
      </c>
      <c r="D228" s="99" t="s">
        <v>345</v>
      </c>
      <c r="E228" s="373" t="e">
        <f>INDEX('PY1 Data(H)'!$A$1:$CZ$265,MATCH('Unit Data from Audit Worksheet'!$A228,'PY1 Data(H)'!$A$1:$A$258,0),MATCH('Unit Data from Audit Worksheet'!$D$2,'PY1 Data(H)'!$A$1:$CZ$1,0))</f>
        <v>#N/A</v>
      </c>
      <c r="F228" s="810">
        <v>0</v>
      </c>
      <c r="G228" s="432" t="str">
        <f>IF(ISBLANK(F228),"Please do not leave blank","")</f>
        <v/>
      </c>
      <c r="H228" s="403">
        <f>IF(F228&lt;0,"Note: Number is normally positive.",)</f>
        <v>0</v>
      </c>
      <c r="I228" s="72"/>
      <c r="J228" s="72"/>
      <c r="K228"/>
      <c r="L228" s="550"/>
      <c r="M228"/>
      <c r="N228" s="18"/>
      <c r="O228" s="187"/>
      <c r="P228" s="18"/>
      <c r="Q228" s="18"/>
      <c r="R228" s="18"/>
      <c r="S228" s="18"/>
      <c r="T228" s="18"/>
      <c r="U228" s="18"/>
      <c r="V228" s="18"/>
      <c r="W228" s="18"/>
      <c r="X228" s="18"/>
      <c r="Y228" s="1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c r="GQ228" s="18"/>
      <c r="GR228" s="18"/>
      <c r="GS228" s="18"/>
      <c r="GT228" s="18"/>
      <c r="GU228" s="18"/>
      <c r="GV228" s="18"/>
      <c r="GW228" s="18"/>
      <c r="GX228" s="18"/>
      <c r="GY228" s="18"/>
      <c r="GZ228" s="18"/>
      <c r="HA228" s="18"/>
      <c r="HB228" s="18"/>
      <c r="HC228" s="18"/>
      <c r="HD228" s="18"/>
      <c r="HE228" s="18"/>
      <c r="HF228" s="18"/>
      <c r="HG228" s="18"/>
      <c r="HH228" s="18"/>
      <c r="HI228" s="18"/>
      <c r="HJ228" s="18"/>
      <c r="HK228" s="18"/>
      <c r="HL228" s="18"/>
      <c r="HM228" s="18"/>
      <c r="HN228" s="18"/>
      <c r="HO228" s="18"/>
      <c r="HP228" s="18"/>
      <c r="HQ228" s="18"/>
      <c r="HR228" s="18"/>
      <c r="HS228" s="18"/>
      <c r="HT228" s="18"/>
      <c r="HU228" s="18"/>
      <c r="HV228" s="18"/>
      <c r="HW228" s="18"/>
      <c r="HX228" s="18"/>
      <c r="HY228" s="18"/>
      <c r="HZ228" s="18"/>
      <c r="IA228" s="18"/>
      <c r="IB228" s="18"/>
      <c r="IC228" s="18"/>
      <c r="ID228" s="18"/>
      <c r="IE228" s="18"/>
      <c r="IF228" s="18"/>
      <c r="IG228" s="18"/>
      <c r="IH228" s="18"/>
      <c r="II228" s="18"/>
      <c r="IJ228" s="18"/>
      <c r="IK228" s="18"/>
      <c r="IL228" s="18"/>
      <c r="IM228" s="18"/>
      <c r="IN228" s="18"/>
      <c r="IO228" s="18"/>
      <c r="IP228" s="18"/>
      <c r="IQ228" s="18"/>
      <c r="IR228" s="18"/>
      <c r="IS228" s="18"/>
      <c r="IT228" s="18"/>
      <c r="IU228" s="18"/>
      <c r="IV228" s="18"/>
      <c r="IW228" s="18"/>
      <c r="IX228" s="18"/>
      <c r="IY228" s="18"/>
      <c r="IZ228" s="18"/>
      <c r="JA228" s="18"/>
      <c r="JB228" s="18"/>
      <c r="JC228" s="18"/>
      <c r="JD228" s="18"/>
      <c r="JE228" s="18"/>
      <c r="JF228" s="18"/>
      <c r="JG228" s="18"/>
      <c r="JH228" s="18"/>
      <c r="JI228" s="18"/>
      <c r="JJ228" s="18"/>
      <c r="JK228" s="18"/>
      <c r="JL228" s="18"/>
      <c r="JM228" s="18"/>
      <c r="JN228" s="18"/>
      <c r="JO228" s="18"/>
      <c r="JP228" s="18"/>
      <c r="JQ228" s="18"/>
      <c r="JR228" s="18"/>
      <c r="JS228" s="18"/>
      <c r="JT228" s="18"/>
      <c r="JU228" s="18"/>
      <c r="JV228" s="18"/>
      <c r="JW228" s="18"/>
      <c r="JX228" s="18"/>
      <c r="JY228" s="18"/>
      <c r="JZ228" s="18"/>
      <c r="KA228" s="18"/>
      <c r="KB228" s="18"/>
      <c r="KC228" s="18"/>
      <c r="KD228" s="18"/>
      <c r="KE228" s="18"/>
      <c r="KF228" s="18"/>
      <c r="KG228" s="18"/>
      <c r="KH228" s="18"/>
      <c r="KI228" s="18"/>
      <c r="KJ228" s="18"/>
      <c r="KK228" s="18"/>
      <c r="KL228" s="18"/>
      <c r="KM228" s="18"/>
      <c r="KN228" s="18"/>
      <c r="KO228" s="18"/>
      <c r="KP228" s="18"/>
      <c r="KQ228" s="18"/>
      <c r="KR228" s="18"/>
      <c r="KS228" s="18"/>
      <c r="KT228" s="18"/>
      <c r="KU228" s="18"/>
      <c r="KV228" s="18"/>
      <c r="KW228" s="18"/>
      <c r="KX228" s="18"/>
      <c r="KY228" s="18"/>
      <c r="KZ228" s="18"/>
      <c r="LA228" s="18"/>
      <c r="LB228" s="18"/>
      <c r="LC228" s="18"/>
      <c r="LD228" s="18"/>
      <c r="LE228" s="18"/>
      <c r="LF228" s="18"/>
      <c r="LG228" s="18"/>
      <c r="LH228" s="18"/>
      <c r="LI228" s="18"/>
      <c r="LJ228" s="18"/>
      <c r="LK228" s="18"/>
      <c r="LL228" s="18"/>
      <c r="LM228" s="18"/>
      <c r="LN228" s="18"/>
      <c r="LO228" s="18"/>
      <c r="LP228" s="18"/>
      <c r="LQ228" s="18"/>
      <c r="LR228" s="18"/>
      <c r="LS228" s="18"/>
      <c r="LT228" s="18"/>
      <c r="LU228" s="18"/>
      <c r="LV228" s="18"/>
      <c r="LW228" s="18"/>
      <c r="LX228" s="18"/>
      <c r="LY228" s="18"/>
      <c r="LZ228" s="18"/>
      <c r="MA228" s="18"/>
      <c r="MB228" s="18"/>
      <c r="MC228" s="18"/>
      <c r="MD228" s="18"/>
      <c r="ME228" s="18"/>
      <c r="MF228" s="18"/>
      <c r="MG228" s="18"/>
      <c r="MH228" s="18"/>
      <c r="MI228" s="18"/>
      <c r="MJ228" s="18"/>
      <c r="MK228" s="18"/>
      <c r="ML228" s="18"/>
      <c r="MM228" s="18"/>
      <c r="MN228" s="18"/>
      <c r="MO228" s="18"/>
      <c r="MP228" s="18"/>
      <c r="MQ228" s="18"/>
      <c r="MR228" s="18"/>
      <c r="MS228" s="18"/>
      <c r="MT228" s="18"/>
      <c r="MU228" s="18"/>
      <c r="MV228" s="18"/>
      <c r="MW228" s="18"/>
      <c r="MX228" s="18"/>
      <c r="MY228" s="18"/>
      <c r="MZ228" s="18"/>
      <c r="NA228" s="18"/>
      <c r="NB228" s="18"/>
      <c r="NC228" s="18"/>
      <c r="ND228" s="18"/>
      <c r="NE228" s="18"/>
      <c r="NF228" s="18"/>
      <c r="NG228" s="18"/>
      <c r="NH228" s="18"/>
      <c r="NI228" s="18"/>
      <c r="NJ228" s="18"/>
      <c r="NK228" s="18"/>
      <c r="NL228" s="18"/>
      <c r="NM228" s="18"/>
      <c r="NN228" s="18"/>
      <c r="NO228" s="18"/>
      <c r="NP228" s="18"/>
      <c r="NQ228" s="18"/>
      <c r="NR228" s="18"/>
      <c r="NS228" s="18"/>
      <c r="NT228" s="18"/>
      <c r="NU228" s="18"/>
      <c r="NV228" s="18"/>
      <c r="NW228" s="18"/>
      <c r="NX228" s="18"/>
      <c r="NY228" s="18"/>
      <c r="NZ228" s="18"/>
      <c r="OA228" s="18"/>
      <c r="OB228" s="18"/>
      <c r="OC228" s="18"/>
      <c r="OD228" s="18"/>
      <c r="OE228" s="18"/>
      <c r="OF228" s="18"/>
      <c r="OG228" s="18"/>
      <c r="OH228" s="18"/>
      <c r="OI228" s="18"/>
      <c r="OJ228" s="18"/>
      <c r="OK228" s="18"/>
      <c r="OL228" s="18"/>
      <c r="OM228" s="18"/>
      <c r="ON228" s="18"/>
      <c r="OO228" s="18"/>
      <c r="OP228" s="18"/>
      <c r="OQ228" s="18"/>
      <c r="OR228" s="18"/>
      <c r="OS228" s="18"/>
      <c r="OT228" s="18"/>
      <c r="OU228" s="18"/>
      <c r="OV228" s="18"/>
      <c r="OW228" s="18"/>
      <c r="OX228" s="18"/>
      <c r="OY228" s="18"/>
      <c r="OZ228" s="18"/>
      <c r="PA228" s="18"/>
      <c r="PB228" s="18"/>
      <c r="PC228" s="18"/>
      <c r="PD228" s="18"/>
      <c r="PE228" s="18"/>
      <c r="PF228" s="18"/>
      <c r="PG228" s="18"/>
      <c r="PH228" s="18"/>
      <c r="PI228" s="18"/>
      <c r="PJ228" s="18"/>
      <c r="PK228" s="18"/>
      <c r="PL228" s="18"/>
      <c r="PM228" s="18"/>
      <c r="PN228" s="18"/>
      <c r="PO228" s="18"/>
      <c r="PP228" s="18"/>
      <c r="PQ228" s="18"/>
      <c r="PR228" s="18"/>
      <c r="PS228" s="18"/>
      <c r="PT228" s="18"/>
      <c r="PU228" s="18"/>
      <c r="PV228" s="18"/>
      <c r="PW228" s="18"/>
      <c r="PX228" s="18"/>
      <c r="PY228" s="18"/>
      <c r="PZ228" s="18"/>
      <c r="QA228" s="18"/>
      <c r="QB228" s="18"/>
      <c r="QC228" s="18"/>
      <c r="QD228" s="18"/>
      <c r="QE228" s="18"/>
      <c r="QF228" s="18"/>
      <c r="QG228" s="18"/>
      <c r="QH228" s="18"/>
      <c r="QI228" s="18"/>
      <c r="QJ228" s="18"/>
      <c r="QK228" s="18"/>
      <c r="QL228" s="18"/>
      <c r="QM228" s="18"/>
      <c r="QN228" s="18"/>
      <c r="QO228" s="18"/>
      <c r="QP228" s="18"/>
      <c r="QQ228" s="18"/>
      <c r="QR228" s="18"/>
      <c r="QS228" s="18"/>
      <c r="QT228" s="18"/>
      <c r="QU228" s="18"/>
      <c r="QV228" s="18"/>
      <c r="QW228" s="18"/>
      <c r="QX228" s="18"/>
      <c r="QY228" s="18"/>
      <c r="QZ228" s="18"/>
      <c r="RA228" s="18"/>
      <c r="RB228" s="18"/>
      <c r="RC228" s="18"/>
      <c r="RD228" s="18"/>
      <c r="RE228" s="18"/>
      <c r="RF228" s="18"/>
      <c r="RG228" s="18"/>
      <c r="RH228" s="18"/>
      <c r="RI228" s="18"/>
      <c r="RJ228" s="18"/>
      <c r="RK228" s="18"/>
      <c r="RL228" s="18"/>
      <c r="RM228" s="18"/>
      <c r="RN228" s="18"/>
      <c r="RO228" s="18"/>
      <c r="RP228" s="18"/>
      <c r="RQ228" s="18"/>
      <c r="RR228" s="18"/>
      <c r="RS228" s="18"/>
      <c r="RT228" s="18"/>
      <c r="RU228" s="18"/>
      <c r="RV228" s="18"/>
      <c r="RW228" s="18"/>
      <c r="RX228" s="18"/>
      <c r="RY228" s="18"/>
      <c r="RZ228" s="18"/>
      <c r="SA228" s="18"/>
      <c r="SB228" s="18"/>
      <c r="SC228" s="18"/>
      <c r="SD228" s="18"/>
      <c r="SE228" s="18"/>
      <c r="SF228" s="18"/>
      <c r="SG228" s="18"/>
      <c r="SH228" s="18"/>
      <c r="SI228" s="18"/>
      <c r="SJ228" s="18"/>
      <c r="SK228" s="18"/>
      <c r="SL228" s="18"/>
      <c r="SM228" s="18"/>
      <c r="SN228" s="18"/>
      <c r="SO228" s="18"/>
      <c r="SP228" s="18"/>
      <c r="SQ228" s="18"/>
      <c r="SR228" s="18"/>
      <c r="SS228" s="18"/>
      <c r="ST228" s="18"/>
      <c r="SU228" s="18"/>
      <c r="SV228" s="18"/>
      <c r="SW228" s="18"/>
      <c r="SX228" s="18"/>
      <c r="SY228" s="18"/>
      <c r="SZ228" s="18"/>
      <c r="TA228" s="18"/>
      <c r="TB228" s="18"/>
      <c r="TC228" s="18"/>
      <c r="TD228" s="18"/>
      <c r="TE228" s="18"/>
      <c r="TF228" s="18"/>
      <c r="TG228" s="18"/>
      <c r="TH228" s="18"/>
      <c r="TI228" s="18"/>
      <c r="TJ228" s="18"/>
      <c r="TK228" s="18"/>
      <c r="TL228" s="18"/>
      <c r="TM228" s="18"/>
      <c r="TN228" s="18"/>
      <c r="TO228" s="18"/>
      <c r="TP228" s="18"/>
      <c r="TQ228" s="18"/>
      <c r="TR228" s="18"/>
      <c r="TS228" s="18"/>
      <c r="TT228" s="18"/>
      <c r="TU228" s="18"/>
      <c r="TV228" s="18"/>
      <c r="TW228" s="18"/>
      <c r="TX228" s="18"/>
      <c r="TY228" s="18"/>
      <c r="TZ228" s="18"/>
      <c r="UA228" s="18"/>
      <c r="UB228" s="18"/>
      <c r="UC228" s="18"/>
      <c r="UD228" s="18"/>
      <c r="UE228" s="18"/>
      <c r="UF228" s="18"/>
      <c r="UG228" s="18"/>
      <c r="UH228" s="18"/>
      <c r="UI228" s="18"/>
      <c r="UJ228" s="18"/>
      <c r="UK228" s="18"/>
      <c r="UL228" s="18"/>
      <c r="UM228" s="18"/>
      <c r="UN228" s="18"/>
      <c r="UO228" s="18"/>
      <c r="UP228" s="18"/>
      <c r="UQ228" s="18"/>
      <c r="UR228" s="18"/>
      <c r="US228" s="18"/>
      <c r="UT228" s="18"/>
      <c r="UU228" s="18"/>
      <c r="UV228" s="18"/>
      <c r="UW228" s="18"/>
      <c r="UX228" s="18"/>
      <c r="UY228" s="18"/>
      <c r="UZ228" s="18"/>
      <c r="VA228" s="18"/>
      <c r="VB228" s="18"/>
      <c r="VC228" s="18"/>
      <c r="VD228" s="18"/>
      <c r="VE228" s="18"/>
      <c r="VF228" s="18"/>
      <c r="VG228" s="18"/>
      <c r="VH228" s="18"/>
      <c r="VI228" s="18"/>
      <c r="VJ228" s="18"/>
      <c r="VK228" s="18"/>
      <c r="VL228" s="18"/>
      <c r="VM228" s="18"/>
      <c r="VN228" s="18"/>
      <c r="VO228" s="18"/>
      <c r="VP228" s="18"/>
      <c r="VQ228" s="18"/>
      <c r="VR228" s="18"/>
      <c r="VS228" s="18"/>
      <c r="VT228" s="18"/>
      <c r="VU228" s="18"/>
      <c r="VV228" s="18"/>
      <c r="VW228" s="18"/>
      <c r="VX228" s="18"/>
      <c r="VY228" s="18"/>
      <c r="VZ228" s="18"/>
      <c r="WA228" s="18"/>
      <c r="WB228" s="18"/>
      <c r="WC228" s="18"/>
      <c r="WD228" s="18"/>
      <c r="WE228" s="18"/>
      <c r="WF228" s="18"/>
      <c r="WG228" s="18"/>
      <c r="WH228" s="18"/>
      <c r="WI228" s="18"/>
      <c r="WJ228" s="18"/>
      <c r="WK228" s="18"/>
      <c r="WL228" s="18"/>
      <c r="WM228" s="18"/>
      <c r="WN228" s="18"/>
      <c r="WO228" s="18"/>
      <c r="WP228" s="18"/>
      <c r="WQ228" s="18"/>
      <c r="WR228" s="18"/>
      <c r="WS228" s="18"/>
      <c r="WT228" s="18"/>
      <c r="WU228" s="18"/>
      <c r="WV228" s="18"/>
      <c r="WW228" s="18"/>
      <c r="WX228" s="18"/>
      <c r="WY228" s="18"/>
      <c r="WZ228" s="18"/>
      <c r="XA228" s="18"/>
      <c r="XB228" s="18"/>
      <c r="XC228" s="18"/>
      <c r="XD228" s="18"/>
      <c r="XE228" s="18"/>
      <c r="XF228" s="18"/>
      <c r="XG228" s="18"/>
      <c r="XH228" s="18"/>
      <c r="XI228" s="18"/>
      <c r="XJ228" s="18"/>
      <c r="XK228" s="18"/>
      <c r="XL228" s="18"/>
      <c r="XM228" s="18"/>
      <c r="XN228" s="18"/>
      <c r="XO228" s="18"/>
      <c r="XP228" s="18"/>
      <c r="XQ228" s="18"/>
      <c r="XR228" s="18"/>
      <c r="XS228" s="18"/>
      <c r="XT228" s="18"/>
      <c r="XU228" s="18"/>
      <c r="XV228" s="18"/>
      <c r="XW228" s="18"/>
      <c r="XX228" s="18"/>
      <c r="XY228" s="18"/>
      <c r="XZ228" s="18"/>
      <c r="YA228" s="18"/>
      <c r="YB228" s="18"/>
      <c r="YC228" s="18"/>
      <c r="YD228" s="18"/>
      <c r="YE228" s="18"/>
      <c r="YF228" s="18"/>
      <c r="YG228" s="18"/>
      <c r="YH228" s="18"/>
      <c r="YI228" s="18"/>
      <c r="YJ228" s="18"/>
      <c r="YK228" s="18"/>
      <c r="YL228" s="18"/>
      <c r="YM228" s="18"/>
      <c r="YN228" s="18"/>
      <c r="YO228" s="18"/>
      <c r="YP228" s="18"/>
      <c r="YQ228" s="18"/>
      <c r="YR228" s="18"/>
      <c r="YS228" s="18"/>
      <c r="YT228" s="18"/>
      <c r="YU228" s="18"/>
      <c r="YV228" s="18"/>
      <c r="YW228" s="18"/>
      <c r="YX228" s="18"/>
      <c r="YY228" s="18"/>
      <c r="YZ228" s="18"/>
      <c r="ZA228" s="18"/>
      <c r="ZB228" s="18"/>
      <c r="ZC228" s="18"/>
      <c r="ZD228" s="18"/>
      <c r="ZE228" s="18"/>
      <c r="ZF228" s="18"/>
      <c r="ZG228" s="18"/>
      <c r="ZH228" s="18"/>
      <c r="ZI228" s="18"/>
      <c r="ZJ228" s="18"/>
      <c r="ZK228" s="18"/>
      <c r="ZL228" s="18"/>
      <c r="ZM228" s="18"/>
      <c r="ZN228" s="18"/>
      <c r="ZO228" s="18"/>
      <c r="ZP228" s="18"/>
      <c r="ZQ228" s="18"/>
      <c r="ZR228" s="18"/>
      <c r="ZS228" s="18"/>
      <c r="ZT228" s="18"/>
      <c r="ZU228" s="18"/>
      <c r="ZV228" s="18"/>
      <c r="ZW228" s="18"/>
      <c r="ZX228" s="18"/>
      <c r="ZY228" s="18"/>
      <c r="ZZ228" s="18"/>
      <c r="AAA228" s="18"/>
      <c r="AAB228" s="18"/>
      <c r="AAC228" s="18"/>
      <c r="AAD228" s="18"/>
      <c r="AAE228" s="18"/>
      <c r="AAF228" s="18"/>
      <c r="AAG228" s="18"/>
      <c r="AAH228" s="18"/>
      <c r="AAI228" s="18"/>
      <c r="AAJ228" s="18"/>
      <c r="AAK228" s="18"/>
      <c r="AAL228" s="18"/>
      <c r="AAM228" s="18"/>
      <c r="AAN228" s="18"/>
      <c r="AAO228" s="18"/>
      <c r="AAP228" s="18"/>
      <c r="AAQ228" s="18"/>
      <c r="AAR228" s="18"/>
      <c r="AAS228" s="18"/>
      <c r="AAT228" s="18"/>
      <c r="AAU228" s="18"/>
      <c r="AAV228" s="18"/>
      <c r="AAW228" s="18"/>
      <c r="AAX228" s="18"/>
      <c r="AAY228" s="18"/>
      <c r="AAZ228" s="18"/>
      <c r="ABA228" s="18"/>
      <c r="ABB228" s="18"/>
      <c r="ABC228" s="18"/>
      <c r="ABD228" s="18"/>
      <c r="ABE228" s="18"/>
      <c r="ABF228" s="18"/>
      <c r="ABG228" s="18"/>
      <c r="ABH228" s="18"/>
      <c r="ABI228" s="18"/>
      <c r="ABJ228" s="18"/>
      <c r="ABK228" s="18"/>
      <c r="ABL228" s="18"/>
      <c r="ABM228" s="18"/>
      <c r="ABN228" s="18"/>
      <c r="ABO228" s="18"/>
      <c r="ABP228" s="18"/>
      <c r="ABQ228" s="18"/>
      <c r="ABR228" s="18"/>
      <c r="ABS228" s="18"/>
      <c r="ABT228" s="18"/>
      <c r="ABU228" s="18"/>
      <c r="ABV228" s="18"/>
      <c r="ABW228" s="18"/>
      <c r="ABX228" s="18"/>
      <c r="ABY228" s="18"/>
      <c r="ABZ228" s="18"/>
      <c r="ACA228" s="18"/>
      <c r="ACB228" s="18"/>
      <c r="ACC228" s="18"/>
      <c r="ACD228" s="18"/>
      <c r="ACE228" s="18"/>
      <c r="ACF228" s="18"/>
      <c r="ACG228" s="18"/>
      <c r="ACH228" s="18"/>
      <c r="ACI228" s="18"/>
      <c r="ACJ228" s="18"/>
      <c r="ACK228" s="18"/>
      <c r="ACL228" s="18"/>
      <c r="ACM228" s="18"/>
      <c r="ACN228" s="18"/>
      <c r="ACO228" s="18"/>
      <c r="ACP228" s="18"/>
      <c r="ACQ228" s="18"/>
      <c r="ACR228" s="18"/>
      <c r="ACS228" s="18"/>
      <c r="ACT228" s="18"/>
      <c r="ACU228" s="18"/>
      <c r="ACV228" s="18"/>
      <c r="ACW228" s="18"/>
      <c r="ACX228" s="18"/>
      <c r="ACY228" s="18"/>
      <c r="ACZ228" s="18"/>
      <c r="ADA228" s="18"/>
      <c r="ADB228" s="18"/>
      <c r="ADC228" s="18"/>
      <c r="ADD228" s="18"/>
      <c r="ADE228" s="18"/>
      <c r="ADF228" s="18"/>
      <c r="ADG228" s="18"/>
      <c r="ADH228" s="18"/>
      <c r="ADI228" s="18"/>
      <c r="ADJ228" s="18"/>
      <c r="ADK228" s="18"/>
      <c r="ADL228" s="18"/>
      <c r="ADM228" s="18"/>
      <c r="ADN228" s="18"/>
      <c r="ADO228" s="18"/>
      <c r="ADP228" s="18"/>
      <c r="ADQ228" s="18"/>
      <c r="ADR228" s="18"/>
      <c r="ADS228" s="18"/>
      <c r="ADT228" s="18"/>
      <c r="ADU228" s="18"/>
      <c r="ADV228" s="18"/>
      <c r="ADW228" s="18"/>
      <c r="ADX228" s="18"/>
      <c r="ADY228" s="18"/>
      <c r="ADZ228" s="18"/>
      <c r="AEA228" s="18"/>
      <c r="AEB228" s="18"/>
      <c r="AEC228" s="18"/>
      <c r="AED228" s="18"/>
      <c r="AEE228" s="18"/>
      <c r="AEF228" s="18"/>
      <c r="AEG228" s="18"/>
      <c r="AEH228" s="18"/>
      <c r="AEI228" s="18"/>
      <c r="AEJ228" s="18"/>
      <c r="AEK228" s="18"/>
      <c r="AEL228" s="18"/>
      <c r="AEM228" s="18"/>
      <c r="AEN228" s="18"/>
      <c r="AEO228" s="18"/>
      <c r="AEP228" s="18"/>
      <c r="AEQ228" s="18"/>
      <c r="AER228" s="18"/>
      <c r="AES228" s="18"/>
      <c r="AET228" s="18"/>
      <c r="AEU228" s="18"/>
      <c r="AEV228" s="18"/>
      <c r="AEW228" s="18"/>
      <c r="AEX228" s="18"/>
      <c r="AEY228" s="18"/>
      <c r="AEZ228" s="18"/>
      <c r="AFA228" s="18"/>
      <c r="AFB228" s="18"/>
      <c r="AFC228" s="18"/>
      <c r="AFD228" s="18"/>
      <c r="AFE228" s="18"/>
      <c r="AFF228" s="18"/>
      <c r="AFG228" s="18"/>
      <c r="AFH228" s="18"/>
      <c r="AFI228" s="18"/>
      <c r="AFJ228" s="18"/>
      <c r="AFK228" s="18"/>
      <c r="AFL228" s="18"/>
      <c r="AFM228" s="18"/>
      <c r="AFN228" s="18"/>
      <c r="AFO228" s="18"/>
      <c r="AFP228" s="18"/>
      <c r="AFQ228" s="18"/>
      <c r="AFR228" s="18"/>
      <c r="AFS228" s="18"/>
      <c r="AFT228" s="18"/>
      <c r="AFU228" s="18"/>
      <c r="AFV228" s="18"/>
      <c r="AFW228" s="18"/>
      <c r="AFX228" s="18"/>
      <c r="AFY228" s="18"/>
      <c r="AFZ228" s="18"/>
      <c r="AGA228" s="18"/>
      <c r="AGB228" s="18"/>
      <c r="AGC228" s="18"/>
      <c r="AGD228" s="18"/>
      <c r="AGE228" s="18"/>
      <c r="AGF228" s="18"/>
      <c r="AGG228" s="18"/>
      <c r="AGH228" s="18"/>
      <c r="AGI228" s="18"/>
      <c r="AGJ228" s="18"/>
      <c r="AGK228" s="18"/>
      <c r="AGL228" s="18"/>
      <c r="AGM228" s="18"/>
      <c r="AGN228" s="18"/>
      <c r="AGO228" s="18"/>
      <c r="AGP228" s="18"/>
      <c r="AGQ228" s="18"/>
      <c r="AGR228" s="18"/>
      <c r="AGS228" s="18"/>
      <c r="AGT228" s="18"/>
      <c r="AGU228" s="18"/>
      <c r="AGV228" s="18"/>
      <c r="AGW228" s="18"/>
      <c r="AGX228" s="18"/>
      <c r="AGY228" s="18"/>
      <c r="AGZ228" s="18"/>
      <c r="AHA228" s="18"/>
      <c r="AHB228" s="18"/>
      <c r="AHC228" s="18"/>
      <c r="AHD228" s="18"/>
      <c r="AHE228" s="18"/>
      <c r="AHF228" s="18"/>
      <c r="AHG228" s="18"/>
      <c r="AHH228" s="18"/>
      <c r="AHI228" s="18"/>
      <c r="AHJ228" s="18"/>
      <c r="AHK228" s="18"/>
      <c r="AHL228" s="18"/>
      <c r="AHM228" s="18"/>
      <c r="AHN228" s="18"/>
      <c r="AHO228" s="18"/>
      <c r="AHP228" s="18"/>
      <c r="AHQ228" s="18"/>
      <c r="AHR228" s="18"/>
      <c r="AHS228" s="18"/>
      <c r="AHT228" s="18"/>
      <c r="AHU228" s="18"/>
      <c r="AHV228" s="18"/>
      <c r="AHW228" s="18"/>
      <c r="AHX228" s="18"/>
      <c r="AHY228" s="18"/>
      <c r="AHZ228" s="18"/>
      <c r="AIA228" s="18"/>
      <c r="AIB228" s="18"/>
      <c r="AIC228" s="18"/>
      <c r="AID228" s="18"/>
      <c r="AIE228" s="18"/>
      <c r="AIF228" s="18"/>
      <c r="AIG228" s="18"/>
      <c r="AIH228" s="18"/>
      <c r="AII228" s="18"/>
      <c r="AIJ228" s="18"/>
      <c r="AIK228" s="18"/>
      <c r="AIL228" s="18"/>
      <c r="AIM228" s="18"/>
      <c r="AIN228" s="18"/>
      <c r="AIO228" s="18"/>
      <c r="AIP228" s="18"/>
      <c r="AIQ228" s="18"/>
      <c r="AIR228" s="18"/>
      <c r="AIS228" s="18"/>
      <c r="AIT228" s="18"/>
      <c r="AIU228" s="18"/>
      <c r="AIV228" s="18"/>
      <c r="AIW228" s="18"/>
      <c r="AIX228" s="18"/>
      <c r="AIY228" s="18"/>
      <c r="AIZ228" s="18"/>
      <c r="AJA228" s="18"/>
      <c r="AJB228" s="18"/>
      <c r="AJC228" s="18"/>
      <c r="AJD228" s="18"/>
      <c r="AJE228" s="18"/>
      <c r="AJF228" s="18"/>
      <c r="AJG228" s="18"/>
      <c r="AJH228" s="18"/>
      <c r="AJI228" s="18"/>
      <c r="AJJ228" s="18"/>
      <c r="AJK228" s="18"/>
      <c r="AJL228" s="18"/>
      <c r="AJM228" s="18"/>
      <c r="AJN228" s="18"/>
      <c r="AJO228" s="18"/>
      <c r="AJP228" s="18"/>
      <c r="AJQ228" s="18"/>
      <c r="AJR228" s="18"/>
      <c r="AJS228" s="18"/>
      <c r="AJT228" s="18"/>
      <c r="AJU228" s="18"/>
      <c r="AJV228" s="18"/>
      <c r="AJW228" s="18"/>
      <c r="AJX228" s="18"/>
      <c r="AJY228" s="18"/>
      <c r="AJZ228" s="18"/>
      <c r="AKA228" s="18"/>
      <c r="AKB228" s="18"/>
      <c r="AKC228" s="18"/>
      <c r="AKD228" s="18"/>
      <c r="AKE228" s="18"/>
      <c r="AKF228" s="18"/>
      <c r="AKG228" s="18"/>
      <c r="AKH228" s="18"/>
      <c r="AKI228" s="18"/>
      <c r="AKJ228" s="18"/>
      <c r="AKK228" s="18"/>
      <c r="AKL228" s="18"/>
      <c r="AKM228" s="18"/>
      <c r="AKN228" s="18"/>
      <c r="AKO228" s="18"/>
      <c r="AKP228" s="18"/>
      <c r="AKQ228" s="18"/>
      <c r="AKR228" s="18"/>
      <c r="AKS228" s="18"/>
      <c r="AKT228" s="18"/>
      <c r="AKU228" s="18"/>
      <c r="AKV228" s="18"/>
      <c r="AKW228" s="18"/>
      <c r="AKX228" s="18"/>
      <c r="AKY228" s="18"/>
      <c r="AKZ228" s="18"/>
      <c r="ALA228" s="18"/>
      <c r="ALB228" s="18"/>
      <c r="ALC228" s="18"/>
      <c r="ALD228" s="18"/>
      <c r="ALE228" s="18"/>
      <c r="ALF228" s="18"/>
      <c r="ALG228" s="18"/>
      <c r="ALH228" s="18"/>
      <c r="ALI228" s="18"/>
      <c r="ALJ228" s="18"/>
      <c r="ALK228" s="18"/>
      <c r="ALL228" s="18"/>
      <c r="ALM228" s="18"/>
      <c r="ALN228" s="18"/>
      <c r="ALO228" s="18"/>
      <c r="ALP228" s="18"/>
      <c r="ALQ228" s="18"/>
      <c r="ALR228" s="18"/>
      <c r="ALS228" s="18"/>
      <c r="ALT228" s="18"/>
      <c r="ALU228" s="18"/>
      <c r="ALV228" s="18"/>
      <c r="ALW228" s="18"/>
      <c r="ALX228" s="18"/>
      <c r="ALY228" s="18"/>
      <c r="ALZ228" s="18"/>
      <c r="AMA228" s="18"/>
      <c r="AMB228" s="18"/>
      <c r="AMC228" s="18"/>
      <c r="AMD228" s="18"/>
      <c r="AME228" s="18"/>
      <c r="AMF228" s="18"/>
      <c r="AMG228" s="18"/>
      <c r="AMH228" s="18"/>
      <c r="AMI228" s="18"/>
      <c r="AMJ228" s="18"/>
      <c r="AMK228" s="18"/>
      <c r="AML228" s="18"/>
      <c r="AMM228" s="18"/>
      <c r="AMN228" s="18"/>
      <c r="AMO228" s="18"/>
      <c r="AMP228" s="18"/>
      <c r="AMQ228" s="18"/>
      <c r="AMR228" s="18"/>
      <c r="AMS228" s="18"/>
      <c r="AMT228" s="18"/>
      <c r="AMU228" s="18"/>
      <c r="AMV228" s="18"/>
      <c r="AMW228" s="18"/>
      <c r="AMX228" s="18"/>
      <c r="AMY228" s="18"/>
      <c r="AMZ228" s="18"/>
      <c r="ANA228" s="18"/>
      <c r="ANB228" s="18"/>
      <c r="ANC228" s="18"/>
      <c r="AND228" s="18"/>
      <c r="ANE228" s="18"/>
      <c r="ANF228" s="18"/>
      <c r="ANG228" s="18"/>
      <c r="ANH228" s="18"/>
      <c r="ANI228" s="18"/>
      <c r="ANJ228" s="18"/>
      <c r="ANK228" s="18"/>
      <c r="ANL228" s="18"/>
      <c r="ANM228" s="18"/>
      <c r="ANN228" s="18"/>
      <c r="ANO228" s="18"/>
      <c r="ANP228" s="18"/>
      <c r="ANQ228" s="18"/>
      <c r="ANR228" s="18"/>
      <c r="ANS228" s="18"/>
      <c r="ANT228" s="18"/>
      <c r="ANU228" s="18"/>
      <c r="ANV228" s="18"/>
      <c r="ANW228" s="18"/>
      <c r="ANX228" s="18"/>
      <c r="ANY228" s="18"/>
      <c r="ANZ228" s="18"/>
      <c r="AOA228" s="18"/>
      <c r="AOB228" s="18"/>
      <c r="AOC228" s="18"/>
      <c r="AOD228" s="18"/>
      <c r="AOE228" s="18"/>
      <c r="AOF228" s="18"/>
      <c r="AOG228" s="18"/>
      <c r="AOH228" s="18"/>
      <c r="AOI228" s="18"/>
      <c r="AOJ228" s="18"/>
      <c r="AOK228" s="18"/>
      <c r="AOL228" s="18"/>
      <c r="AOM228" s="18"/>
      <c r="AON228" s="18"/>
      <c r="AOO228" s="18"/>
      <c r="AOP228" s="18"/>
      <c r="AOQ228" s="18"/>
      <c r="AOR228" s="18"/>
      <c r="AOS228" s="18"/>
      <c r="AOT228" s="18"/>
      <c r="AOU228" s="18"/>
      <c r="AOV228" s="18"/>
      <c r="AOW228" s="18"/>
      <c r="AOX228" s="18"/>
      <c r="AOY228" s="18"/>
      <c r="AOZ228" s="18"/>
      <c r="APA228" s="18"/>
      <c r="APB228" s="18"/>
      <c r="APC228" s="18"/>
      <c r="APD228" s="18"/>
      <c r="APE228" s="18"/>
      <c r="APF228" s="18"/>
      <c r="APG228" s="18"/>
      <c r="APH228" s="18"/>
      <c r="API228" s="18"/>
      <c r="APJ228" s="18"/>
      <c r="APK228" s="18"/>
      <c r="APL228" s="18"/>
      <c r="APM228" s="18"/>
      <c r="APN228" s="18"/>
      <c r="APO228" s="18"/>
      <c r="APP228" s="18"/>
      <c r="APQ228" s="18"/>
      <c r="APR228" s="18"/>
      <c r="APS228" s="18"/>
      <c r="APT228" s="18"/>
      <c r="APU228" s="18"/>
      <c r="APV228" s="18"/>
      <c r="APW228" s="18"/>
      <c r="APX228" s="18"/>
      <c r="APY228" s="18"/>
      <c r="APZ228" s="18"/>
      <c r="AQA228" s="18"/>
      <c r="AQB228" s="18"/>
      <c r="AQC228" s="18"/>
      <c r="AQD228" s="18"/>
      <c r="AQE228" s="18"/>
      <c r="AQF228" s="18"/>
      <c r="AQG228" s="18"/>
      <c r="AQH228" s="18"/>
      <c r="AQI228" s="18"/>
      <c r="AQJ228" s="18"/>
      <c r="AQK228" s="18"/>
      <c r="AQL228" s="18"/>
      <c r="AQM228" s="18"/>
      <c r="AQN228" s="18"/>
      <c r="AQO228" s="18"/>
      <c r="AQP228" s="18"/>
      <c r="AQQ228" s="18"/>
      <c r="AQR228" s="18"/>
      <c r="AQS228" s="18"/>
      <c r="AQT228" s="18"/>
      <c r="AQU228" s="18"/>
      <c r="AQV228" s="18"/>
      <c r="AQW228" s="18"/>
      <c r="AQX228" s="18"/>
      <c r="AQY228" s="18"/>
      <c r="AQZ228" s="18"/>
      <c r="ARA228" s="18"/>
      <c r="ARB228" s="18"/>
      <c r="ARC228" s="18"/>
      <c r="ARD228" s="18"/>
      <c r="ARE228" s="18"/>
      <c r="ARF228" s="18"/>
      <c r="ARG228" s="18"/>
      <c r="ARH228" s="18"/>
      <c r="ARI228" s="18"/>
      <c r="ARJ228" s="18"/>
      <c r="ARK228" s="18"/>
      <c r="ARL228" s="18"/>
      <c r="ARM228" s="18"/>
      <c r="ARN228" s="18"/>
      <c r="ARO228" s="18"/>
      <c r="ARP228" s="18"/>
      <c r="ARQ228" s="18"/>
      <c r="ARR228" s="18"/>
      <c r="ARS228" s="18"/>
      <c r="ART228" s="18"/>
      <c r="ARU228" s="18"/>
      <c r="ARV228" s="18"/>
      <c r="ARW228" s="18"/>
      <c r="ARX228" s="18"/>
      <c r="ARY228" s="18"/>
      <c r="ARZ228" s="18"/>
      <c r="ASA228" s="18"/>
      <c r="ASB228" s="18"/>
      <c r="ASC228" s="18"/>
      <c r="ASD228" s="18"/>
      <c r="ASE228" s="18"/>
      <c r="ASF228" s="18"/>
      <c r="ASG228" s="18"/>
      <c r="ASH228" s="18"/>
      <c r="ASI228" s="18"/>
      <c r="ASJ228" s="18"/>
      <c r="ASK228" s="18"/>
      <c r="ASL228" s="18"/>
      <c r="ASM228" s="18"/>
      <c r="ASN228" s="18"/>
      <c r="ASO228" s="18"/>
      <c r="ASP228" s="18"/>
      <c r="ASQ228" s="18"/>
      <c r="ASR228" s="18"/>
      <c r="ASS228" s="18"/>
      <c r="AST228" s="18"/>
      <c r="ASU228" s="18"/>
      <c r="ASV228" s="18"/>
      <c r="ASW228" s="18"/>
      <c r="ASX228" s="18"/>
      <c r="ASY228" s="18"/>
      <c r="ASZ228" s="18"/>
      <c r="ATA228" s="18"/>
      <c r="ATB228" s="18"/>
      <c r="ATC228" s="18"/>
      <c r="ATD228" s="18"/>
      <c r="ATE228" s="18"/>
      <c r="ATF228" s="18"/>
      <c r="ATG228" s="18"/>
      <c r="ATH228" s="18"/>
      <c r="ATI228" s="18"/>
      <c r="ATJ228" s="18"/>
      <c r="ATK228" s="18"/>
      <c r="ATL228" s="18"/>
      <c r="ATM228" s="18"/>
      <c r="ATN228" s="18"/>
      <c r="ATO228" s="18"/>
      <c r="ATP228" s="18"/>
      <c r="ATQ228" s="18"/>
      <c r="ATR228" s="18"/>
      <c r="ATS228" s="18"/>
      <c r="ATT228" s="18"/>
      <c r="ATU228" s="18"/>
      <c r="ATV228" s="18"/>
      <c r="ATW228" s="18"/>
      <c r="ATX228" s="18"/>
      <c r="ATY228" s="18"/>
      <c r="ATZ228" s="18"/>
      <c r="AUA228" s="18"/>
      <c r="AUB228" s="18"/>
      <c r="AUC228" s="18"/>
      <c r="AUD228" s="18"/>
      <c r="AUE228" s="18"/>
      <c r="AUF228" s="18"/>
      <c r="AUG228" s="18"/>
      <c r="AUH228" s="18"/>
      <c r="AUI228" s="18"/>
      <c r="AUJ228" s="18"/>
      <c r="AUK228" s="18"/>
      <c r="AUL228" s="18"/>
      <c r="AUM228" s="18"/>
      <c r="AUN228" s="18"/>
      <c r="AUO228" s="18"/>
      <c r="AUP228" s="18"/>
      <c r="AUQ228" s="18"/>
      <c r="AUR228" s="18"/>
      <c r="AUS228" s="18"/>
      <c r="AUT228" s="18"/>
      <c r="AUU228" s="18"/>
      <c r="AUV228" s="18"/>
      <c r="AUW228" s="18"/>
      <c r="AUX228" s="18"/>
      <c r="AUY228" s="18"/>
      <c r="AUZ228" s="18"/>
      <c r="AVA228" s="18"/>
      <c r="AVB228" s="18"/>
      <c r="AVC228" s="18"/>
      <c r="AVD228" s="18"/>
      <c r="AVE228" s="18"/>
      <c r="AVF228" s="18"/>
      <c r="AVG228" s="18"/>
      <c r="AVH228" s="18"/>
      <c r="AVI228" s="18"/>
      <c r="AVJ228" s="18"/>
      <c r="AVK228" s="18"/>
      <c r="AVL228" s="18"/>
      <c r="AVM228" s="18"/>
      <c r="AVN228" s="18"/>
      <c r="AVO228" s="18"/>
      <c r="AVP228" s="18"/>
      <c r="AVQ228" s="18"/>
      <c r="AVR228" s="18"/>
      <c r="AVS228" s="18"/>
      <c r="AVT228" s="18"/>
      <c r="AVU228" s="18"/>
      <c r="AVV228" s="18"/>
      <c r="AVW228" s="18"/>
      <c r="AVX228" s="18"/>
      <c r="AVY228" s="18"/>
      <c r="AVZ228" s="18"/>
      <c r="AWA228" s="18"/>
      <c r="AWB228" s="18"/>
      <c r="AWC228" s="18"/>
      <c r="AWD228" s="18"/>
      <c r="AWE228" s="18"/>
      <c r="AWF228" s="18"/>
      <c r="AWG228" s="18"/>
      <c r="AWH228" s="18"/>
      <c r="AWI228" s="18"/>
      <c r="AWJ228" s="18"/>
      <c r="AWK228" s="18"/>
      <c r="AWL228" s="18"/>
      <c r="AWM228" s="18"/>
      <c r="AWN228" s="18"/>
      <c r="AWO228" s="18"/>
      <c r="AWP228" s="18"/>
      <c r="AWQ228" s="18"/>
      <c r="AWR228" s="18"/>
      <c r="AWS228" s="18"/>
      <c r="AWT228" s="18"/>
      <c r="AWU228" s="18"/>
      <c r="AWV228" s="18"/>
      <c r="AWW228" s="18"/>
      <c r="AWX228" s="18"/>
      <c r="AWY228" s="18"/>
      <c r="AWZ228" s="18"/>
      <c r="AXA228" s="18"/>
      <c r="AXB228" s="18"/>
      <c r="AXC228" s="18"/>
      <c r="AXD228" s="18"/>
      <c r="AXE228" s="18"/>
      <c r="AXF228" s="18"/>
      <c r="AXG228" s="18"/>
      <c r="AXH228" s="18"/>
      <c r="AXI228" s="18"/>
      <c r="AXJ228" s="18"/>
      <c r="AXK228" s="18"/>
      <c r="AXL228" s="18"/>
      <c r="AXM228" s="18"/>
      <c r="AXN228" s="18"/>
      <c r="AXO228" s="18"/>
      <c r="AXP228" s="18"/>
      <c r="AXQ228" s="18"/>
      <c r="AXR228" s="18"/>
      <c r="AXS228" s="18"/>
      <c r="AXT228" s="18"/>
      <c r="AXU228" s="18"/>
      <c r="AXV228" s="18"/>
      <c r="AXW228" s="18"/>
      <c r="AXX228" s="18"/>
      <c r="AXY228" s="18"/>
      <c r="AXZ228" s="18"/>
      <c r="AYA228" s="18"/>
      <c r="AYB228" s="18"/>
      <c r="AYC228" s="18"/>
      <c r="AYD228" s="18"/>
      <c r="AYE228" s="18"/>
      <c r="AYF228" s="18"/>
      <c r="AYG228" s="18"/>
      <c r="AYH228" s="18"/>
      <c r="AYI228" s="18"/>
      <c r="AYJ228" s="18"/>
      <c r="AYK228" s="18"/>
      <c r="AYL228" s="18"/>
      <c r="AYM228" s="18"/>
      <c r="AYN228" s="18"/>
      <c r="AYO228" s="18"/>
      <c r="AYP228" s="18"/>
      <c r="AYQ228" s="18"/>
      <c r="AYR228" s="18"/>
      <c r="AYS228" s="18"/>
      <c r="AYT228" s="18"/>
      <c r="AYU228" s="18"/>
      <c r="AYV228" s="18"/>
      <c r="AYW228" s="18"/>
      <c r="AYX228" s="18"/>
      <c r="AYY228" s="18"/>
      <c r="AYZ228" s="18"/>
      <c r="AZA228" s="18"/>
      <c r="AZB228" s="18"/>
      <c r="AZC228" s="18"/>
      <c r="AZD228" s="18"/>
      <c r="AZE228" s="18"/>
      <c r="AZF228" s="18"/>
      <c r="AZG228" s="18"/>
      <c r="AZH228" s="18"/>
      <c r="AZI228" s="18"/>
      <c r="AZJ228" s="18"/>
      <c r="AZK228" s="18"/>
      <c r="AZL228" s="18"/>
      <c r="AZM228" s="18"/>
      <c r="AZN228" s="18"/>
      <c r="AZO228" s="18"/>
      <c r="AZP228" s="18"/>
      <c r="AZQ228" s="18"/>
      <c r="AZR228" s="18"/>
      <c r="AZS228" s="18"/>
      <c r="AZT228" s="18"/>
      <c r="AZU228" s="18"/>
      <c r="AZV228" s="18"/>
      <c r="AZW228" s="18"/>
      <c r="AZX228" s="18"/>
      <c r="AZY228" s="18"/>
      <c r="AZZ228" s="18"/>
      <c r="BAA228" s="18"/>
      <c r="BAB228" s="18"/>
      <c r="BAC228" s="18"/>
      <c r="BAD228" s="18"/>
      <c r="BAE228" s="18"/>
      <c r="BAF228" s="18"/>
      <c r="BAG228" s="18"/>
      <c r="BAH228" s="18"/>
      <c r="BAI228" s="18"/>
      <c r="BAJ228" s="18"/>
      <c r="BAK228" s="18"/>
      <c r="BAL228" s="18"/>
      <c r="BAM228" s="18"/>
      <c r="BAN228" s="18"/>
      <c r="BAO228" s="18"/>
      <c r="BAP228" s="18"/>
      <c r="BAQ228" s="18"/>
      <c r="BAR228" s="18"/>
      <c r="BAS228" s="18"/>
      <c r="BAT228" s="18"/>
      <c r="BAU228" s="18"/>
      <c r="BAV228" s="18"/>
      <c r="BAW228" s="18"/>
      <c r="BAX228" s="18"/>
      <c r="BAY228" s="18"/>
      <c r="BAZ228" s="18"/>
      <c r="BBA228" s="18"/>
      <c r="BBB228" s="18"/>
      <c r="BBC228" s="18"/>
      <c r="BBD228" s="18"/>
      <c r="BBE228" s="18"/>
      <c r="BBF228" s="18"/>
      <c r="BBG228" s="18"/>
      <c r="BBH228" s="18"/>
      <c r="BBI228" s="18"/>
      <c r="BBJ228" s="18"/>
      <c r="BBK228" s="18"/>
      <c r="BBL228" s="18"/>
      <c r="BBM228" s="18"/>
      <c r="BBN228" s="18"/>
      <c r="BBO228" s="18"/>
      <c r="BBP228" s="18"/>
      <c r="BBQ228" s="18"/>
      <c r="BBR228" s="18"/>
      <c r="BBS228" s="18"/>
      <c r="BBT228" s="18"/>
      <c r="BBU228" s="18"/>
      <c r="BBV228" s="18"/>
      <c r="BBW228" s="18"/>
      <c r="BBX228" s="18"/>
      <c r="BBY228" s="18"/>
      <c r="BBZ228" s="18"/>
      <c r="BCA228" s="18"/>
      <c r="BCB228" s="18"/>
      <c r="BCC228" s="18"/>
      <c r="BCD228" s="18"/>
      <c r="BCE228" s="18"/>
      <c r="BCF228" s="18"/>
      <c r="BCG228" s="18"/>
      <c r="BCH228" s="18"/>
      <c r="BCI228" s="18"/>
      <c r="BCJ228" s="18"/>
      <c r="BCK228" s="18"/>
      <c r="BCL228" s="18"/>
      <c r="BCM228" s="18"/>
      <c r="BCN228" s="18"/>
      <c r="BCO228" s="18"/>
      <c r="BCP228" s="18"/>
      <c r="BCQ228" s="18"/>
      <c r="BCR228" s="18"/>
      <c r="BCS228" s="18"/>
      <c r="BCT228" s="18"/>
      <c r="BCU228" s="18"/>
      <c r="BCV228" s="18"/>
      <c r="BCW228" s="18"/>
      <c r="BCX228" s="18"/>
      <c r="BCY228" s="18"/>
      <c r="BCZ228" s="18"/>
      <c r="BDA228" s="18"/>
      <c r="BDB228" s="18"/>
      <c r="BDC228" s="18"/>
      <c r="BDD228" s="18"/>
      <c r="BDE228" s="18"/>
      <c r="BDF228" s="18"/>
      <c r="BDG228" s="18"/>
      <c r="BDH228" s="18"/>
      <c r="BDI228" s="18"/>
      <c r="BDJ228" s="18"/>
      <c r="BDK228" s="18"/>
      <c r="BDL228" s="18"/>
      <c r="BDM228" s="18"/>
      <c r="BDN228" s="18"/>
      <c r="BDO228" s="18"/>
      <c r="BDP228" s="18"/>
      <c r="BDQ228" s="18"/>
      <c r="BDR228" s="18"/>
      <c r="BDS228" s="18"/>
      <c r="BDT228" s="18"/>
      <c r="BDU228" s="18"/>
      <c r="BDV228" s="18"/>
      <c r="BDW228" s="18"/>
      <c r="BDX228" s="18"/>
      <c r="BDY228" s="18"/>
      <c r="BDZ228" s="18"/>
      <c r="BEA228" s="18"/>
      <c r="BEB228" s="18"/>
      <c r="BEC228" s="18"/>
      <c r="BED228" s="18"/>
      <c r="BEE228" s="18"/>
      <c r="BEF228" s="18"/>
      <c r="BEG228" s="18"/>
      <c r="BEH228" s="18"/>
      <c r="BEI228" s="18"/>
      <c r="BEJ228" s="18"/>
      <c r="BEK228" s="18"/>
      <c r="BEL228" s="18"/>
      <c r="BEM228" s="18"/>
      <c r="BEN228" s="18"/>
      <c r="BEO228" s="18"/>
      <c r="BEP228" s="18"/>
      <c r="BEQ228" s="18"/>
      <c r="BER228" s="18"/>
      <c r="BES228" s="18"/>
      <c r="BET228" s="18"/>
      <c r="BEU228" s="18"/>
      <c r="BEV228" s="18"/>
      <c r="BEW228" s="18"/>
      <c r="BEX228" s="18"/>
      <c r="BEY228" s="18"/>
      <c r="BEZ228" s="18"/>
      <c r="BFA228" s="18"/>
      <c r="BFB228" s="18"/>
      <c r="BFC228" s="18"/>
      <c r="BFD228" s="18"/>
      <c r="BFE228" s="18"/>
      <c r="BFF228" s="18"/>
      <c r="BFG228" s="18"/>
      <c r="BFH228" s="18"/>
      <c r="BFI228" s="18"/>
      <c r="BFJ228" s="18"/>
      <c r="BFK228" s="18"/>
      <c r="BFL228" s="18"/>
      <c r="BFM228" s="18"/>
      <c r="BFN228" s="18"/>
      <c r="BFO228" s="18"/>
      <c r="BFP228" s="18"/>
      <c r="BFQ228" s="18"/>
      <c r="BFR228" s="18"/>
      <c r="BFS228" s="18"/>
      <c r="BFT228" s="18"/>
      <c r="BFU228" s="18"/>
      <c r="BFV228" s="18"/>
      <c r="BFW228" s="18"/>
      <c r="BFX228" s="18"/>
      <c r="BFY228" s="18"/>
      <c r="BFZ228" s="18"/>
      <c r="BGA228" s="18"/>
      <c r="BGB228" s="18"/>
      <c r="BGC228" s="18"/>
      <c r="BGD228" s="18"/>
      <c r="BGE228" s="18"/>
      <c r="BGF228" s="18"/>
      <c r="BGG228" s="18"/>
      <c r="BGH228" s="18"/>
      <c r="BGI228" s="18"/>
      <c r="BGJ228" s="18"/>
      <c r="BGK228" s="18"/>
      <c r="BGL228" s="18"/>
      <c r="BGM228" s="18"/>
      <c r="BGN228" s="18"/>
      <c r="BGO228" s="18"/>
      <c r="BGP228" s="18"/>
      <c r="BGQ228" s="18"/>
      <c r="BGR228" s="18"/>
      <c r="BGS228" s="18"/>
      <c r="BGT228" s="18"/>
      <c r="BGU228" s="18"/>
      <c r="BGV228" s="18"/>
      <c r="BGW228" s="18"/>
      <c r="BGX228" s="18"/>
      <c r="BGY228" s="18"/>
      <c r="BGZ228" s="18"/>
      <c r="BHA228" s="18"/>
      <c r="BHB228" s="18"/>
      <c r="BHC228" s="18"/>
      <c r="BHD228" s="18"/>
      <c r="BHE228" s="18"/>
      <c r="BHF228" s="18"/>
      <c r="BHG228" s="18"/>
      <c r="BHH228" s="18"/>
      <c r="BHI228" s="18"/>
      <c r="BHJ228" s="18"/>
      <c r="BHK228" s="18"/>
      <c r="BHL228" s="18"/>
      <c r="BHM228" s="18"/>
      <c r="BHN228" s="18"/>
      <c r="BHO228" s="18"/>
      <c r="BHP228" s="18"/>
      <c r="BHQ228" s="18"/>
      <c r="BHR228" s="18"/>
      <c r="BHS228" s="18"/>
      <c r="BHT228" s="18"/>
      <c r="BHU228" s="18"/>
      <c r="BHV228" s="18"/>
      <c r="BHW228" s="18"/>
      <c r="BHX228" s="18"/>
      <c r="BHY228" s="18"/>
      <c r="BHZ228" s="18"/>
      <c r="BIA228" s="18"/>
      <c r="BIB228" s="18"/>
      <c r="BIC228" s="18"/>
      <c r="BID228" s="18"/>
      <c r="BIE228" s="18"/>
      <c r="BIF228" s="18"/>
      <c r="BIG228" s="18"/>
      <c r="BIH228" s="18"/>
      <c r="BII228" s="18"/>
      <c r="BIJ228" s="18"/>
      <c r="BIK228" s="18"/>
      <c r="BIL228" s="18"/>
      <c r="BIM228" s="18"/>
      <c r="BIN228" s="18"/>
      <c r="BIO228" s="18"/>
      <c r="BIP228" s="18"/>
      <c r="BIQ228" s="18"/>
      <c r="BIR228" s="18"/>
      <c r="BIS228" s="18"/>
      <c r="BIT228" s="18"/>
      <c r="BIU228" s="18"/>
      <c r="BIV228" s="18"/>
      <c r="BIW228" s="18"/>
      <c r="BIX228" s="18"/>
      <c r="BIY228" s="18"/>
      <c r="BIZ228" s="18"/>
      <c r="BJA228" s="18"/>
      <c r="BJB228" s="18"/>
      <c r="BJC228" s="18"/>
      <c r="BJD228" s="18"/>
      <c r="BJE228" s="18"/>
      <c r="BJF228" s="18"/>
      <c r="BJG228" s="18"/>
      <c r="BJH228" s="18"/>
      <c r="BJI228" s="18"/>
      <c r="BJJ228" s="18"/>
      <c r="BJK228" s="18"/>
      <c r="BJL228" s="18"/>
      <c r="BJM228" s="18"/>
      <c r="BJN228" s="18"/>
      <c r="BJO228" s="18"/>
      <c r="BJP228" s="18"/>
      <c r="BJQ228" s="18"/>
      <c r="BJR228" s="18"/>
      <c r="BJS228" s="18"/>
      <c r="BJT228" s="18"/>
      <c r="BJU228" s="18"/>
      <c r="BJV228" s="18"/>
      <c r="BJW228" s="18"/>
      <c r="BJX228" s="18"/>
      <c r="BJY228" s="18"/>
      <c r="BJZ228" s="18"/>
      <c r="BKA228" s="18"/>
      <c r="BKB228" s="18"/>
      <c r="BKC228" s="18"/>
      <c r="BKD228" s="18"/>
      <c r="BKE228" s="18"/>
      <c r="BKF228" s="18"/>
      <c r="BKG228" s="18"/>
      <c r="BKH228" s="18"/>
      <c r="BKI228" s="18"/>
      <c r="BKJ228" s="18"/>
      <c r="BKK228" s="18"/>
      <c r="BKL228" s="18"/>
      <c r="BKM228" s="18"/>
      <c r="BKN228" s="18"/>
      <c r="BKO228" s="18"/>
      <c r="BKP228" s="18"/>
      <c r="BKQ228" s="18"/>
      <c r="BKR228" s="18"/>
      <c r="BKS228" s="18"/>
      <c r="BKT228" s="18"/>
      <c r="BKU228" s="18"/>
      <c r="BKV228" s="18"/>
      <c r="BKW228" s="18"/>
      <c r="BKX228" s="18"/>
      <c r="BKY228" s="18"/>
      <c r="BKZ228" s="18"/>
      <c r="BLA228" s="18"/>
      <c r="BLB228" s="18"/>
      <c r="BLC228" s="18"/>
      <c r="BLD228" s="18"/>
      <c r="BLE228" s="18"/>
      <c r="BLF228" s="18"/>
      <c r="BLG228" s="18"/>
      <c r="BLH228" s="18"/>
      <c r="BLI228" s="18"/>
      <c r="BLJ228" s="18"/>
      <c r="BLK228" s="18"/>
      <c r="BLL228" s="18"/>
      <c r="BLM228" s="18"/>
      <c r="BLN228" s="18"/>
      <c r="BLO228" s="18"/>
      <c r="BLP228" s="18"/>
      <c r="BLQ228" s="18"/>
      <c r="BLR228" s="18"/>
      <c r="BLS228" s="18"/>
      <c r="BLT228" s="18"/>
      <c r="BLU228" s="18"/>
      <c r="BLV228" s="18"/>
      <c r="BLW228" s="18"/>
      <c r="BLX228" s="18"/>
      <c r="BLY228" s="18"/>
      <c r="BLZ228" s="18"/>
      <c r="BMA228" s="18"/>
      <c r="BMB228" s="18"/>
      <c r="BMC228" s="18"/>
      <c r="BMD228" s="18"/>
      <c r="BME228" s="18"/>
      <c r="BMF228" s="18"/>
      <c r="BMG228" s="18"/>
      <c r="BMH228" s="18"/>
      <c r="BMI228" s="18"/>
      <c r="BMJ228" s="18"/>
      <c r="BMK228" s="18"/>
      <c r="BML228" s="18"/>
      <c r="BMM228" s="18"/>
      <c r="BMN228" s="18"/>
      <c r="BMO228" s="18"/>
      <c r="BMP228" s="18"/>
      <c r="BMQ228" s="18"/>
      <c r="BMR228" s="18"/>
      <c r="BMS228" s="18"/>
      <c r="BMT228" s="18"/>
      <c r="BMU228" s="18"/>
      <c r="BMV228" s="18"/>
      <c r="BMW228" s="18"/>
      <c r="BMX228" s="18"/>
      <c r="BMY228" s="18"/>
      <c r="BMZ228" s="18"/>
      <c r="BNA228" s="18"/>
      <c r="BNB228" s="18"/>
      <c r="BNC228" s="18"/>
      <c r="BND228" s="18"/>
      <c r="BNE228" s="18"/>
      <c r="BNF228" s="18"/>
      <c r="BNG228" s="18"/>
      <c r="BNH228" s="18"/>
      <c r="BNI228" s="18"/>
      <c r="BNJ228" s="18"/>
      <c r="BNK228" s="18"/>
      <c r="BNL228" s="18"/>
      <c r="BNM228" s="18"/>
      <c r="BNN228" s="18"/>
      <c r="BNO228" s="18"/>
      <c r="BNP228" s="18"/>
      <c r="BNQ228" s="18"/>
      <c r="BNR228" s="18"/>
      <c r="BNS228" s="18"/>
      <c r="BNT228" s="18"/>
      <c r="BNU228" s="18"/>
      <c r="BNV228" s="18"/>
      <c r="BNW228" s="18"/>
      <c r="BNX228" s="18"/>
      <c r="BNY228" s="18"/>
      <c r="BNZ228" s="18"/>
      <c r="BOA228" s="18"/>
      <c r="BOB228" s="18"/>
      <c r="BOC228" s="18"/>
      <c r="BOD228" s="18"/>
      <c r="BOE228" s="18"/>
      <c r="BOF228" s="18"/>
      <c r="BOG228" s="18"/>
      <c r="BOH228" s="18"/>
      <c r="BOI228" s="18"/>
      <c r="BOJ228" s="18"/>
      <c r="BOK228" s="18"/>
      <c r="BOL228" s="18"/>
      <c r="BOM228" s="18"/>
      <c r="BON228" s="18"/>
      <c r="BOO228" s="18"/>
      <c r="BOP228" s="18"/>
      <c r="BOQ228" s="18"/>
      <c r="BOR228" s="18"/>
      <c r="BOS228" s="18"/>
      <c r="BOT228" s="18"/>
      <c r="BOU228" s="18"/>
      <c r="BOV228" s="18"/>
      <c r="BOW228" s="18"/>
      <c r="BOX228" s="18"/>
      <c r="BOY228" s="18"/>
      <c r="BOZ228" s="18"/>
      <c r="BPA228" s="18"/>
      <c r="BPB228" s="18"/>
      <c r="BPC228" s="18"/>
      <c r="BPD228" s="18"/>
      <c r="BPE228" s="18"/>
      <c r="BPF228" s="18"/>
      <c r="BPG228" s="18"/>
      <c r="BPH228" s="18"/>
      <c r="BPI228" s="18"/>
      <c r="BPJ228" s="18"/>
      <c r="BPK228" s="18"/>
      <c r="BPL228" s="18"/>
      <c r="BPM228" s="18"/>
      <c r="BPN228" s="18"/>
      <c r="BPO228" s="18"/>
      <c r="BPP228" s="18"/>
      <c r="BPQ228" s="18"/>
      <c r="BPR228" s="18"/>
      <c r="BPS228" s="18"/>
      <c r="BPT228" s="18"/>
      <c r="BPU228" s="18"/>
      <c r="BPV228" s="18"/>
      <c r="BPW228" s="18"/>
      <c r="BPX228" s="18"/>
      <c r="BPY228" s="18"/>
      <c r="BPZ228" s="18"/>
      <c r="BQA228" s="18"/>
      <c r="BQB228" s="18"/>
      <c r="BQC228" s="18"/>
      <c r="BQD228" s="18"/>
      <c r="BQE228" s="18"/>
      <c r="BQF228" s="18"/>
      <c r="BQG228" s="18"/>
      <c r="BQH228" s="18"/>
      <c r="BQI228" s="18"/>
      <c r="BQJ228" s="18"/>
      <c r="BQK228" s="18"/>
      <c r="BQL228" s="18"/>
      <c r="BQM228" s="18"/>
      <c r="BQN228" s="18"/>
      <c r="BQO228" s="18"/>
      <c r="BQP228" s="18"/>
      <c r="BQQ228" s="18"/>
      <c r="BQR228" s="18"/>
      <c r="BQS228" s="18"/>
      <c r="BQT228" s="18"/>
      <c r="BQU228" s="18"/>
      <c r="BQV228" s="18"/>
      <c r="BQW228" s="18"/>
      <c r="BQX228" s="18"/>
      <c r="BQY228" s="18"/>
      <c r="BQZ228" s="18"/>
      <c r="BRA228" s="18"/>
      <c r="BRB228" s="18"/>
      <c r="BRC228" s="18"/>
      <c r="BRD228" s="18"/>
      <c r="BRE228" s="18"/>
      <c r="BRF228" s="18"/>
      <c r="BRG228" s="18"/>
      <c r="BRH228" s="18"/>
      <c r="BRI228" s="18"/>
      <c r="BRJ228" s="18"/>
      <c r="BRK228" s="18"/>
      <c r="BRL228" s="18"/>
      <c r="BRM228" s="18"/>
      <c r="BRN228" s="18"/>
      <c r="BRO228" s="18"/>
      <c r="BRP228" s="18"/>
      <c r="BRQ228" s="18"/>
      <c r="BRR228" s="18"/>
      <c r="BRS228" s="18"/>
      <c r="BRT228" s="18"/>
      <c r="BRU228" s="18"/>
      <c r="BRV228" s="18"/>
      <c r="BRW228" s="18"/>
      <c r="BRX228" s="18"/>
      <c r="BRY228" s="18"/>
      <c r="BRZ228" s="18"/>
      <c r="BSA228" s="18"/>
      <c r="BSB228" s="18"/>
      <c r="BSC228" s="18"/>
      <c r="BSD228" s="18"/>
      <c r="BSE228" s="18"/>
      <c r="BSF228" s="18"/>
      <c r="BSG228" s="18"/>
      <c r="BSH228" s="18"/>
      <c r="BSI228" s="18"/>
      <c r="BSJ228" s="18"/>
      <c r="BSK228" s="18"/>
      <c r="BSL228" s="18"/>
      <c r="BSM228" s="18"/>
      <c r="BSN228" s="18"/>
      <c r="BSO228" s="18"/>
      <c r="BSP228" s="18"/>
      <c r="BSQ228" s="18"/>
      <c r="BSR228" s="18"/>
      <c r="BSS228" s="18"/>
      <c r="BST228" s="18"/>
      <c r="BSU228" s="18"/>
      <c r="BSV228" s="18"/>
      <c r="BSW228" s="18"/>
      <c r="BSX228" s="18"/>
      <c r="BSY228" s="18"/>
      <c r="BSZ228" s="18"/>
      <c r="BTA228" s="18"/>
      <c r="BTB228" s="18"/>
      <c r="BTC228" s="18"/>
      <c r="BTD228" s="18"/>
      <c r="BTE228" s="18"/>
      <c r="BTF228" s="18"/>
      <c r="BTG228" s="18"/>
      <c r="BTH228" s="18"/>
      <c r="BTI228" s="18"/>
    </row>
    <row r="229" spans="1:1881" s="428" customFormat="1" ht="90" customHeight="1" x14ac:dyDescent="0.3">
      <c r="A229" s="100">
        <v>619</v>
      </c>
      <c r="B229" s="375" t="s">
        <v>58</v>
      </c>
      <c r="C229" s="375" t="s">
        <v>349</v>
      </c>
      <c r="D229" s="87" t="s">
        <v>352</v>
      </c>
      <c r="E229" s="812" t="e">
        <f>INDEX('PY1 Data(H)'!$A$1:$CZ$265,MATCH('Unit Data from Audit Worksheet'!$A229,'PY1 Data(H)'!$A$1:$A$258,0),MATCH('Unit Data from Audit Worksheet'!$D$2,'PY1 Data(H)'!$A$1:$CZ$1,0))</f>
        <v>#N/A</v>
      </c>
      <c r="F229" s="813">
        <v>0</v>
      </c>
      <c r="G229" s="432" t="str">
        <f>IF(ISBLANK(F229),"Please do not leave blank ",IF(F229=H229,"","Please review percentage"))</f>
        <v/>
      </c>
      <c r="H229" s="1061">
        <f>ROUND(IFERROR((F228/F227)*100,0),1)</f>
        <v>0</v>
      </c>
      <c r="I229" s="72"/>
      <c r="J229" s="187"/>
      <c r="K229"/>
      <c r="L229" s="550"/>
      <c r="M229"/>
      <c r="N229" s="18"/>
      <c r="O229" s="187"/>
      <c r="P229" s="18"/>
      <c r="Q229" s="18"/>
      <c r="R229" s="18"/>
      <c r="S229" s="18"/>
      <c r="T229" s="18"/>
      <c r="U229" s="18"/>
      <c r="V229" s="18"/>
      <c r="W229" s="18"/>
      <c r="X229" s="18"/>
      <c r="Y229" s="18"/>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c r="GQ229" s="18"/>
      <c r="GR229" s="18"/>
      <c r="GS229" s="18"/>
      <c r="GT229" s="18"/>
      <c r="GU229" s="18"/>
      <c r="GV229" s="18"/>
      <c r="GW229" s="18"/>
      <c r="GX229" s="18"/>
      <c r="GY229" s="18"/>
      <c r="GZ229" s="18"/>
      <c r="HA229" s="18"/>
      <c r="HB229" s="18"/>
      <c r="HC229" s="18"/>
      <c r="HD229" s="18"/>
      <c r="HE229" s="18"/>
      <c r="HF229" s="18"/>
      <c r="HG229" s="18"/>
      <c r="HH229" s="18"/>
      <c r="HI229" s="18"/>
      <c r="HJ229" s="18"/>
      <c r="HK229" s="18"/>
      <c r="HL229" s="18"/>
      <c r="HM229" s="18"/>
      <c r="HN229" s="18"/>
      <c r="HO229" s="18"/>
      <c r="HP229" s="18"/>
      <c r="HQ229" s="18"/>
      <c r="HR229" s="18"/>
      <c r="HS229" s="18"/>
      <c r="HT229" s="18"/>
      <c r="HU229" s="18"/>
      <c r="HV229" s="18"/>
      <c r="HW229" s="18"/>
      <c r="HX229" s="18"/>
      <c r="HY229" s="18"/>
      <c r="HZ229" s="18"/>
      <c r="IA229" s="18"/>
      <c r="IB229" s="18"/>
      <c r="IC229" s="18"/>
      <c r="ID229" s="18"/>
      <c r="IE229" s="18"/>
      <c r="IF229" s="18"/>
      <c r="IG229" s="18"/>
      <c r="IH229" s="18"/>
      <c r="II229" s="18"/>
      <c r="IJ229" s="18"/>
      <c r="IK229" s="18"/>
      <c r="IL229" s="18"/>
      <c r="IM229" s="18"/>
      <c r="IN229" s="18"/>
      <c r="IO229" s="18"/>
      <c r="IP229" s="18"/>
      <c r="IQ229" s="18"/>
      <c r="IR229" s="18"/>
      <c r="IS229" s="18"/>
      <c r="IT229" s="18"/>
      <c r="IU229" s="18"/>
      <c r="IV229" s="18"/>
      <c r="IW229" s="18"/>
      <c r="IX229" s="18"/>
      <c r="IY229" s="18"/>
      <c r="IZ229" s="18"/>
      <c r="JA229" s="18"/>
      <c r="JB229" s="18"/>
      <c r="JC229" s="18"/>
      <c r="JD229" s="18"/>
      <c r="JE229" s="18"/>
      <c r="JF229" s="18"/>
      <c r="JG229" s="18"/>
      <c r="JH229" s="18"/>
      <c r="JI229" s="18"/>
      <c r="JJ229" s="18"/>
      <c r="JK229" s="18"/>
      <c r="JL229" s="18"/>
      <c r="JM229" s="18"/>
      <c r="JN229" s="18"/>
      <c r="JO229" s="18"/>
      <c r="JP229" s="18"/>
      <c r="JQ229" s="18"/>
      <c r="JR229" s="18"/>
      <c r="JS229" s="18"/>
      <c r="JT229" s="18"/>
      <c r="JU229" s="18"/>
      <c r="JV229" s="18"/>
      <c r="JW229" s="18"/>
      <c r="JX229" s="18"/>
      <c r="JY229" s="18"/>
      <c r="JZ229" s="18"/>
      <c r="KA229" s="18"/>
      <c r="KB229" s="18"/>
      <c r="KC229" s="18"/>
      <c r="KD229" s="18"/>
      <c r="KE229" s="18"/>
      <c r="KF229" s="18"/>
      <c r="KG229" s="18"/>
      <c r="KH229" s="18"/>
      <c r="KI229" s="18"/>
      <c r="KJ229" s="18"/>
      <c r="KK229" s="18"/>
      <c r="KL229" s="18"/>
      <c r="KM229" s="18"/>
      <c r="KN229" s="18"/>
      <c r="KO229" s="18"/>
      <c r="KP229" s="18"/>
      <c r="KQ229" s="18"/>
      <c r="KR229" s="18"/>
      <c r="KS229" s="18"/>
      <c r="KT229" s="18"/>
      <c r="KU229" s="18"/>
      <c r="KV229" s="18"/>
      <c r="KW229" s="18"/>
      <c r="KX229" s="18"/>
      <c r="KY229" s="18"/>
      <c r="KZ229" s="18"/>
      <c r="LA229" s="18"/>
      <c r="LB229" s="18"/>
      <c r="LC229" s="18"/>
      <c r="LD229" s="18"/>
      <c r="LE229" s="18"/>
      <c r="LF229" s="18"/>
      <c r="LG229" s="18"/>
      <c r="LH229" s="18"/>
      <c r="LI229" s="18"/>
      <c r="LJ229" s="18"/>
      <c r="LK229" s="18"/>
      <c r="LL229" s="18"/>
      <c r="LM229" s="18"/>
      <c r="LN229" s="18"/>
      <c r="LO229" s="18"/>
      <c r="LP229" s="18"/>
      <c r="LQ229" s="18"/>
      <c r="LR229" s="18"/>
      <c r="LS229" s="18"/>
      <c r="LT229" s="18"/>
      <c r="LU229" s="18"/>
      <c r="LV229" s="18"/>
      <c r="LW229" s="18"/>
      <c r="LX229" s="18"/>
      <c r="LY229" s="18"/>
      <c r="LZ229" s="18"/>
      <c r="MA229" s="18"/>
      <c r="MB229" s="18"/>
      <c r="MC229" s="18"/>
      <c r="MD229" s="18"/>
      <c r="ME229" s="18"/>
      <c r="MF229" s="18"/>
      <c r="MG229" s="18"/>
      <c r="MH229" s="18"/>
      <c r="MI229" s="18"/>
      <c r="MJ229" s="18"/>
      <c r="MK229" s="18"/>
      <c r="ML229" s="18"/>
      <c r="MM229" s="18"/>
      <c r="MN229" s="18"/>
      <c r="MO229" s="18"/>
      <c r="MP229" s="18"/>
      <c r="MQ229" s="18"/>
      <c r="MR229" s="18"/>
      <c r="MS229" s="18"/>
      <c r="MT229" s="18"/>
      <c r="MU229" s="18"/>
      <c r="MV229" s="18"/>
      <c r="MW229" s="18"/>
      <c r="MX229" s="18"/>
      <c r="MY229" s="18"/>
      <c r="MZ229" s="18"/>
      <c r="NA229" s="18"/>
      <c r="NB229" s="18"/>
      <c r="NC229" s="18"/>
      <c r="ND229" s="18"/>
      <c r="NE229" s="18"/>
      <c r="NF229" s="18"/>
      <c r="NG229" s="18"/>
      <c r="NH229" s="18"/>
      <c r="NI229" s="18"/>
      <c r="NJ229" s="18"/>
      <c r="NK229" s="18"/>
      <c r="NL229" s="18"/>
      <c r="NM229" s="18"/>
      <c r="NN229" s="18"/>
      <c r="NO229" s="18"/>
      <c r="NP229" s="18"/>
      <c r="NQ229" s="18"/>
      <c r="NR229" s="18"/>
      <c r="NS229" s="18"/>
      <c r="NT229" s="18"/>
      <c r="NU229" s="18"/>
      <c r="NV229" s="18"/>
      <c r="NW229" s="18"/>
      <c r="NX229" s="18"/>
      <c r="NY229" s="18"/>
      <c r="NZ229" s="18"/>
      <c r="OA229" s="18"/>
      <c r="OB229" s="18"/>
      <c r="OC229" s="18"/>
      <c r="OD229" s="18"/>
      <c r="OE229" s="18"/>
      <c r="OF229" s="18"/>
      <c r="OG229" s="18"/>
      <c r="OH229" s="18"/>
      <c r="OI229" s="18"/>
      <c r="OJ229" s="18"/>
      <c r="OK229" s="18"/>
      <c r="OL229" s="18"/>
      <c r="OM229" s="18"/>
      <c r="ON229" s="18"/>
      <c r="OO229" s="18"/>
      <c r="OP229" s="18"/>
      <c r="OQ229" s="18"/>
      <c r="OR229" s="18"/>
      <c r="OS229" s="18"/>
      <c r="OT229" s="18"/>
      <c r="OU229" s="18"/>
      <c r="OV229" s="18"/>
      <c r="OW229" s="18"/>
      <c r="OX229" s="18"/>
      <c r="OY229" s="18"/>
      <c r="OZ229" s="18"/>
      <c r="PA229" s="18"/>
      <c r="PB229" s="18"/>
      <c r="PC229" s="18"/>
      <c r="PD229" s="18"/>
      <c r="PE229" s="18"/>
      <c r="PF229" s="18"/>
      <c r="PG229" s="18"/>
      <c r="PH229" s="18"/>
      <c r="PI229" s="18"/>
      <c r="PJ229" s="18"/>
      <c r="PK229" s="18"/>
      <c r="PL229" s="18"/>
      <c r="PM229" s="18"/>
      <c r="PN229" s="18"/>
      <c r="PO229" s="18"/>
      <c r="PP229" s="18"/>
      <c r="PQ229" s="18"/>
      <c r="PR229" s="18"/>
      <c r="PS229" s="18"/>
      <c r="PT229" s="18"/>
      <c r="PU229" s="18"/>
      <c r="PV229" s="18"/>
      <c r="PW229" s="18"/>
      <c r="PX229" s="18"/>
      <c r="PY229" s="18"/>
      <c r="PZ229" s="18"/>
      <c r="QA229" s="18"/>
      <c r="QB229" s="18"/>
      <c r="QC229" s="18"/>
      <c r="QD229" s="18"/>
      <c r="QE229" s="18"/>
      <c r="QF229" s="18"/>
      <c r="QG229" s="18"/>
      <c r="QH229" s="18"/>
      <c r="QI229" s="18"/>
      <c r="QJ229" s="18"/>
      <c r="QK229" s="18"/>
      <c r="QL229" s="18"/>
      <c r="QM229" s="18"/>
      <c r="QN229" s="18"/>
      <c r="QO229" s="18"/>
      <c r="QP229" s="18"/>
      <c r="QQ229" s="18"/>
      <c r="QR229" s="18"/>
      <c r="QS229" s="18"/>
      <c r="QT229" s="18"/>
      <c r="QU229" s="18"/>
      <c r="QV229" s="18"/>
      <c r="QW229" s="18"/>
      <c r="QX229" s="18"/>
      <c r="QY229" s="18"/>
      <c r="QZ229" s="18"/>
      <c r="RA229" s="18"/>
      <c r="RB229" s="18"/>
      <c r="RC229" s="18"/>
      <c r="RD229" s="18"/>
      <c r="RE229" s="18"/>
      <c r="RF229" s="18"/>
      <c r="RG229" s="18"/>
      <c r="RH229" s="18"/>
      <c r="RI229" s="18"/>
      <c r="RJ229" s="18"/>
      <c r="RK229" s="18"/>
      <c r="RL229" s="18"/>
      <c r="RM229" s="18"/>
      <c r="RN229" s="18"/>
      <c r="RO229" s="18"/>
      <c r="RP229" s="18"/>
      <c r="RQ229" s="18"/>
      <c r="RR229" s="18"/>
      <c r="RS229" s="18"/>
      <c r="RT229" s="18"/>
      <c r="RU229" s="18"/>
      <c r="RV229" s="18"/>
      <c r="RW229" s="18"/>
      <c r="RX229" s="18"/>
      <c r="RY229" s="18"/>
      <c r="RZ229" s="18"/>
      <c r="SA229" s="18"/>
      <c r="SB229" s="18"/>
      <c r="SC229" s="18"/>
      <c r="SD229" s="18"/>
      <c r="SE229" s="18"/>
      <c r="SF229" s="18"/>
      <c r="SG229" s="18"/>
      <c r="SH229" s="18"/>
      <c r="SI229" s="18"/>
      <c r="SJ229" s="18"/>
      <c r="SK229" s="18"/>
      <c r="SL229" s="18"/>
      <c r="SM229" s="18"/>
      <c r="SN229" s="18"/>
      <c r="SO229" s="18"/>
      <c r="SP229" s="18"/>
      <c r="SQ229" s="18"/>
      <c r="SR229" s="18"/>
      <c r="SS229" s="18"/>
      <c r="ST229" s="18"/>
      <c r="SU229" s="18"/>
      <c r="SV229" s="18"/>
      <c r="SW229" s="18"/>
      <c r="SX229" s="18"/>
      <c r="SY229" s="18"/>
      <c r="SZ229" s="18"/>
      <c r="TA229" s="18"/>
      <c r="TB229" s="18"/>
      <c r="TC229" s="18"/>
      <c r="TD229" s="18"/>
      <c r="TE229" s="18"/>
      <c r="TF229" s="18"/>
      <c r="TG229" s="18"/>
      <c r="TH229" s="18"/>
      <c r="TI229" s="18"/>
      <c r="TJ229" s="18"/>
      <c r="TK229" s="18"/>
      <c r="TL229" s="18"/>
      <c r="TM229" s="18"/>
      <c r="TN229" s="18"/>
      <c r="TO229" s="18"/>
      <c r="TP229" s="18"/>
      <c r="TQ229" s="18"/>
      <c r="TR229" s="18"/>
      <c r="TS229" s="18"/>
      <c r="TT229" s="18"/>
      <c r="TU229" s="18"/>
      <c r="TV229" s="18"/>
      <c r="TW229" s="18"/>
      <c r="TX229" s="18"/>
      <c r="TY229" s="18"/>
      <c r="TZ229" s="18"/>
      <c r="UA229" s="18"/>
      <c r="UB229" s="18"/>
      <c r="UC229" s="18"/>
      <c r="UD229" s="18"/>
      <c r="UE229" s="18"/>
      <c r="UF229" s="18"/>
      <c r="UG229" s="18"/>
      <c r="UH229" s="18"/>
      <c r="UI229" s="18"/>
      <c r="UJ229" s="18"/>
      <c r="UK229" s="18"/>
      <c r="UL229" s="18"/>
      <c r="UM229" s="18"/>
      <c r="UN229" s="18"/>
      <c r="UO229" s="18"/>
      <c r="UP229" s="18"/>
      <c r="UQ229" s="18"/>
      <c r="UR229" s="18"/>
      <c r="US229" s="18"/>
      <c r="UT229" s="18"/>
      <c r="UU229" s="18"/>
      <c r="UV229" s="18"/>
      <c r="UW229" s="18"/>
      <c r="UX229" s="18"/>
      <c r="UY229" s="18"/>
      <c r="UZ229" s="18"/>
      <c r="VA229" s="18"/>
      <c r="VB229" s="18"/>
      <c r="VC229" s="18"/>
      <c r="VD229" s="18"/>
      <c r="VE229" s="18"/>
      <c r="VF229" s="18"/>
      <c r="VG229" s="18"/>
      <c r="VH229" s="18"/>
      <c r="VI229" s="18"/>
      <c r="VJ229" s="18"/>
      <c r="VK229" s="18"/>
      <c r="VL229" s="18"/>
      <c r="VM229" s="18"/>
      <c r="VN229" s="18"/>
      <c r="VO229" s="18"/>
      <c r="VP229" s="18"/>
      <c r="VQ229" s="18"/>
      <c r="VR229" s="18"/>
      <c r="VS229" s="18"/>
      <c r="VT229" s="18"/>
      <c r="VU229" s="18"/>
      <c r="VV229" s="18"/>
      <c r="VW229" s="18"/>
      <c r="VX229" s="18"/>
      <c r="VY229" s="18"/>
      <c r="VZ229" s="18"/>
      <c r="WA229" s="18"/>
      <c r="WB229" s="18"/>
      <c r="WC229" s="18"/>
      <c r="WD229" s="18"/>
      <c r="WE229" s="18"/>
      <c r="WF229" s="18"/>
      <c r="WG229" s="18"/>
      <c r="WH229" s="18"/>
      <c r="WI229" s="18"/>
      <c r="WJ229" s="18"/>
      <c r="WK229" s="18"/>
      <c r="WL229" s="18"/>
      <c r="WM229" s="18"/>
      <c r="WN229" s="18"/>
      <c r="WO229" s="18"/>
      <c r="WP229" s="18"/>
      <c r="WQ229" s="18"/>
      <c r="WR229" s="18"/>
      <c r="WS229" s="18"/>
      <c r="WT229" s="18"/>
      <c r="WU229" s="18"/>
      <c r="WV229" s="18"/>
      <c r="WW229" s="18"/>
      <c r="WX229" s="18"/>
      <c r="WY229" s="18"/>
      <c r="WZ229" s="18"/>
      <c r="XA229" s="18"/>
      <c r="XB229" s="18"/>
      <c r="XC229" s="18"/>
      <c r="XD229" s="18"/>
      <c r="XE229" s="18"/>
      <c r="XF229" s="18"/>
      <c r="XG229" s="18"/>
      <c r="XH229" s="18"/>
      <c r="XI229" s="18"/>
      <c r="XJ229" s="18"/>
      <c r="XK229" s="18"/>
      <c r="XL229" s="18"/>
      <c r="XM229" s="18"/>
      <c r="XN229" s="18"/>
      <c r="XO229" s="18"/>
      <c r="XP229" s="18"/>
      <c r="XQ229" s="18"/>
      <c r="XR229" s="18"/>
      <c r="XS229" s="18"/>
      <c r="XT229" s="18"/>
      <c r="XU229" s="18"/>
      <c r="XV229" s="18"/>
      <c r="XW229" s="18"/>
      <c r="XX229" s="18"/>
      <c r="XY229" s="18"/>
      <c r="XZ229" s="18"/>
      <c r="YA229" s="18"/>
      <c r="YB229" s="18"/>
      <c r="YC229" s="18"/>
      <c r="YD229" s="18"/>
      <c r="YE229" s="18"/>
      <c r="YF229" s="18"/>
      <c r="YG229" s="18"/>
      <c r="YH229" s="18"/>
      <c r="YI229" s="18"/>
      <c r="YJ229" s="18"/>
      <c r="YK229" s="18"/>
      <c r="YL229" s="18"/>
      <c r="YM229" s="18"/>
      <c r="YN229" s="18"/>
      <c r="YO229" s="18"/>
      <c r="YP229" s="18"/>
      <c r="YQ229" s="18"/>
      <c r="YR229" s="18"/>
      <c r="YS229" s="18"/>
      <c r="YT229" s="18"/>
      <c r="YU229" s="18"/>
      <c r="YV229" s="18"/>
      <c r="YW229" s="18"/>
      <c r="YX229" s="18"/>
      <c r="YY229" s="18"/>
      <c r="YZ229" s="18"/>
      <c r="ZA229" s="18"/>
      <c r="ZB229" s="18"/>
      <c r="ZC229" s="18"/>
      <c r="ZD229" s="18"/>
      <c r="ZE229" s="18"/>
      <c r="ZF229" s="18"/>
      <c r="ZG229" s="18"/>
      <c r="ZH229" s="18"/>
      <c r="ZI229" s="18"/>
      <c r="ZJ229" s="18"/>
      <c r="ZK229" s="18"/>
      <c r="ZL229" s="18"/>
      <c r="ZM229" s="18"/>
      <c r="ZN229" s="18"/>
      <c r="ZO229" s="18"/>
      <c r="ZP229" s="18"/>
      <c r="ZQ229" s="18"/>
      <c r="ZR229" s="18"/>
      <c r="ZS229" s="18"/>
      <c r="ZT229" s="18"/>
      <c r="ZU229" s="18"/>
      <c r="ZV229" s="18"/>
      <c r="ZW229" s="18"/>
      <c r="ZX229" s="18"/>
      <c r="ZY229" s="18"/>
      <c r="ZZ229" s="18"/>
      <c r="AAA229" s="18"/>
      <c r="AAB229" s="18"/>
      <c r="AAC229" s="18"/>
      <c r="AAD229" s="18"/>
      <c r="AAE229" s="18"/>
      <c r="AAF229" s="18"/>
      <c r="AAG229" s="18"/>
      <c r="AAH229" s="18"/>
      <c r="AAI229" s="18"/>
      <c r="AAJ229" s="18"/>
      <c r="AAK229" s="18"/>
      <c r="AAL229" s="18"/>
      <c r="AAM229" s="18"/>
      <c r="AAN229" s="18"/>
      <c r="AAO229" s="18"/>
      <c r="AAP229" s="18"/>
      <c r="AAQ229" s="18"/>
      <c r="AAR229" s="18"/>
      <c r="AAS229" s="18"/>
      <c r="AAT229" s="18"/>
      <c r="AAU229" s="18"/>
      <c r="AAV229" s="18"/>
      <c r="AAW229" s="18"/>
      <c r="AAX229" s="18"/>
      <c r="AAY229" s="18"/>
      <c r="AAZ229" s="18"/>
      <c r="ABA229" s="18"/>
      <c r="ABB229" s="18"/>
      <c r="ABC229" s="18"/>
      <c r="ABD229" s="18"/>
      <c r="ABE229" s="18"/>
      <c r="ABF229" s="18"/>
      <c r="ABG229" s="18"/>
      <c r="ABH229" s="18"/>
      <c r="ABI229" s="18"/>
      <c r="ABJ229" s="18"/>
      <c r="ABK229" s="18"/>
      <c r="ABL229" s="18"/>
      <c r="ABM229" s="18"/>
      <c r="ABN229" s="18"/>
      <c r="ABO229" s="18"/>
      <c r="ABP229" s="18"/>
      <c r="ABQ229" s="18"/>
      <c r="ABR229" s="18"/>
      <c r="ABS229" s="18"/>
      <c r="ABT229" s="18"/>
      <c r="ABU229" s="18"/>
      <c r="ABV229" s="18"/>
      <c r="ABW229" s="18"/>
      <c r="ABX229" s="18"/>
      <c r="ABY229" s="18"/>
      <c r="ABZ229" s="18"/>
      <c r="ACA229" s="18"/>
      <c r="ACB229" s="18"/>
      <c r="ACC229" s="18"/>
      <c r="ACD229" s="18"/>
      <c r="ACE229" s="18"/>
      <c r="ACF229" s="18"/>
      <c r="ACG229" s="18"/>
      <c r="ACH229" s="18"/>
      <c r="ACI229" s="18"/>
      <c r="ACJ229" s="18"/>
      <c r="ACK229" s="18"/>
      <c r="ACL229" s="18"/>
      <c r="ACM229" s="18"/>
      <c r="ACN229" s="18"/>
      <c r="ACO229" s="18"/>
      <c r="ACP229" s="18"/>
      <c r="ACQ229" s="18"/>
      <c r="ACR229" s="18"/>
      <c r="ACS229" s="18"/>
      <c r="ACT229" s="18"/>
      <c r="ACU229" s="18"/>
      <c r="ACV229" s="18"/>
      <c r="ACW229" s="18"/>
      <c r="ACX229" s="18"/>
      <c r="ACY229" s="18"/>
      <c r="ACZ229" s="18"/>
      <c r="ADA229" s="18"/>
      <c r="ADB229" s="18"/>
      <c r="ADC229" s="18"/>
      <c r="ADD229" s="18"/>
      <c r="ADE229" s="18"/>
      <c r="ADF229" s="18"/>
      <c r="ADG229" s="18"/>
      <c r="ADH229" s="18"/>
      <c r="ADI229" s="18"/>
      <c r="ADJ229" s="18"/>
      <c r="ADK229" s="18"/>
      <c r="ADL229" s="18"/>
      <c r="ADM229" s="18"/>
      <c r="ADN229" s="18"/>
      <c r="ADO229" s="18"/>
      <c r="ADP229" s="18"/>
      <c r="ADQ229" s="18"/>
      <c r="ADR229" s="18"/>
      <c r="ADS229" s="18"/>
      <c r="ADT229" s="18"/>
      <c r="ADU229" s="18"/>
      <c r="ADV229" s="18"/>
      <c r="ADW229" s="18"/>
      <c r="ADX229" s="18"/>
      <c r="ADY229" s="18"/>
      <c r="ADZ229" s="18"/>
      <c r="AEA229" s="18"/>
      <c r="AEB229" s="18"/>
      <c r="AEC229" s="18"/>
      <c r="AED229" s="18"/>
      <c r="AEE229" s="18"/>
      <c r="AEF229" s="18"/>
      <c r="AEG229" s="18"/>
      <c r="AEH229" s="18"/>
      <c r="AEI229" s="18"/>
      <c r="AEJ229" s="18"/>
      <c r="AEK229" s="18"/>
      <c r="AEL229" s="18"/>
      <c r="AEM229" s="18"/>
      <c r="AEN229" s="18"/>
      <c r="AEO229" s="18"/>
      <c r="AEP229" s="18"/>
      <c r="AEQ229" s="18"/>
      <c r="AER229" s="18"/>
      <c r="AES229" s="18"/>
      <c r="AET229" s="18"/>
      <c r="AEU229" s="18"/>
      <c r="AEV229" s="18"/>
      <c r="AEW229" s="18"/>
      <c r="AEX229" s="18"/>
      <c r="AEY229" s="18"/>
      <c r="AEZ229" s="18"/>
      <c r="AFA229" s="18"/>
      <c r="AFB229" s="18"/>
      <c r="AFC229" s="18"/>
      <c r="AFD229" s="18"/>
      <c r="AFE229" s="18"/>
      <c r="AFF229" s="18"/>
      <c r="AFG229" s="18"/>
      <c r="AFH229" s="18"/>
      <c r="AFI229" s="18"/>
      <c r="AFJ229" s="18"/>
      <c r="AFK229" s="18"/>
      <c r="AFL229" s="18"/>
      <c r="AFM229" s="18"/>
      <c r="AFN229" s="18"/>
      <c r="AFO229" s="18"/>
      <c r="AFP229" s="18"/>
      <c r="AFQ229" s="18"/>
      <c r="AFR229" s="18"/>
      <c r="AFS229" s="18"/>
      <c r="AFT229" s="18"/>
      <c r="AFU229" s="18"/>
      <c r="AFV229" s="18"/>
      <c r="AFW229" s="18"/>
      <c r="AFX229" s="18"/>
      <c r="AFY229" s="18"/>
      <c r="AFZ229" s="18"/>
      <c r="AGA229" s="18"/>
      <c r="AGB229" s="18"/>
      <c r="AGC229" s="18"/>
      <c r="AGD229" s="18"/>
      <c r="AGE229" s="18"/>
      <c r="AGF229" s="18"/>
      <c r="AGG229" s="18"/>
      <c r="AGH229" s="18"/>
      <c r="AGI229" s="18"/>
      <c r="AGJ229" s="18"/>
      <c r="AGK229" s="18"/>
      <c r="AGL229" s="18"/>
      <c r="AGM229" s="18"/>
      <c r="AGN229" s="18"/>
      <c r="AGO229" s="18"/>
      <c r="AGP229" s="18"/>
      <c r="AGQ229" s="18"/>
      <c r="AGR229" s="18"/>
      <c r="AGS229" s="18"/>
      <c r="AGT229" s="18"/>
      <c r="AGU229" s="18"/>
      <c r="AGV229" s="18"/>
      <c r="AGW229" s="18"/>
      <c r="AGX229" s="18"/>
      <c r="AGY229" s="18"/>
      <c r="AGZ229" s="18"/>
      <c r="AHA229" s="18"/>
      <c r="AHB229" s="18"/>
      <c r="AHC229" s="18"/>
      <c r="AHD229" s="18"/>
      <c r="AHE229" s="18"/>
      <c r="AHF229" s="18"/>
      <c r="AHG229" s="18"/>
      <c r="AHH229" s="18"/>
      <c r="AHI229" s="18"/>
      <c r="AHJ229" s="18"/>
      <c r="AHK229" s="18"/>
      <c r="AHL229" s="18"/>
      <c r="AHM229" s="18"/>
      <c r="AHN229" s="18"/>
      <c r="AHO229" s="18"/>
      <c r="AHP229" s="18"/>
      <c r="AHQ229" s="18"/>
      <c r="AHR229" s="18"/>
      <c r="AHS229" s="18"/>
      <c r="AHT229" s="18"/>
      <c r="AHU229" s="18"/>
      <c r="AHV229" s="18"/>
      <c r="AHW229" s="18"/>
      <c r="AHX229" s="18"/>
      <c r="AHY229" s="18"/>
      <c r="AHZ229" s="18"/>
      <c r="AIA229" s="18"/>
      <c r="AIB229" s="18"/>
      <c r="AIC229" s="18"/>
      <c r="AID229" s="18"/>
      <c r="AIE229" s="18"/>
      <c r="AIF229" s="18"/>
      <c r="AIG229" s="18"/>
      <c r="AIH229" s="18"/>
      <c r="AII229" s="18"/>
      <c r="AIJ229" s="18"/>
      <c r="AIK229" s="18"/>
      <c r="AIL229" s="18"/>
      <c r="AIM229" s="18"/>
      <c r="AIN229" s="18"/>
      <c r="AIO229" s="18"/>
      <c r="AIP229" s="18"/>
      <c r="AIQ229" s="18"/>
      <c r="AIR229" s="18"/>
      <c r="AIS229" s="18"/>
      <c r="AIT229" s="18"/>
      <c r="AIU229" s="18"/>
      <c r="AIV229" s="18"/>
      <c r="AIW229" s="18"/>
      <c r="AIX229" s="18"/>
      <c r="AIY229" s="18"/>
      <c r="AIZ229" s="18"/>
      <c r="AJA229" s="18"/>
      <c r="AJB229" s="18"/>
      <c r="AJC229" s="18"/>
      <c r="AJD229" s="18"/>
      <c r="AJE229" s="18"/>
      <c r="AJF229" s="18"/>
      <c r="AJG229" s="18"/>
      <c r="AJH229" s="18"/>
      <c r="AJI229" s="18"/>
      <c r="AJJ229" s="18"/>
      <c r="AJK229" s="18"/>
      <c r="AJL229" s="18"/>
      <c r="AJM229" s="18"/>
      <c r="AJN229" s="18"/>
      <c r="AJO229" s="18"/>
      <c r="AJP229" s="18"/>
      <c r="AJQ229" s="18"/>
      <c r="AJR229" s="18"/>
      <c r="AJS229" s="18"/>
      <c r="AJT229" s="18"/>
      <c r="AJU229" s="18"/>
      <c r="AJV229" s="18"/>
      <c r="AJW229" s="18"/>
      <c r="AJX229" s="18"/>
      <c r="AJY229" s="18"/>
      <c r="AJZ229" s="18"/>
      <c r="AKA229" s="18"/>
      <c r="AKB229" s="18"/>
      <c r="AKC229" s="18"/>
      <c r="AKD229" s="18"/>
      <c r="AKE229" s="18"/>
      <c r="AKF229" s="18"/>
      <c r="AKG229" s="18"/>
      <c r="AKH229" s="18"/>
      <c r="AKI229" s="18"/>
      <c r="AKJ229" s="18"/>
      <c r="AKK229" s="18"/>
      <c r="AKL229" s="18"/>
      <c r="AKM229" s="18"/>
      <c r="AKN229" s="18"/>
      <c r="AKO229" s="18"/>
      <c r="AKP229" s="18"/>
      <c r="AKQ229" s="18"/>
      <c r="AKR229" s="18"/>
      <c r="AKS229" s="18"/>
      <c r="AKT229" s="18"/>
      <c r="AKU229" s="18"/>
      <c r="AKV229" s="18"/>
      <c r="AKW229" s="18"/>
      <c r="AKX229" s="18"/>
      <c r="AKY229" s="18"/>
      <c r="AKZ229" s="18"/>
      <c r="ALA229" s="18"/>
      <c r="ALB229" s="18"/>
      <c r="ALC229" s="18"/>
      <c r="ALD229" s="18"/>
      <c r="ALE229" s="18"/>
      <c r="ALF229" s="18"/>
      <c r="ALG229" s="18"/>
      <c r="ALH229" s="18"/>
      <c r="ALI229" s="18"/>
      <c r="ALJ229" s="18"/>
      <c r="ALK229" s="18"/>
      <c r="ALL229" s="18"/>
      <c r="ALM229" s="18"/>
      <c r="ALN229" s="18"/>
      <c r="ALO229" s="18"/>
      <c r="ALP229" s="18"/>
      <c r="ALQ229" s="18"/>
      <c r="ALR229" s="18"/>
      <c r="ALS229" s="18"/>
      <c r="ALT229" s="18"/>
      <c r="ALU229" s="18"/>
      <c r="ALV229" s="18"/>
      <c r="ALW229" s="18"/>
      <c r="ALX229" s="18"/>
      <c r="ALY229" s="18"/>
      <c r="ALZ229" s="18"/>
      <c r="AMA229" s="18"/>
      <c r="AMB229" s="18"/>
      <c r="AMC229" s="18"/>
      <c r="AMD229" s="18"/>
      <c r="AME229" s="18"/>
      <c r="AMF229" s="18"/>
      <c r="AMG229" s="18"/>
      <c r="AMH229" s="18"/>
      <c r="AMI229" s="18"/>
      <c r="AMJ229" s="18"/>
      <c r="AMK229" s="18"/>
      <c r="AML229" s="18"/>
      <c r="AMM229" s="18"/>
      <c r="AMN229" s="18"/>
      <c r="AMO229" s="18"/>
      <c r="AMP229" s="18"/>
      <c r="AMQ229" s="18"/>
      <c r="AMR229" s="18"/>
      <c r="AMS229" s="18"/>
      <c r="AMT229" s="18"/>
      <c r="AMU229" s="18"/>
      <c r="AMV229" s="18"/>
      <c r="AMW229" s="18"/>
      <c r="AMX229" s="18"/>
      <c r="AMY229" s="18"/>
      <c r="AMZ229" s="18"/>
      <c r="ANA229" s="18"/>
      <c r="ANB229" s="18"/>
      <c r="ANC229" s="18"/>
      <c r="AND229" s="18"/>
      <c r="ANE229" s="18"/>
      <c r="ANF229" s="18"/>
      <c r="ANG229" s="18"/>
      <c r="ANH229" s="18"/>
      <c r="ANI229" s="18"/>
      <c r="ANJ229" s="18"/>
      <c r="ANK229" s="18"/>
      <c r="ANL229" s="18"/>
      <c r="ANM229" s="18"/>
      <c r="ANN229" s="18"/>
      <c r="ANO229" s="18"/>
      <c r="ANP229" s="18"/>
      <c r="ANQ229" s="18"/>
      <c r="ANR229" s="18"/>
      <c r="ANS229" s="18"/>
      <c r="ANT229" s="18"/>
      <c r="ANU229" s="18"/>
      <c r="ANV229" s="18"/>
      <c r="ANW229" s="18"/>
      <c r="ANX229" s="18"/>
      <c r="ANY229" s="18"/>
      <c r="ANZ229" s="18"/>
      <c r="AOA229" s="18"/>
      <c r="AOB229" s="18"/>
      <c r="AOC229" s="18"/>
      <c r="AOD229" s="18"/>
      <c r="AOE229" s="18"/>
      <c r="AOF229" s="18"/>
      <c r="AOG229" s="18"/>
      <c r="AOH229" s="18"/>
      <c r="AOI229" s="18"/>
      <c r="AOJ229" s="18"/>
      <c r="AOK229" s="18"/>
      <c r="AOL229" s="18"/>
      <c r="AOM229" s="18"/>
      <c r="AON229" s="18"/>
      <c r="AOO229" s="18"/>
      <c r="AOP229" s="18"/>
      <c r="AOQ229" s="18"/>
      <c r="AOR229" s="18"/>
      <c r="AOS229" s="18"/>
      <c r="AOT229" s="18"/>
      <c r="AOU229" s="18"/>
      <c r="AOV229" s="18"/>
      <c r="AOW229" s="18"/>
      <c r="AOX229" s="18"/>
      <c r="AOY229" s="18"/>
      <c r="AOZ229" s="18"/>
      <c r="APA229" s="18"/>
      <c r="APB229" s="18"/>
      <c r="APC229" s="18"/>
      <c r="APD229" s="18"/>
      <c r="APE229" s="18"/>
      <c r="APF229" s="18"/>
      <c r="APG229" s="18"/>
      <c r="APH229" s="18"/>
      <c r="API229" s="18"/>
      <c r="APJ229" s="18"/>
      <c r="APK229" s="18"/>
      <c r="APL229" s="18"/>
      <c r="APM229" s="18"/>
      <c r="APN229" s="18"/>
      <c r="APO229" s="18"/>
      <c r="APP229" s="18"/>
      <c r="APQ229" s="18"/>
      <c r="APR229" s="18"/>
      <c r="APS229" s="18"/>
      <c r="APT229" s="18"/>
      <c r="APU229" s="18"/>
      <c r="APV229" s="18"/>
      <c r="APW229" s="18"/>
      <c r="APX229" s="18"/>
      <c r="APY229" s="18"/>
      <c r="APZ229" s="18"/>
      <c r="AQA229" s="18"/>
      <c r="AQB229" s="18"/>
      <c r="AQC229" s="18"/>
      <c r="AQD229" s="18"/>
      <c r="AQE229" s="18"/>
      <c r="AQF229" s="18"/>
      <c r="AQG229" s="18"/>
      <c r="AQH229" s="18"/>
      <c r="AQI229" s="18"/>
      <c r="AQJ229" s="18"/>
      <c r="AQK229" s="18"/>
      <c r="AQL229" s="18"/>
      <c r="AQM229" s="18"/>
      <c r="AQN229" s="18"/>
      <c r="AQO229" s="18"/>
      <c r="AQP229" s="18"/>
      <c r="AQQ229" s="18"/>
      <c r="AQR229" s="18"/>
      <c r="AQS229" s="18"/>
      <c r="AQT229" s="18"/>
      <c r="AQU229" s="18"/>
      <c r="AQV229" s="18"/>
      <c r="AQW229" s="18"/>
      <c r="AQX229" s="18"/>
      <c r="AQY229" s="18"/>
      <c r="AQZ229" s="18"/>
      <c r="ARA229" s="18"/>
      <c r="ARB229" s="18"/>
      <c r="ARC229" s="18"/>
      <c r="ARD229" s="18"/>
      <c r="ARE229" s="18"/>
      <c r="ARF229" s="18"/>
      <c r="ARG229" s="18"/>
      <c r="ARH229" s="18"/>
      <c r="ARI229" s="18"/>
      <c r="ARJ229" s="18"/>
      <c r="ARK229" s="18"/>
      <c r="ARL229" s="18"/>
      <c r="ARM229" s="18"/>
      <c r="ARN229" s="18"/>
      <c r="ARO229" s="18"/>
      <c r="ARP229" s="18"/>
      <c r="ARQ229" s="18"/>
      <c r="ARR229" s="18"/>
      <c r="ARS229" s="18"/>
      <c r="ART229" s="18"/>
      <c r="ARU229" s="18"/>
      <c r="ARV229" s="18"/>
      <c r="ARW229" s="18"/>
      <c r="ARX229" s="18"/>
      <c r="ARY229" s="18"/>
      <c r="ARZ229" s="18"/>
      <c r="ASA229" s="18"/>
      <c r="ASB229" s="18"/>
      <c r="ASC229" s="18"/>
      <c r="ASD229" s="18"/>
      <c r="ASE229" s="18"/>
      <c r="ASF229" s="18"/>
      <c r="ASG229" s="18"/>
      <c r="ASH229" s="18"/>
      <c r="ASI229" s="18"/>
      <c r="ASJ229" s="18"/>
      <c r="ASK229" s="18"/>
      <c r="ASL229" s="18"/>
      <c r="ASM229" s="18"/>
      <c r="ASN229" s="18"/>
      <c r="ASO229" s="18"/>
      <c r="ASP229" s="18"/>
      <c r="ASQ229" s="18"/>
      <c r="ASR229" s="18"/>
      <c r="ASS229" s="18"/>
      <c r="AST229" s="18"/>
      <c r="ASU229" s="18"/>
      <c r="ASV229" s="18"/>
      <c r="ASW229" s="18"/>
      <c r="ASX229" s="18"/>
      <c r="ASY229" s="18"/>
      <c r="ASZ229" s="18"/>
      <c r="ATA229" s="18"/>
      <c r="ATB229" s="18"/>
      <c r="ATC229" s="18"/>
      <c r="ATD229" s="18"/>
      <c r="ATE229" s="18"/>
      <c r="ATF229" s="18"/>
      <c r="ATG229" s="18"/>
      <c r="ATH229" s="18"/>
      <c r="ATI229" s="18"/>
      <c r="ATJ229" s="18"/>
      <c r="ATK229" s="18"/>
      <c r="ATL229" s="18"/>
      <c r="ATM229" s="18"/>
      <c r="ATN229" s="18"/>
      <c r="ATO229" s="18"/>
      <c r="ATP229" s="18"/>
      <c r="ATQ229" s="18"/>
      <c r="ATR229" s="18"/>
      <c r="ATS229" s="18"/>
      <c r="ATT229" s="18"/>
      <c r="ATU229" s="18"/>
      <c r="ATV229" s="18"/>
      <c r="ATW229" s="18"/>
      <c r="ATX229" s="18"/>
      <c r="ATY229" s="18"/>
      <c r="ATZ229" s="18"/>
      <c r="AUA229" s="18"/>
      <c r="AUB229" s="18"/>
      <c r="AUC229" s="18"/>
      <c r="AUD229" s="18"/>
      <c r="AUE229" s="18"/>
      <c r="AUF229" s="18"/>
      <c r="AUG229" s="18"/>
      <c r="AUH229" s="18"/>
      <c r="AUI229" s="18"/>
      <c r="AUJ229" s="18"/>
      <c r="AUK229" s="18"/>
      <c r="AUL229" s="18"/>
      <c r="AUM229" s="18"/>
      <c r="AUN229" s="18"/>
      <c r="AUO229" s="18"/>
      <c r="AUP229" s="18"/>
      <c r="AUQ229" s="18"/>
      <c r="AUR229" s="18"/>
      <c r="AUS229" s="18"/>
      <c r="AUT229" s="18"/>
      <c r="AUU229" s="18"/>
      <c r="AUV229" s="18"/>
      <c r="AUW229" s="18"/>
      <c r="AUX229" s="18"/>
      <c r="AUY229" s="18"/>
      <c r="AUZ229" s="18"/>
      <c r="AVA229" s="18"/>
      <c r="AVB229" s="18"/>
      <c r="AVC229" s="18"/>
      <c r="AVD229" s="18"/>
      <c r="AVE229" s="18"/>
      <c r="AVF229" s="18"/>
      <c r="AVG229" s="18"/>
      <c r="AVH229" s="18"/>
      <c r="AVI229" s="18"/>
      <c r="AVJ229" s="18"/>
      <c r="AVK229" s="18"/>
      <c r="AVL229" s="18"/>
      <c r="AVM229" s="18"/>
      <c r="AVN229" s="18"/>
      <c r="AVO229" s="18"/>
      <c r="AVP229" s="18"/>
      <c r="AVQ229" s="18"/>
      <c r="AVR229" s="18"/>
      <c r="AVS229" s="18"/>
      <c r="AVT229" s="18"/>
      <c r="AVU229" s="18"/>
      <c r="AVV229" s="18"/>
      <c r="AVW229" s="18"/>
      <c r="AVX229" s="18"/>
      <c r="AVY229" s="18"/>
      <c r="AVZ229" s="18"/>
      <c r="AWA229" s="18"/>
      <c r="AWB229" s="18"/>
      <c r="AWC229" s="18"/>
      <c r="AWD229" s="18"/>
      <c r="AWE229" s="18"/>
      <c r="AWF229" s="18"/>
      <c r="AWG229" s="18"/>
      <c r="AWH229" s="18"/>
      <c r="AWI229" s="18"/>
      <c r="AWJ229" s="18"/>
      <c r="AWK229" s="18"/>
      <c r="AWL229" s="18"/>
      <c r="AWM229" s="18"/>
      <c r="AWN229" s="18"/>
      <c r="AWO229" s="18"/>
      <c r="AWP229" s="18"/>
      <c r="AWQ229" s="18"/>
      <c r="AWR229" s="18"/>
      <c r="AWS229" s="18"/>
      <c r="AWT229" s="18"/>
      <c r="AWU229" s="18"/>
      <c r="AWV229" s="18"/>
      <c r="AWW229" s="18"/>
      <c r="AWX229" s="18"/>
      <c r="AWY229" s="18"/>
      <c r="AWZ229" s="18"/>
      <c r="AXA229" s="18"/>
      <c r="AXB229" s="18"/>
      <c r="AXC229" s="18"/>
      <c r="AXD229" s="18"/>
      <c r="AXE229" s="18"/>
      <c r="AXF229" s="18"/>
      <c r="AXG229" s="18"/>
      <c r="AXH229" s="18"/>
      <c r="AXI229" s="18"/>
      <c r="AXJ229" s="18"/>
      <c r="AXK229" s="18"/>
      <c r="AXL229" s="18"/>
      <c r="AXM229" s="18"/>
      <c r="AXN229" s="18"/>
      <c r="AXO229" s="18"/>
      <c r="AXP229" s="18"/>
      <c r="AXQ229" s="18"/>
      <c r="AXR229" s="18"/>
      <c r="AXS229" s="18"/>
      <c r="AXT229" s="18"/>
      <c r="AXU229" s="18"/>
      <c r="AXV229" s="18"/>
      <c r="AXW229" s="18"/>
      <c r="AXX229" s="18"/>
      <c r="AXY229" s="18"/>
      <c r="AXZ229" s="18"/>
      <c r="AYA229" s="18"/>
      <c r="AYB229" s="18"/>
      <c r="AYC229" s="18"/>
      <c r="AYD229" s="18"/>
      <c r="AYE229" s="18"/>
      <c r="AYF229" s="18"/>
      <c r="AYG229" s="18"/>
      <c r="AYH229" s="18"/>
      <c r="AYI229" s="18"/>
      <c r="AYJ229" s="18"/>
      <c r="AYK229" s="18"/>
      <c r="AYL229" s="18"/>
      <c r="AYM229" s="18"/>
      <c r="AYN229" s="18"/>
      <c r="AYO229" s="18"/>
      <c r="AYP229" s="18"/>
      <c r="AYQ229" s="18"/>
      <c r="AYR229" s="18"/>
      <c r="AYS229" s="18"/>
      <c r="AYT229" s="18"/>
      <c r="AYU229" s="18"/>
      <c r="AYV229" s="18"/>
      <c r="AYW229" s="18"/>
      <c r="AYX229" s="18"/>
      <c r="AYY229" s="18"/>
      <c r="AYZ229" s="18"/>
      <c r="AZA229" s="18"/>
      <c r="AZB229" s="18"/>
      <c r="AZC229" s="18"/>
      <c r="AZD229" s="18"/>
      <c r="AZE229" s="18"/>
      <c r="AZF229" s="18"/>
      <c r="AZG229" s="18"/>
      <c r="AZH229" s="18"/>
      <c r="AZI229" s="18"/>
      <c r="AZJ229" s="18"/>
      <c r="AZK229" s="18"/>
      <c r="AZL229" s="18"/>
      <c r="AZM229" s="18"/>
      <c r="AZN229" s="18"/>
      <c r="AZO229" s="18"/>
      <c r="AZP229" s="18"/>
      <c r="AZQ229" s="18"/>
      <c r="AZR229" s="18"/>
      <c r="AZS229" s="18"/>
      <c r="AZT229" s="18"/>
      <c r="AZU229" s="18"/>
      <c r="AZV229" s="18"/>
      <c r="AZW229" s="18"/>
      <c r="AZX229" s="18"/>
      <c r="AZY229" s="18"/>
      <c r="AZZ229" s="18"/>
      <c r="BAA229" s="18"/>
      <c r="BAB229" s="18"/>
      <c r="BAC229" s="18"/>
      <c r="BAD229" s="18"/>
      <c r="BAE229" s="18"/>
      <c r="BAF229" s="18"/>
      <c r="BAG229" s="18"/>
      <c r="BAH229" s="18"/>
      <c r="BAI229" s="18"/>
      <c r="BAJ229" s="18"/>
      <c r="BAK229" s="18"/>
      <c r="BAL229" s="18"/>
      <c r="BAM229" s="18"/>
      <c r="BAN229" s="18"/>
      <c r="BAO229" s="18"/>
      <c r="BAP229" s="18"/>
      <c r="BAQ229" s="18"/>
      <c r="BAR229" s="18"/>
      <c r="BAS229" s="18"/>
      <c r="BAT229" s="18"/>
      <c r="BAU229" s="18"/>
      <c r="BAV229" s="18"/>
      <c r="BAW229" s="18"/>
      <c r="BAX229" s="18"/>
      <c r="BAY229" s="18"/>
      <c r="BAZ229" s="18"/>
      <c r="BBA229" s="18"/>
      <c r="BBB229" s="18"/>
      <c r="BBC229" s="18"/>
      <c r="BBD229" s="18"/>
      <c r="BBE229" s="18"/>
      <c r="BBF229" s="18"/>
      <c r="BBG229" s="18"/>
      <c r="BBH229" s="18"/>
      <c r="BBI229" s="18"/>
      <c r="BBJ229" s="18"/>
      <c r="BBK229" s="18"/>
      <c r="BBL229" s="18"/>
      <c r="BBM229" s="18"/>
      <c r="BBN229" s="18"/>
      <c r="BBO229" s="18"/>
      <c r="BBP229" s="18"/>
      <c r="BBQ229" s="18"/>
      <c r="BBR229" s="18"/>
      <c r="BBS229" s="18"/>
      <c r="BBT229" s="18"/>
      <c r="BBU229" s="18"/>
      <c r="BBV229" s="18"/>
      <c r="BBW229" s="18"/>
      <c r="BBX229" s="18"/>
      <c r="BBY229" s="18"/>
      <c r="BBZ229" s="18"/>
      <c r="BCA229" s="18"/>
      <c r="BCB229" s="18"/>
      <c r="BCC229" s="18"/>
      <c r="BCD229" s="18"/>
      <c r="BCE229" s="18"/>
      <c r="BCF229" s="18"/>
      <c r="BCG229" s="18"/>
      <c r="BCH229" s="18"/>
      <c r="BCI229" s="18"/>
      <c r="BCJ229" s="18"/>
      <c r="BCK229" s="18"/>
      <c r="BCL229" s="18"/>
      <c r="BCM229" s="18"/>
      <c r="BCN229" s="18"/>
      <c r="BCO229" s="18"/>
      <c r="BCP229" s="18"/>
      <c r="BCQ229" s="18"/>
      <c r="BCR229" s="18"/>
      <c r="BCS229" s="18"/>
      <c r="BCT229" s="18"/>
      <c r="BCU229" s="18"/>
      <c r="BCV229" s="18"/>
      <c r="BCW229" s="18"/>
      <c r="BCX229" s="18"/>
      <c r="BCY229" s="18"/>
      <c r="BCZ229" s="18"/>
      <c r="BDA229" s="18"/>
      <c r="BDB229" s="18"/>
      <c r="BDC229" s="18"/>
      <c r="BDD229" s="18"/>
      <c r="BDE229" s="18"/>
      <c r="BDF229" s="18"/>
      <c r="BDG229" s="18"/>
      <c r="BDH229" s="18"/>
      <c r="BDI229" s="18"/>
      <c r="BDJ229" s="18"/>
      <c r="BDK229" s="18"/>
      <c r="BDL229" s="18"/>
      <c r="BDM229" s="18"/>
      <c r="BDN229" s="18"/>
      <c r="BDO229" s="18"/>
      <c r="BDP229" s="18"/>
      <c r="BDQ229" s="18"/>
      <c r="BDR229" s="18"/>
      <c r="BDS229" s="18"/>
      <c r="BDT229" s="18"/>
      <c r="BDU229" s="18"/>
      <c r="BDV229" s="18"/>
      <c r="BDW229" s="18"/>
      <c r="BDX229" s="18"/>
      <c r="BDY229" s="18"/>
      <c r="BDZ229" s="18"/>
      <c r="BEA229" s="18"/>
      <c r="BEB229" s="18"/>
      <c r="BEC229" s="18"/>
      <c r="BED229" s="18"/>
      <c r="BEE229" s="18"/>
      <c r="BEF229" s="18"/>
      <c r="BEG229" s="18"/>
      <c r="BEH229" s="18"/>
      <c r="BEI229" s="18"/>
      <c r="BEJ229" s="18"/>
      <c r="BEK229" s="18"/>
      <c r="BEL229" s="18"/>
      <c r="BEM229" s="18"/>
      <c r="BEN229" s="18"/>
      <c r="BEO229" s="18"/>
      <c r="BEP229" s="18"/>
      <c r="BEQ229" s="18"/>
      <c r="BER229" s="18"/>
      <c r="BES229" s="18"/>
      <c r="BET229" s="18"/>
      <c r="BEU229" s="18"/>
      <c r="BEV229" s="18"/>
      <c r="BEW229" s="18"/>
      <c r="BEX229" s="18"/>
      <c r="BEY229" s="18"/>
      <c r="BEZ229" s="18"/>
      <c r="BFA229" s="18"/>
      <c r="BFB229" s="18"/>
      <c r="BFC229" s="18"/>
      <c r="BFD229" s="18"/>
      <c r="BFE229" s="18"/>
      <c r="BFF229" s="18"/>
      <c r="BFG229" s="18"/>
      <c r="BFH229" s="18"/>
      <c r="BFI229" s="18"/>
      <c r="BFJ229" s="18"/>
      <c r="BFK229" s="18"/>
      <c r="BFL229" s="18"/>
      <c r="BFM229" s="18"/>
      <c r="BFN229" s="18"/>
      <c r="BFO229" s="18"/>
      <c r="BFP229" s="18"/>
      <c r="BFQ229" s="18"/>
      <c r="BFR229" s="18"/>
      <c r="BFS229" s="18"/>
      <c r="BFT229" s="18"/>
      <c r="BFU229" s="18"/>
      <c r="BFV229" s="18"/>
      <c r="BFW229" s="18"/>
      <c r="BFX229" s="18"/>
      <c r="BFY229" s="18"/>
      <c r="BFZ229" s="18"/>
      <c r="BGA229" s="18"/>
      <c r="BGB229" s="18"/>
      <c r="BGC229" s="18"/>
      <c r="BGD229" s="18"/>
      <c r="BGE229" s="18"/>
      <c r="BGF229" s="18"/>
      <c r="BGG229" s="18"/>
      <c r="BGH229" s="18"/>
      <c r="BGI229" s="18"/>
      <c r="BGJ229" s="18"/>
      <c r="BGK229" s="18"/>
      <c r="BGL229" s="18"/>
      <c r="BGM229" s="18"/>
      <c r="BGN229" s="18"/>
      <c r="BGO229" s="18"/>
      <c r="BGP229" s="18"/>
      <c r="BGQ229" s="18"/>
      <c r="BGR229" s="18"/>
      <c r="BGS229" s="18"/>
      <c r="BGT229" s="18"/>
      <c r="BGU229" s="18"/>
      <c r="BGV229" s="18"/>
      <c r="BGW229" s="18"/>
      <c r="BGX229" s="18"/>
      <c r="BGY229" s="18"/>
      <c r="BGZ229" s="18"/>
      <c r="BHA229" s="18"/>
      <c r="BHB229" s="18"/>
      <c r="BHC229" s="18"/>
      <c r="BHD229" s="18"/>
      <c r="BHE229" s="18"/>
      <c r="BHF229" s="18"/>
      <c r="BHG229" s="18"/>
      <c r="BHH229" s="18"/>
      <c r="BHI229" s="18"/>
      <c r="BHJ229" s="18"/>
      <c r="BHK229" s="18"/>
      <c r="BHL229" s="18"/>
      <c r="BHM229" s="18"/>
      <c r="BHN229" s="18"/>
      <c r="BHO229" s="18"/>
      <c r="BHP229" s="18"/>
      <c r="BHQ229" s="18"/>
      <c r="BHR229" s="18"/>
      <c r="BHS229" s="18"/>
      <c r="BHT229" s="18"/>
      <c r="BHU229" s="18"/>
      <c r="BHV229" s="18"/>
      <c r="BHW229" s="18"/>
      <c r="BHX229" s="18"/>
      <c r="BHY229" s="18"/>
      <c r="BHZ229" s="18"/>
      <c r="BIA229" s="18"/>
      <c r="BIB229" s="18"/>
      <c r="BIC229" s="18"/>
      <c r="BID229" s="18"/>
      <c r="BIE229" s="18"/>
      <c r="BIF229" s="18"/>
      <c r="BIG229" s="18"/>
      <c r="BIH229" s="18"/>
      <c r="BII229" s="18"/>
      <c r="BIJ229" s="18"/>
      <c r="BIK229" s="18"/>
      <c r="BIL229" s="18"/>
      <c r="BIM229" s="18"/>
      <c r="BIN229" s="18"/>
      <c r="BIO229" s="18"/>
      <c r="BIP229" s="18"/>
      <c r="BIQ229" s="18"/>
      <c r="BIR229" s="18"/>
      <c r="BIS229" s="18"/>
      <c r="BIT229" s="18"/>
      <c r="BIU229" s="18"/>
      <c r="BIV229" s="18"/>
      <c r="BIW229" s="18"/>
      <c r="BIX229" s="18"/>
      <c r="BIY229" s="18"/>
      <c r="BIZ229" s="18"/>
      <c r="BJA229" s="18"/>
      <c r="BJB229" s="18"/>
      <c r="BJC229" s="18"/>
      <c r="BJD229" s="18"/>
      <c r="BJE229" s="18"/>
      <c r="BJF229" s="18"/>
      <c r="BJG229" s="18"/>
      <c r="BJH229" s="18"/>
      <c r="BJI229" s="18"/>
      <c r="BJJ229" s="18"/>
      <c r="BJK229" s="18"/>
      <c r="BJL229" s="18"/>
      <c r="BJM229" s="18"/>
      <c r="BJN229" s="18"/>
      <c r="BJO229" s="18"/>
      <c r="BJP229" s="18"/>
      <c r="BJQ229" s="18"/>
      <c r="BJR229" s="18"/>
      <c r="BJS229" s="18"/>
      <c r="BJT229" s="18"/>
      <c r="BJU229" s="18"/>
      <c r="BJV229" s="18"/>
      <c r="BJW229" s="18"/>
      <c r="BJX229" s="18"/>
      <c r="BJY229" s="18"/>
      <c r="BJZ229" s="18"/>
      <c r="BKA229" s="18"/>
      <c r="BKB229" s="18"/>
      <c r="BKC229" s="18"/>
      <c r="BKD229" s="18"/>
      <c r="BKE229" s="18"/>
      <c r="BKF229" s="18"/>
      <c r="BKG229" s="18"/>
      <c r="BKH229" s="18"/>
      <c r="BKI229" s="18"/>
      <c r="BKJ229" s="18"/>
      <c r="BKK229" s="18"/>
      <c r="BKL229" s="18"/>
      <c r="BKM229" s="18"/>
      <c r="BKN229" s="18"/>
      <c r="BKO229" s="18"/>
      <c r="BKP229" s="18"/>
      <c r="BKQ229" s="18"/>
      <c r="BKR229" s="18"/>
      <c r="BKS229" s="18"/>
      <c r="BKT229" s="18"/>
      <c r="BKU229" s="18"/>
      <c r="BKV229" s="18"/>
      <c r="BKW229" s="18"/>
      <c r="BKX229" s="18"/>
      <c r="BKY229" s="18"/>
      <c r="BKZ229" s="18"/>
      <c r="BLA229" s="18"/>
      <c r="BLB229" s="18"/>
      <c r="BLC229" s="18"/>
      <c r="BLD229" s="18"/>
      <c r="BLE229" s="18"/>
      <c r="BLF229" s="18"/>
      <c r="BLG229" s="18"/>
      <c r="BLH229" s="18"/>
      <c r="BLI229" s="18"/>
      <c r="BLJ229" s="18"/>
      <c r="BLK229" s="18"/>
      <c r="BLL229" s="18"/>
      <c r="BLM229" s="18"/>
      <c r="BLN229" s="18"/>
      <c r="BLO229" s="18"/>
      <c r="BLP229" s="18"/>
      <c r="BLQ229" s="18"/>
      <c r="BLR229" s="18"/>
      <c r="BLS229" s="18"/>
      <c r="BLT229" s="18"/>
      <c r="BLU229" s="18"/>
      <c r="BLV229" s="18"/>
      <c r="BLW229" s="18"/>
      <c r="BLX229" s="18"/>
      <c r="BLY229" s="18"/>
      <c r="BLZ229" s="18"/>
      <c r="BMA229" s="18"/>
      <c r="BMB229" s="18"/>
      <c r="BMC229" s="18"/>
      <c r="BMD229" s="18"/>
      <c r="BME229" s="18"/>
      <c r="BMF229" s="18"/>
      <c r="BMG229" s="18"/>
      <c r="BMH229" s="18"/>
      <c r="BMI229" s="18"/>
      <c r="BMJ229" s="18"/>
      <c r="BMK229" s="18"/>
      <c r="BML229" s="18"/>
      <c r="BMM229" s="18"/>
      <c r="BMN229" s="18"/>
      <c r="BMO229" s="18"/>
      <c r="BMP229" s="18"/>
      <c r="BMQ229" s="18"/>
      <c r="BMR229" s="18"/>
      <c r="BMS229" s="18"/>
      <c r="BMT229" s="18"/>
      <c r="BMU229" s="18"/>
      <c r="BMV229" s="18"/>
      <c r="BMW229" s="18"/>
      <c r="BMX229" s="18"/>
      <c r="BMY229" s="18"/>
      <c r="BMZ229" s="18"/>
      <c r="BNA229" s="18"/>
      <c r="BNB229" s="18"/>
      <c r="BNC229" s="18"/>
      <c r="BND229" s="18"/>
      <c r="BNE229" s="18"/>
      <c r="BNF229" s="18"/>
      <c r="BNG229" s="18"/>
      <c r="BNH229" s="18"/>
      <c r="BNI229" s="18"/>
      <c r="BNJ229" s="18"/>
      <c r="BNK229" s="18"/>
      <c r="BNL229" s="18"/>
      <c r="BNM229" s="18"/>
      <c r="BNN229" s="18"/>
      <c r="BNO229" s="18"/>
      <c r="BNP229" s="18"/>
      <c r="BNQ229" s="18"/>
      <c r="BNR229" s="18"/>
      <c r="BNS229" s="18"/>
      <c r="BNT229" s="18"/>
      <c r="BNU229" s="18"/>
      <c r="BNV229" s="18"/>
      <c r="BNW229" s="18"/>
      <c r="BNX229" s="18"/>
      <c r="BNY229" s="18"/>
      <c r="BNZ229" s="18"/>
      <c r="BOA229" s="18"/>
      <c r="BOB229" s="18"/>
      <c r="BOC229" s="18"/>
      <c r="BOD229" s="18"/>
      <c r="BOE229" s="18"/>
      <c r="BOF229" s="18"/>
      <c r="BOG229" s="18"/>
      <c r="BOH229" s="18"/>
      <c r="BOI229" s="18"/>
      <c r="BOJ229" s="18"/>
      <c r="BOK229" s="18"/>
      <c r="BOL229" s="18"/>
      <c r="BOM229" s="18"/>
      <c r="BON229" s="18"/>
      <c r="BOO229" s="18"/>
      <c r="BOP229" s="18"/>
      <c r="BOQ229" s="18"/>
      <c r="BOR229" s="18"/>
      <c r="BOS229" s="18"/>
      <c r="BOT229" s="18"/>
      <c r="BOU229" s="18"/>
      <c r="BOV229" s="18"/>
      <c r="BOW229" s="18"/>
      <c r="BOX229" s="18"/>
      <c r="BOY229" s="18"/>
      <c r="BOZ229" s="18"/>
      <c r="BPA229" s="18"/>
      <c r="BPB229" s="18"/>
      <c r="BPC229" s="18"/>
      <c r="BPD229" s="18"/>
      <c r="BPE229" s="18"/>
      <c r="BPF229" s="18"/>
      <c r="BPG229" s="18"/>
      <c r="BPH229" s="18"/>
      <c r="BPI229" s="18"/>
      <c r="BPJ229" s="18"/>
      <c r="BPK229" s="18"/>
      <c r="BPL229" s="18"/>
      <c r="BPM229" s="18"/>
      <c r="BPN229" s="18"/>
      <c r="BPO229" s="18"/>
      <c r="BPP229" s="18"/>
      <c r="BPQ229" s="18"/>
      <c r="BPR229" s="18"/>
      <c r="BPS229" s="18"/>
      <c r="BPT229" s="18"/>
      <c r="BPU229" s="18"/>
      <c r="BPV229" s="18"/>
      <c r="BPW229" s="18"/>
      <c r="BPX229" s="18"/>
      <c r="BPY229" s="18"/>
      <c r="BPZ229" s="18"/>
      <c r="BQA229" s="18"/>
      <c r="BQB229" s="18"/>
      <c r="BQC229" s="18"/>
      <c r="BQD229" s="18"/>
      <c r="BQE229" s="18"/>
      <c r="BQF229" s="18"/>
      <c r="BQG229" s="18"/>
      <c r="BQH229" s="18"/>
      <c r="BQI229" s="18"/>
      <c r="BQJ229" s="18"/>
      <c r="BQK229" s="18"/>
      <c r="BQL229" s="18"/>
      <c r="BQM229" s="18"/>
      <c r="BQN229" s="18"/>
      <c r="BQO229" s="18"/>
      <c r="BQP229" s="18"/>
      <c r="BQQ229" s="18"/>
      <c r="BQR229" s="18"/>
      <c r="BQS229" s="18"/>
      <c r="BQT229" s="18"/>
      <c r="BQU229" s="18"/>
      <c r="BQV229" s="18"/>
      <c r="BQW229" s="18"/>
      <c r="BQX229" s="18"/>
      <c r="BQY229" s="18"/>
      <c r="BQZ229" s="18"/>
      <c r="BRA229" s="18"/>
      <c r="BRB229" s="18"/>
      <c r="BRC229" s="18"/>
      <c r="BRD229" s="18"/>
      <c r="BRE229" s="18"/>
      <c r="BRF229" s="18"/>
      <c r="BRG229" s="18"/>
      <c r="BRH229" s="18"/>
      <c r="BRI229" s="18"/>
      <c r="BRJ229" s="18"/>
      <c r="BRK229" s="18"/>
      <c r="BRL229" s="18"/>
      <c r="BRM229" s="18"/>
      <c r="BRN229" s="18"/>
      <c r="BRO229" s="18"/>
      <c r="BRP229" s="18"/>
      <c r="BRQ229" s="18"/>
      <c r="BRR229" s="18"/>
      <c r="BRS229" s="18"/>
      <c r="BRT229" s="18"/>
      <c r="BRU229" s="18"/>
      <c r="BRV229" s="18"/>
      <c r="BRW229" s="18"/>
      <c r="BRX229" s="18"/>
      <c r="BRY229" s="18"/>
      <c r="BRZ229" s="18"/>
      <c r="BSA229" s="18"/>
      <c r="BSB229" s="18"/>
      <c r="BSC229" s="18"/>
      <c r="BSD229" s="18"/>
      <c r="BSE229" s="18"/>
      <c r="BSF229" s="18"/>
      <c r="BSG229" s="18"/>
      <c r="BSH229" s="18"/>
      <c r="BSI229" s="18"/>
      <c r="BSJ229" s="18"/>
      <c r="BSK229" s="18"/>
      <c r="BSL229" s="18"/>
      <c r="BSM229" s="18"/>
      <c r="BSN229" s="18"/>
      <c r="BSO229" s="18"/>
      <c r="BSP229" s="18"/>
      <c r="BSQ229" s="18"/>
      <c r="BSR229" s="18"/>
      <c r="BSS229" s="18"/>
      <c r="BST229" s="18"/>
      <c r="BSU229" s="18"/>
      <c r="BSV229" s="18"/>
      <c r="BSW229" s="18"/>
      <c r="BSX229" s="18"/>
      <c r="BSY229" s="18"/>
      <c r="BSZ229" s="18"/>
      <c r="BTA229" s="18"/>
      <c r="BTB229" s="18"/>
      <c r="BTC229" s="18"/>
      <c r="BTD229" s="18"/>
      <c r="BTE229" s="18"/>
      <c r="BTF229" s="18"/>
      <c r="BTG229" s="18"/>
      <c r="BTH229" s="18"/>
      <c r="BTI229" s="18"/>
    </row>
    <row r="230" spans="1:1881" ht="35.25" customHeight="1" x14ac:dyDescent="0.3">
      <c r="A230" s="100"/>
      <c r="B230" s="492" t="s">
        <v>25</v>
      </c>
      <c r="C230" s="502"/>
      <c r="D230" s="495"/>
      <c r="E230" s="495"/>
      <c r="F230" s="509"/>
      <c r="G230" s="477"/>
      <c r="H230" s="17"/>
      <c r="I230" s="72"/>
      <c r="J230" s="72"/>
      <c r="K230"/>
      <c r="L230" s="550"/>
    </row>
    <row r="231" spans="1:1881" ht="151.19999999999999" customHeight="1" x14ac:dyDescent="0.3">
      <c r="A231" s="117">
        <v>621</v>
      </c>
      <c r="B231" s="117" t="s">
        <v>326</v>
      </c>
      <c r="C231" s="117" t="s">
        <v>356</v>
      </c>
      <c r="D231" s="116" t="s">
        <v>674</v>
      </c>
      <c r="E231" s="373" t="e">
        <f>INDEX('PY1 Data(H)'!$A$1:$CZ$265,MATCH('Unit Data from Audit Worksheet'!$A231,'PY1 Data(H)'!$A$1:$A$258,0),MATCH('Unit Data from Audit Worksheet'!$D$2,'PY1 Data(H)'!$A$1:$CZ$1,0))</f>
        <v>#N/A</v>
      </c>
      <c r="F231" s="810">
        <v>0</v>
      </c>
      <c r="G231" s="432" t="s">
        <v>675</v>
      </c>
      <c r="I231" s="72"/>
      <c r="K231"/>
      <c r="L231" s="550"/>
    </row>
    <row r="232" spans="1:1881" ht="178.2" customHeight="1" x14ac:dyDescent="0.3">
      <c r="A232" s="100">
        <v>547</v>
      </c>
      <c r="B232" s="375"/>
      <c r="C232" s="375" t="s">
        <v>159</v>
      </c>
      <c r="D232" s="752" t="s">
        <v>1619</v>
      </c>
      <c r="E232" s="373" t="e">
        <f>INDEX('PY1 Data(H)'!$A$1:$CZ$265,MATCH('Unit Data from Audit Worksheet'!$A232,'PY1 Data(H)'!$A$1:$A$258,0),MATCH('Unit Data from Audit Worksheet'!$D$2,'PY1 Data(H)'!$A$1:$CZ$1,0))</f>
        <v>#N/A</v>
      </c>
      <c r="F232" s="185"/>
      <c r="G232" s="431" t="str">
        <f>IF(F232&lt;1,"Please answer this question","")</f>
        <v>Please answer this question</v>
      </c>
      <c r="H232" s="404"/>
      <c r="I232" s="405"/>
      <c r="J232" s="405"/>
      <c r="K232"/>
      <c r="L232" s="550"/>
    </row>
    <row r="233" spans="1:1881" s="18" customFormat="1" ht="120" customHeight="1" x14ac:dyDescent="0.3">
      <c r="A233" s="191">
        <v>659</v>
      </c>
      <c r="B233" s="462" t="s">
        <v>58</v>
      </c>
      <c r="C233" s="462" t="s">
        <v>346</v>
      </c>
      <c r="D233" s="194" t="s">
        <v>676</v>
      </c>
      <c r="E233" s="373" t="e">
        <f>INDEX('PY1 Data(H)'!$A$1:$CZ$265,MATCH('Unit Data from Audit Worksheet'!$A233,'PY1 Data(H)'!$A$1:$A$258,0),MATCH('Unit Data from Audit Worksheet'!$D$2,'PY1 Data(H)'!$A$1:$CZ$1,0))</f>
        <v>#N/A</v>
      </c>
      <c r="F233" s="810">
        <v>0</v>
      </c>
      <c r="G233" s="432" t="s">
        <v>677</v>
      </c>
      <c r="H233" s="403">
        <f>IF(F230&lt;0,"Error: Enter as positive.",)</f>
        <v>0</v>
      </c>
      <c r="I233" s="244"/>
      <c r="J233" s="244"/>
      <c r="K233"/>
      <c r="L233" s="550"/>
      <c r="M233"/>
      <c r="O233" s="187"/>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row>
    <row r="234" spans="1:1881" ht="65.25" customHeight="1" x14ac:dyDescent="0.3">
      <c r="A234" s="191">
        <v>660</v>
      </c>
      <c r="B234" s="462" t="s">
        <v>58</v>
      </c>
      <c r="C234" s="462" t="s">
        <v>346</v>
      </c>
      <c r="D234" s="194" t="s">
        <v>678</v>
      </c>
      <c r="E234" s="373" t="e">
        <f>INDEX('PY1 Data(H)'!$A$1:$CZ$265,MATCH('Unit Data from Audit Worksheet'!$A234,'PY1 Data(H)'!$A$1:$A$258,0),MATCH('Unit Data from Audit Worksheet'!$D$2,'PY1 Data(H)'!$A$1:$CZ$1,0))</f>
        <v>#N/A</v>
      </c>
      <c r="F234" s="810">
        <v>0</v>
      </c>
      <c r="G234" s="432" t="str">
        <f>IF(ISBLANK(F234),"Please do not leave blank","")</f>
        <v/>
      </c>
      <c r="H234" s="403">
        <f>IF(F231&lt;0,"Note: Number is normally positive.",)</f>
        <v>0</v>
      </c>
      <c r="I234" s="17"/>
      <c r="J234" s="17"/>
      <c r="K234"/>
      <c r="L234" s="550"/>
    </row>
    <row r="235" spans="1:1881" ht="94.5" customHeight="1" x14ac:dyDescent="0.3">
      <c r="A235" s="191">
        <v>661</v>
      </c>
      <c r="B235" s="462" t="s">
        <v>58</v>
      </c>
      <c r="C235" s="462" t="s">
        <v>348</v>
      </c>
      <c r="D235" s="345" t="s">
        <v>679</v>
      </c>
      <c r="E235" s="812" t="e">
        <f>INDEX('PY1 Data(H)'!$A$1:$CZ$265,MATCH('Unit Data from Audit Worksheet'!$A235,'PY1 Data(H)'!$A$1:$A$258,0),MATCH('Unit Data from Audit Worksheet'!$D$2,'PY1 Data(H)'!$A$1:$CZ$1,0))</f>
        <v>#N/A</v>
      </c>
      <c r="F235" s="813">
        <v>0</v>
      </c>
      <c r="G235" s="432" t="str">
        <f>IF(ISBLANK(F235),"Please do not leave blank ",IF(F235=H235,"","Please review percentage"))</f>
        <v/>
      </c>
      <c r="H235" s="814">
        <f>ROUND(IFERROR((F234/F233)*100,0),1)</f>
        <v>0</v>
      </c>
      <c r="I235" s="1054"/>
      <c r="J235" s="433"/>
      <c r="K235"/>
      <c r="L235" s="550"/>
    </row>
    <row r="236" spans="1:1881" ht="111.75" customHeight="1" x14ac:dyDescent="0.3">
      <c r="A236" s="100"/>
      <c r="B236" s="375"/>
      <c r="C236" s="375"/>
      <c r="D236" s="24" t="s">
        <v>26</v>
      </c>
      <c r="E236" s="373"/>
      <c r="F236" s="377"/>
      <c r="G236" s="432"/>
      <c r="H236" s="433"/>
      <c r="I236" s="1055"/>
      <c r="J236" s="434"/>
      <c r="K236"/>
      <c r="L236" s="550"/>
    </row>
    <row r="237" spans="1:1881" ht="32.25" customHeight="1" x14ac:dyDescent="0.3">
      <c r="A237" s="100"/>
      <c r="B237" s="492" t="s">
        <v>27</v>
      </c>
      <c r="C237" s="502"/>
      <c r="D237" s="495"/>
      <c r="E237" s="508"/>
      <c r="F237" s="508"/>
      <c r="G237" s="477"/>
      <c r="H237" s="17"/>
      <c r="I237" s="72"/>
      <c r="J237" s="72"/>
      <c r="K237"/>
      <c r="L237" s="550"/>
    </row>
    <row r="238" spans="1:1881" ht="63.75" customHeight="1" x14ac:dyDescent="0.3">
      <c r="A238" s="30">
        <v>371</v>
      </c>
      <c r="B238" s="4" t="s">
        <v>55</v>
      </c>
      <c r="C238" s="4" t="s">
        <v>160</v>
      </c>
      <c r="D238" s="21" t="s">
        <v>772</v>
      </c>
      <c r="E238" s="373" t="e">
        <f>INDEX('PY1 Data(H)'!$A$1:$CZ$265,MATCH('Unit Data from Audit Worksheet'!$A238,'PY1 Data(H)'!$A$1:$A$258,0),MATCH('Unit Data from Audit Worksheet'!$D$2,'PY1 Data(H)'!$A$1:$CZ$1,0))</f>
        <v>#N/A</v>
      </c>
      <c r="F238" s="810">
        <v>0</v>
      </c>
      <c r="G238" s="403">
        <f>IF(F238&lt;0,"Error: Enter as positive.",)</f>
        <v>0</v>
      </c>
      <c r="H238" s="17"/>
      <c r="I238" s="72"/>
      <c r="J238" s="72"/>
      <c r="K238"/>
      <c r="L238" s="550"/>
    </row>
    <row r="239" spans="1:1881" ht="63.75" customHeight="1" x14ac:dyDescent="0.3">
      <c r="A239" s="628">
        <v>1075</v>
      </c>
      <c r="B239" s="798" t="s">
        <v>58</v>
      </c>
      <c r="C239" s="464" t="s">
        <v>160</v>
      </c>
      <c r="D239" s="655" t="s">
        <v>1913</v>
      </c>
      <c r="E239" s="630" t="s">
        <v>1657</v>
      </c>
      <c r="F239" s="810">
        <v>0</v>
      </c>
      <c r="G239" s="403"/>
      <c r="H239" s="17"/>
      <c r="I239" s="72"/>
      <c r="J239" s="72"/>
      <c r="K239" s="180"/>
      <c r="L239" s="550"/>
      <c r="M239" s="180"/>
      <c r="Z239" s="180"/>
      <c r="AA239" s="180"/>
      <c r="AB239" s="180"/>
      <c r="AC239" s="180"/>
      <c r="AD239" s="180"/>
      <c r="AE239" s="180"/>
      <c r="AF239" s="180"/>
      <c r="AG239" s="180"/>
      <c r="AH239" s="180"/>
      <c r="AI239" s="180"/>
      <c r="AJ239" s="180"/>
      <c r="AK239" s="180"/>
      <c r="AL239" s="180"/>
      <c r="AM239" s="180"/>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0"/>
      <c r="BR239" s="180"/>
      <c r="BS239" s="180"/>
      <c r="BT239" s="180"/>
      <c r="BU239" s="180"/>
      <c r="BV239" s="180"/>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c r="CV239" s="180"/>
      <c r="CW239" s="180"/>
      <c r="CX239" s="180"/>
      <c r="CY239" s="180"/>
      <c r="CZ239" s="180"/>
      <c r="DA239" s="180"/>
      <c r="DB239" s="180"/>
      <c r="DC239" s="180"/>
      <c r="DD239" s="180"/>
      <c r="DE239" s="180"/>
      <c r="DF239" s="180"/>
      <c r="DG239" s="180"/>
      <c r="DH239" s="180"/>
      <c r="DI239" s="180"/>
      <c r="DJ239" s="180"/>
      <c r="DK239" s="180"/>
      <c r="DL239" s="180"/>
      <c r="DM239" s="180"/>
      <c r="DN239" s="180"/>
      <c r="DO239" s="180"/>
      <c r="DP239" s="180"/>
      <c r="DQ239" s="180"/>
      <c r="DR239" s="180"/>
      <c r="DS239" s="180"/>
    </row>
    <row r="240" spans="1:1881" ht="63.75" customHeight="1" x14ac:dyDescent="0.3">
      <c r="A240" s="628">
        <v>1076</v>
      </c>
      <c r="B240" s="798" t="s">
        <v>58</v>
      </c>
      <c r="C240" s="464" t="s">
        <v>160</v>
      </c>
      <c r="D240" s="655" t="s">
        <v>1914</v>
      </c>
      <c r="E240" s="630" t="s">
        <v>1657</v>
      </c>
      <c r="F240" s="810">
        <v>0</v>
      </c>
      <c r="G240" s="403"/>
      <c r="H240" s="17"/>
      <c r="I240" s="72"/>
      <c r="J240" s="72"/>
      <c r="K240" s="180"/>
      <c r="L240" s="550"/>
      <c r="M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c r="DS240" s="180"/>
    </row>
    <row r="241" spans="1:123" ht="100.8" x14ac:dyDescent="0.3">
      <c r="A241" s="628">
        <v>1077</v>
      </c>
      <c r="B241" s="798" t="s">
        <v>58</v>
      </c>
      <c r="C241" s="723" t="s">
        <v>1917</v>
      </c>
      <c r="D241" s="655" t="s">
        <v>1656</v>
      </c>
      <c r="E241" s="630" t="s">
        <v>1657</v>
      </c>
      <c r="F241" s="810">
        <v>0</v>
      </c>
      <c r="G241" s="403"/>
      <c r="H241" s="17"/>
      <c r="I241" s="72"/>
      <c r="J241" s="72"/>
      <c r="K241" s="180"/>
      <c r="L241" s="550"/>
      <c r="M241" s="180"/>
      <c r="Z241" s="180"/>
      <c r="AA241" s="180"/>
      <c r="AB241" s="180"/>
      <c r="AC241" s="180"/>
      <c r="AD241" s="180"/>
      <c r="AE241" s="180"/>
      <c r="AF241" s="180"/>
      <c r="AG241" s="180"/>
      <c r="AH241" s="180"/>
      <c r="AI241" s="180"/>
      <c r="AJ241" s="180"/>
      <c r="AK241" s="180"/>
      <c r="AL241" s="180"/>
      <c r="AM241" s="180"/>
      <c r="AN241" s="180"/>
      <c r="AO241" s="180"/>
      <c r="AP241" s="180"/>
      <c r="AQ241" s="180"/>
      <c r="AR241" s="180"/>
      <c r="AS241" s="180"/>
      <c r="AT241" s="180"/>
      <c r="AU241" s="180"/>
      <c r="AV241" s="180"/>
      <c r="AW241" s="180"/>
      <c r="AX241" s="180"/>
      <c r="AY241" s="180"/>
      <c r="AZ241" s="180"/>
      <c r="BA241" s="180"/>
      <c r="BB241" s="180"/>
      <c r="BC241" s="180"/>
      <c r="BD241" s="180"/>
      <c r="BE241" s="180"/>
      <c r="BF241" s="180"/>
      <c r="BG241" s="180"/>
      <c r="BH241" s="180"/>
      <c r="BI241" s="180"/>
      <c r="BJ241" s="180"/>
      <c r="BK241" s="180"/>
      <c r="BL241" s="180"/>
      <c r="BM241" s="180"/>
      <c r="BN241" s="180"/>
      <c r="BO241" s="180"/>
      <c r="BP241" s="180"/>
      <c r="BQ241" s="180"/>
      <c r="BR241" s="180"/>
      <c r="BS241" s="180"/>
      <c r="BT241" s="180"/>
      <c r="BU241" s="180"/>
      <c r="BV241" s="180"/>
      <c r="BW241" s="180"/>
      <c r="BX241" s="180"/>
      <c r="BY241" s="180"/>
      <c r="BZ241" s="180"/>
      <c r="CA241" s="180"/>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c r="CV241" s="180"/>
      <c r="CW241" s="180"/>
      <c r="CX241" s="180"/>
      <c r="CY241" s="180"/>
      <c r="CZ241" s="180"/>
      <c r="DA241" s="180"/>
      <c r="DB241" s="180"/>
      <c r="DC241" s="180"/>
      <c r="DD241" s="180"/>
      <c r="DE241" s="180"/>
      <c r="DF241" s="180"/>
      <c r="DG241" s="180"/>
      <c r="DH241" s="180"/>
      <c r="DI241" s="180"/>
      <c r="DJ241" s="180"/>
      <c r="DK241" s="180"/>
      <c r="DL241" s="180"/>
      <c r="DM241" s="180"/>
      <c r="DN241" s="180"/>
      <c r="DO241" s="180"/>
      <c r="DP241" s="180"/>
      <c r="DQ241" s="180"/>
      <c r="DR241" s="180"/>
      <c r="DS241" s="180"/>
    </row>
    <row r="242" spans="1:123" ht="70.5" customHeight="1" x14ac:dyDescent="0.3">
      <c r="A242" s="100">
        <v>513</v>
      </c>
      <c r="B242" s="460" t="s">
        <v>57</v>
      </c>
      <c r="C242" s="4" t="s">
        <v>160</v>
      </c>
      <c r="D242" s="21" t="s">
        <v>773</v>
      </c>
      <c r="E242" s="809" t="e">
        <f>INDEX('PY1 Data(H)'!$A$1:$CZ$265,MATCH('Unit Data from Audit Worksheet'!$A242,'PY1 Data(H)'!$A$1:$A$258,0),MATCH('Unit Data from Audit Worksheet'!$D$2,'PY1 Data(H)'!$A$1:$CZ$1,0))</f>
        <v>#N/A</v>
      </c>
      <c r="F242" s="185">
        <v>0</v>
      </c>
      <c r="G242" s="403">
        <f>IF(F242&lt;0,"Error: Enter as positive.",)</f>
        <v>0</v>
      </c>
      <c r="H242" s="404"/>
      <c r="I242" s="405"/>
      <c r="J242" s="405"/>
      <c r="K242"/>
      <c r="L242" s="550"/>
    </row>
    <row r="243" spans="1:123" ht="80.25" customHeight="1" x14ac:dyDescent="0.3">
      <c r="A243" s="100">
        <v>514</v>
      </c>
      <c r="B243" s="460" t="s">
        <v>57</v>
      </c>
      <c r="C243" s="4" t="s">
        <v>160</v>
      </c>
      <c r="D243" s="21" t="s">
        <v>774</v>
      </c>
      <c r="E243" s="809" t="e">
        <f>INDEX('PY1 Data(H)'!$A$1:$CZ$265,MATCH('Unit Data from Audit Worksheet'!$A243,'PY1 Data(H)'!$A$1:$A$258,0),MATCH('Unit Data from Audit Worksheet'!$D$2,'PY1 Data(H)'!$A$1:$CZ$1,0))</f>
        <v>#N/A</v>
      </c>
      <c r="F243" s="185">
        <v>0</v>
      </c>
      <c r="G243" s="403">
        <f>IF(F243&lt;0,"Error: Enter as positive.",)</f>
        <v>0</v>
      </c>
      <c r="H243" s="17"/>
      <c r="I243" s="405"/>
      <c r="J243" s="405"/>
      <c r="K243"/>
      <c r="L243" s="550"/>
    </row>
    <row r="244" spans="1:123" ht="80.25" customHeight="1" x14ac:dyDescent="0.3">
      <c r="A244" s="100">
        <v>990</v>
      </c>
      <c r="B244" s="958" t="s">
        <v>1963</v>
      </c>
      <c r="C244" s="375" t="s">
        <v>160</v>
      </c>
      <c r="D244" s="21" t="s">
        <v>1504</v>
      </c>
      <c r="E244" s="809" t="e">
        <f>INDEX('PY1 Data(H)'!$A$1:$CZ$265,MATCH('Unit Data from Audit Worksheet'!$A244,'PY1 Data(H)'!$A$1:$A$258,0),MATCH('Unit Data from Audit Worksheet'!$D$2,'PY1 Data(H)'!$A$1:$CZ$1,0))</f>
        <v>#N/A</v>
      </c>
      <c r="F244" s="185">
        <v>0</v>
      </c>
      <c r="G244" s="403">
        <f>IF(F244&lt;0,"Error: Enter as positive.",)</f>
        <v>0</v>
      </c>
      <c r="H244" s="17"/>
      <c r="I244" s="405"/>
      <c r="J244" s="405"/>
      <c r="K244"/>
      <c r="L244" s="550"/>
    </row>
    <row r="245" spans="1:123" ht="96" customHeight="1" x14ac:dyDescent="0.3">
      <c r="A245" s="375">
        <v>1051</v>
      </c>
      <c r="B245" s="960" t="s">
        <v>1959</v>
      </c>
      <c r="C245" s="717" t="s">
        <v>1509</v>
      </c>
      <c r="D245" s="797" t="s">
        <v>1500</v>
      </c>
      <c r="E245" s="809" t="e">
        <f>INDEX('PY1 Data(H)'!$A$1:$CZ$265,MATCH('Unit Data from Audit Worksheet'!$A245,'PY1 Data(H)'!$A$1:$A$258,0),MATCH('Unit Data from Audit Worksheet'!$D$2,'PY1 Data(H)'!$A$1:$CZ$1,0))</f>
        <v>#N/A</v>
      </c>
      <c r="F245" s="185">
        <v>0</v>
      </c>
      <c r="G245" s="403">
        <f>IF(F245&lt;0,"Error: Enter as positive.",)</f>
        <v>0</v>
      </c>
      <c r="H245" s="17"/>
      <c r="I245" s="405"/>
      <c r="J245" s="405"/>
      <c r="K245" s="180"/>
      <c r="L245" s="550"/>
      <c r="M245" s="180"/>
      <c r="Z245" s="180"/>
      <c r="AA245" s="180"/>
      <c r="AB245" s="180"/>
      <c r="AC245" s="180"/>
      <c r="AD245" s="180"/>
      <c r="AE245" s="180"/>
      <c r="AF245" s="180"/>
      <c r="AG245" s="180"/>
      <c r="AH245" s="180"/>
      <c r="AI245" s="180"/>
      <c r="AJ245" s="180"/>
      <c r="AK245" s="180"/>
      <c r="AL245" s="180"/>
      <c r="AM245" s="180"/>
      <c r="AN245" s="180"/>
      <c r="AO245" s="180"/>
      <c r="AP245" s="180"/>
      <c r="AQ245" s="180"/>
      <c r="AR245" s="180"/>
      <c r="AS245" s="180"/>
      <c r="AT245" s="180"/>
      <c r="AU245" s="180"/>
      <c r="AV245" s="180"/>
      <c r="AW245" s="180"/>
      <c r="AX245" s="180"/>
      <c r="AY245" s="180"/>
      <c r="AZ245" s="180"/>
      <c r="BA245" s="180"/>
      <c r="BB245" s="180"/>
      <c r="BC245" s="180"/>
      <c r="BD245" s="180"/>
      <c r="BE245" s="180"/>
      <c r="BF245" s="180"/>
      <c r="BG245" s="180"/>
      <c r="BH245" s="180"/>
      <c r="BI245" s="180"/>
      <c r="BJ245" s="180"/>
      <c r="BK245" s="180"/>
      <c r="BL245" s="180"/>
      <c r="BM245" s="180"/>
      <c r="BN245" s="180"/>
      <c r="BO245" s="180"/>
      <c r="BP245" s="180"/>
      <c r="BQ245" s="180"/>
      <c r="BR245" s="180"/>
      <c r="BS245" s="180"/>
      <c r="BT245" s="180"/>
      <c r="BU245" s="180"/>
      <c r="BV245" s="180"/>
      <c r="BW245" s="180"/>
      <c r="BX245" s="180"/>
      <c r="BY245" s="180"/>
      <c r="BZ245" s="180"/>
      <c r="CA245" s="180"/>
      <c r="CB245" s="180"/>
      <c r="CC245" s="180"/>
      <c r="CD245" s="180"/>
      <c r="CE245" s="180"/>
      <c r="CF245" s="180"/>
      <c r="CG245" s="180"/>
      <c r="CH245" s="180"/>
      <c r="CI245" s="180"/>
      <c r="CJ245" s="180"/>
      <c r="CK245" s="180"/>
      <c r="CL245" s="180"/>
      <c r="CM245" s="180"/>
      <c r="CN245" s="180"/>
      <c r="CO245" s="180"/>
      <c r="CP245" s="180"/>
      <c r="CQ245" s="180"/>
      <c r="CR245" s="180"/>
      <c r="CS245" s="180"/>
      <c r="CT245" s="180"/>
      <c r="CU245" s="180"/>
      <c r="CV245" s="180"/>
      <c r="CW245" s="180"/>
      <c r="CX245" s="180"/>
      <c r="CY245" s="180"/>
      <c r="CZ245" s="180"/>
      <c r="DA245" s="180"/>
      <c r="DB245" s="180"/>
      <c r="DC245" s="180"/>
      <c r="DD245" s="180"/>
      <c r="DE245" s="180"/>
      <c r="DF245" s="180"/>
      <c r="DG245" s="180"/>
      <c r="DH245" s="180"/>
      <c r="DI245" s="180"/>
      <c r="DJ245" s="180"/>
      <c r="DK245" s="180"/>
      <c r="DL245" s="180"/>
      <c r="DM245" s="180"/>
      <c r="DN245" s="180"/>
      <c r="DO245" s="180"/>
      <c r="DP245" s="180"/>
      <c r="DQ245" s="180"/>
      <c r="DR245" s="180"/>
      <c r="DS245" s="180"/>
    </row>
    <row r="246" spans="1:123" ht="32.25" customHeight="1" x14ac:dyDescent="0.3">
      <c r="A246" s="100"/>
      <c r="B246" s="492" t="s">
        <v>28</v>
      </c>
      <c r="C246" s="502"/>
      <c r="D246" s="495"/>
      <c r="E246" s="477"/>
      <c r="F246" s="477"/>
      <c r="G246" s="477"/>
      <c r="H246" s="17"/>
      <c r="I246" s="72"/>
      <c r="J246" s="72"/>
      <c r="K246"/>
      <c r="L246" s="550"/>
    </row>
    <row r="247" spans="1:123" ht="68.25" customHeight="1" x14ac:dyDescent="0.3">
      <c r="A247" s="100">
        <v>6</v>
      </c>
      <c r="B247" s="957" t="s">
        <v>1944</v>
      </c>
      <c r="C247" s="4" t="s">
        <v>161</v>
      </c>
      <c r="D247" s="21" t="s">
        <v>775</v>
      </c>
      <c r="E247" s="373" t="e">
        <f>INDEX('PY1 Data(H)'!$A$1:$CZ$265,MATCH('Unit Data from Audit Worksheet'!$A247,'PY1 Data(H)'!$A$1:$A$258,0),MATCH('Unit Data from Audit Worksheet'!$D$2,'PY1 Data(H)'!$A$1:$CZ$1,0))</f>
        <v>#N/A</v>
      </c>
      <c r="F247" s="810">
        <v>0</v>
      </c>
      <c r="G247" s="403">
        <f>IF(F247&lt;0,"Error: Enter as positive.",)</f>
        <v>0</v>
      </c>
      <c r="H247" s="17"/>
      <c r="I247" s="72"/>
      <c r="J247" s="72"/>
      <c r="K247"/>
      <c r="L247" s="550"/>
    </row>
    <row r="248" spans="1:123" ht="33" customHeight="1" x14ac:dyDescent="0.3">
      <c r="A248" s="100"/>
      <c r="B248" s="492" t="s">
        <v>172</v>
      </c>
      <c r="C248" s="502"/>
      <c r="D248" s="495"/>
      <c r="E248" s="487"/>
      <c r="F248" s="487"/>
      <c r="G248" s="487"/>
      <c r="H248" s="404"/>
      <c r="I248" s="405"/>
      <c r="J248" s="405"/>
      <c r="K248"/>
      <c r="L248" s="550"/>
    </row>
    <row r="249" spans="1:123" ht="141" customHeight="1" x14ac:dyDescent="0.3">
      <c r="A249" s="100">
        <v>541</v>
      </c>
      <c r="B249" s="375" t="s">
        <v>58</v>
      </c>
      <c r="C249" s="375" t="s">
        <v>776</v>
      </c>
      <c r="D249" s="372" t="s">
        <v>777</v>
      </c>
      <c r="E249" s="373" t="e">
        <f>INDEX('PY1 Data(H)'!$A$1:$CZ$265,MATCH('Unit Data from Audit Worksheet'!$A249,'PY1 Data(H)'!$A$1:$A$258,0),MATCH('Unit Data from Audit Worksheet'!$D$2,'PY1 Data(H)'!$A$1:$CZ$1,0))</f>
        <v>#N/A</v>
      </c>
      <c r="F249" s="810">
        <v>0</v>
      </c>
      <c r="G249" s="403"/>
      <c r="H249" s="404"/>
      <c r="I249" s="405"/>
      <c r="J249" s="405"/>
      <c r="K249"/>
      <c r="L249" s="550"/>
    </row>
    <row r="250" spans="1:123" ht="28.5" customHeight="1" x14ac:dyDescent="0.3">
      <c r="A250" s="100"/>
      <c r="B250" s="492" t="s">
        <v>49</v>
      </c>
      <c r="C250" s="502"/>
      <c r="D250" s="495"/>
      <c r="E250" s="506"/>
      <c r="F250" s="506"/>
      <c r="G250" s="506"/>
      <c r="H250" s="404"/>
      <c r="I250" s="405"/>
      <c r="J250" s="405"/>
      <c r="K250"/>
      <c r="L250" s="550"/>
    </row>
    <row r="251" spans="1:123" ht="91.95" customHeight="1" x14ac:dyDescent="0.3">
      <c r="A251" s="100">
        <v>542</v>
      </c>
      <c r="B251" s="375" t="s">
        <v>58</v>
      </c>
      <c r="C251" s="467" t="s">
        <v>778</v>
      </c>
      <c r="D251" s="26" t="s">
        <v>162</v>
      </c>
      <c r="E251" s="373" t="e">
        <f>INDEX('PY1 Data(H)'!$A$1:$CZ$265,MATCH('Unit Data from Audit Worksheet'!$A251,'PY1 Data(H)'!$A$1:$A$258,0),MATCH('Unit Data from Audit Worksheet'!$D$2,'PY1 Data(H)'!$A$1:$CZ$1,0))</f>
        <v>#N/A</v>
      </c>
      <c r="F251" s="810">
        <v>0</v>
      </c>
      <c r="G251" s="403"/>
      <c r="H251" s="404"/>
      <c r="I251" s="435"/>
      <c r="J251" s="435"/>
      <c r="K251"/>
      <c r="L251" s="550"/>
    </row>
    <row r="252" spans="1:123" ht="21.6" customHeight="1" x14ac:dyDescent="0.3">
      <c r="A252" s="100"/>
      <c r="B252" s="492" t="s">
        <v>779</v>
      </c>
      <c r="C252" s="716"/>
      <c r="D252" s="470"/>
      <c r="E252" s="489"/>
      <c r="F252" s="489"/>
      <c r="G252" s="489"/>
      <c r="H252" s="17"/>
      <c r="I252" s="72"/>
      <c r="J252" s="72"/>
      <c r="K252"/>
      <c r="L252" s="550"/>
    </row>
    <row r="253" spans="1:123" ht="12.6" customHeight="1" x14ac:dyDescent="0.3">
      <c r="A253" s="100"/>
      <c r="B253" s="751" t="s">
        <v>12</v>
      </c>
      <c r="C253" s="724"/>
      <c r="D253" s="470"/>
      <c r="E253" s="510"/>
      <c r="F253" s="510"/>
      <c r="G253" s="489"/>
      <c r="H253" s="17"/>
      <c r="I253" s="72"/>
      <c r="J253" s="72"/>
      <c r="K253"/>
      <c r="L253" s="550"/>
    </row>
    <row r="254" spans="1:123" ht="77.25" customHeight="1" x14ac:dyDescent="0.3">
      <c r="A254" s="100">
        <v>528</v>
      </c>
      <c r="B254" s="375" t="s">
        <v>54</v>
      </c>
      <c r="C254" s="4" t="s">
        <v>163</v>
      </c>
      <c r="D254" s="324" t="s">
        <v>1926</v>
      </c>
      <c r="E254" s="373" t="e">
        <f>INDEX('PY1 Data(H)'!$A$1:$CZ$265,MATCH('Unit Data from Audit Worksheet'!$A254,'PY1 Data(H)'!$A$1:$A$258,0),MATCH('Unit Data from Audit Worksheet'!$D$2,'PY1 Data(H)'!$A$1:$CZ$1,0))</f>
        <v>#N/A</v>
      </c>
      <c r="F254" s="810">
        <v>0</v>
      </c>
      <c r="G254" s="403">
        <f>IF(F254="","Error: Unit must enter this information if they levy taxes.",)</f>
        <v>0</v>
      </c>
      <c r="H254" s="436"/>
      <c r="I254" s="72"/>
      <c r="J254" s="72"/>
      <c r="K254"/>
      <c r="L254" s="550"/>
    </row>
    <row r="255" spans="1:123" ht="69" customHeight="1" x14ac:dyDescent="0.3">
      <c r="A255" s="100">
        <v>529</v>
      </c>
      <c r="B255" s="375" t="s">
        <v>54</v>
      </c>
      <c r="C255" s="4" t="s">
        <v>163</v>
      </c>
      <c r="D255" s="324" t="s">
        <v>780</v>
      </c>
      <c r="E255" s="373" t="e">
        <f>INDEX('PY1 Data(H)'!$A$1:$CZ$265,MATCH('Unit Data from Audit Worksheet'!$A255,'PY1 Data(H)'!$A$1:$A$258,0),MATCH('Unit Data from Audit Worksheet'!$D$2,'PY1 Data(H)'!$A$1:$CZ$1,0))</f>
        <v>#N/A</v>
      </c>
      <c r="F255" s="810">
        <v>0</v>
      </c>
      <c r="G255" s="403">
        <f>IF(F255="","Error: Unit must enter this information if they levy taxes.",)</f>
        <v>0</v>
      </c>
      <c r="H255" s="17"/>
      <c r="I255" s="72"/>
      <c r="J255" s="72"/>
      <c r="K255"/>
      <c r="L255" s="550"/>
    </row>
    <row r="256" spans="1:123" ht="69" customHeight="1" x14ac:dyDescent="0.3">
      <c r="A256" s="100">
        <v>530</v>
      </c>
      <c r="B256" s="375" t="s">
        <v>54</v>
      </c>
      <c r="C256" s="4" t="s">
        <v>163</v>
      </c>
      <c r="D256" s="468" t="s">
        <v>781</v>
      </c>
      <c r="E256" s="373" t="e">
        <f>INDEX('PY1 Data(H)'!$A$1:$CZ$265,MATCH('Unit Data from Audit Worksheet'!$A256,'PY1 Data(H)'!$A$1:$A$258,0),MATCH('Unit Data from Audit Worksheet'!$D$2,'PY1 Data(H)'!$A$1:$CZ$1,0))</f>
        <v>#N/A</v>
      </c>
      <c r="F256" s="810">
        <v>0</v>
      </c>
      <c r="G256" s="403">
        <f>IF(F256="","Error: Unit must enter this information if they levy taxes.",)</f>
        <v>0</v>
      </c>
      <c r="H256" s="17"/>
      <c r="I256" s="72"/>
      <c r="J256" s="72"/>
      <c r="K256"/>
      <c r="L256" s="550"/>
    </row>
    <row r="257" spans="1:16" ht="55.5" customHeight="1" x14ac:dyDescent="0.3">
      <c r="A257" s="100">
        <v>531</v>
      </c>
      <c r="B257" s="375" t="s">
        <v>54</v>
      </c>
      <c r="C257" s="4" t="s">
        <v>163</v>
      </c>
      <c r="D257" s="468" t="s">
        <v>782</v>
      </c>
      <c r="E257" s="373" t="e">
        <f>INDEX('PY1 Data(H)'!$A$1:$CZ$265,MATCH('Unit Data from Audit Worksheet'!$A257,'PY1 Data(H)'!$A$1:$A$258,0),MATCH('Unit Data from Audit Worksheet'!$D$2,'PY1 Data(H)'!$A$1:$CZ$1,0))</f>
        <v>#N/A</v>
      </c>
      <c r="F257" s="810">
        <v>0</v>
      </c>
      <c r="G257" s="403">
        <f>IF(F257="","Error: Unit must enter this information if they levy taxes.",)</f>
        <v>0</v>
      </c>
      <c r="H257" s="17"/>
      <c r="I257" s="72"/>
      <c r="J257" s="72"/>
      <c r="K257"/>
      <c r="L257" s="550"/>
    </row>
    <row r="258" spans="1:16" ht="69" customHeight="1" x14ac:dyDescent="0.3">
      <c r="A258" s="100">
        <v>61</v>
      </c>
      <c r="B258" s="4" t="s">
        <v>58</v>
      </c>
      <c r="C258" s="4" t="s">
        <v>163</v>
      </c>
      <c r="D258" s="26" t="s">
        <v>783</v>
      </c>
      <c r="E258" s="818" t="e">
        <f>INDEX('PY1 Data(H)'!$A$1:$CZ$265,MATCH('Unit Data from Audit Worksheet'!$A258,'PY1 Data(H)'!$A$1:$A$258,0),MATCH('Unit Data from Audit Worksheet'!$D$2,'PY1 Data(H)'!$A$1:$CZ$1,0))</f>
        <v>#N/A</v>
      </c>
      <c r="F258" s="819">
        <v>0</v>
      </c>
      <c r="G258" s="403" t="e">
        <f>IF(F258=H258," ","Please check values in account 528, 529, 530 and  531.")</f>
        <v>#DIV/0!</v>
      </c>
      <c r="H258" s="437" t="e">
        <f>ROUND((F254+F255-F256-F257)/(F254+F255)*100,2)</f>
        <v>#DIV/0!</v>
      </c>
      <c r="I258" s="72"/>
      <c r="J258" s="72"/>
      <c r="K258"/>
      <c r="L258" s="550"/>
    </row>
    <row r="259" spans="1:16" ht="69" customHeight="1" x14ac:dyDescent="0.3">
      <c r="A259" s="100">
        <v>102</v>
      </c>
      <c r="B259" s="4" t="s">
        <v>58</v>
      </c>
      <c r="C259" s="4" t="s">
        <v>163</v>
      </c>
      <c r="D259" s="53" t="s">
        <v>784</v>
      </c>
      <c r="E259" s="818" t="e">
        <f>INDEX('PY1 Data(H)'!$A$1:$CZ$265,MATCH('Unit Data from Audit Worksheet'!$A259,'PY1 Data(H)'!$A$1:$A$258,0),MATCH('Unit Data from Audit Worksheet'!$D$2,'PY1 Data(H)'!$A$1:$CZ$1,0))</f>
        <v>#N/A</v>
      </c>
      <c r="F259" s="819">
        <v>0</v>
      </c>
      <c r="G259" s="403" t="e">
        <f>IF(F259=H259," ","Please check values in account 528 and 530.")</f>
        <v>#DIV/0!</v>
      </c>
      <c r="H259" s="437" t="e">
        <f>ROUND((F254-F256)/(F254)*100,2)</f>
        <v>#DIV/0!</v>
      </c>
      <c r="I259" s="72"/>
      <c r="J259" s="72"/>
      <c r="K259"/>
      <c r="L259" s="550"/>
    </row>
    <row r="260" spans="1:16" ht="63.75" customHeight="1" x14ac:dyDescent="0.3">
      <c r="A260" s="100">
        <v>103</v>
      </c>
      <c r="B260" s="4" t="s">
        <v>58</v>
      </c>
      <c r="C260" s="4" t="s">
        <v>163</v>
      </c>
      <c r="D260" s="26" t="s">
        <v>785</v>
      </c>
      <c r="E260" s="818" t="e">
        <f>INDEX('PY1 Data(H)'!$A$1:$CZ$265,MATCH('Unit Data from Audit Worksheet'!$A260,'PY1 Data(H)'!$A$1:$A$258,0),MATCH('Unit Data from Audit Worksheet'!$D$2,'PY1 Data(H)'!$A$1:$CZ$1,0))</f>
        <v>#N/A</v>
      </c>
      <c r="F260" s="819">
        <v>0</v>
      </c>
      <c r="G260" s="403" t="e">
        <f>IF(F260=H260," ","Please check values in account 529 and 531.")</f>
        <v>#DIV/0!</v>
      </c>
      <c r="H260" s="437" t="e">
        <f>ROUND((F255-F257)/F255*100,2)</f>
        <v>#DIV/0!</v>
      </c>
      <c r="I260" s="72"/>
      <c r="J260" s="72"/>
      <c r="K260"/>
      <c r="L260" s="550"/>
      <c r="N260" s="18" t="s">
        <v>563</v>
      </c>
    </row>
    <row r="261" spans="1:16" ht="72" customHeight="1" x14ac:dyDescent="0.3">
      <c r="A261" s="100">
        <v>544</v>
      </c>
      <c r="B261" s="375" t="s">
        <v>58</v>
      </c>
      <c r="C261" s="375" t="s">
        <v>163</v>
      </c>
      <c r="D261" s="21" t="s">
        <v>786</v>
      </c>
      <c r="E261" s="663" t="e">
        <f>INDEX('PY1 Data(H)'!$A$1:$CZ$265,MATCH('Unit Data from Audit Worksheet'!$A261,'PY1 Data(H)'!$A$1:$A$258,0),MATCH('Unit Data from Audit Worksheet'!$D$2,'PY1 Data(H)'!$A$1:$CZ$1,0))</f>
        <v>#N/A</v>
      </c>
      <c r="F261" s="815">
        <v>0</v>
      </c>
      <c r="G261" s="403"/>
      <c r="H261" s="17"/>
      <c r="I261" s="1056"/>
      <c r="J261" s="100"/>
      <c r="K261"/>
      <c r="L261" s="550"/>
      <c r="N261" s="18" t="s">
        <v>50</v>
      </c>
    </row>
    <row r="262" spans="1:16" ht="73.5" customHeight="1" x14ac:dyDescent="0.3">
      <c r="A262" s="100">
        <v>545</v>
      </c>
      <c r="B262" s="375" t="s">
        <v>58</v>
      </c>
      <c r="C262" s="375" t="s">
        <v>163</v>
      </c>
      <c r="D262" s="21" t="s">
        <v>787</v>
      </c>
      <c r="E262" s="532"/>
      <c r="F262" s="815">
        <v>0</v>
      </c>
      <c r="G262" s="403"/>
      <c r="H262" s="17"/>
      <c r="I262" s="1057"/>
      <c r="J262" s="127"/>
      <c r="K262"/>
      <c r="L262" s="550"/>
      <c r="N262" s="18" t="s">
        <v>51</v>
      </c>
    </row>
    <row r="263" spans="1:16" ht="66" customHeight="1" x14ac:dyDescent="0.3">
      <c r="A263" s="117">
        <v>624</v>
      </c>
      <c r="B263" s="117" t="s">
        <v>58</v>
      </c>
      <c r="C263" s="117"/>
      <c r="D263" s="116" t="s">
        <v>357</v>
      </c>
      <c r="E263" s="532"/>
      <c r="F263" s="715"/>
      <c r="G263" s="431" t="str">
        <f>IF(+F263&lt;1,"Please answer this question","")</f>
        <v>Please answer this question</v>
      </c>
      <c r="H263" s="17"/>
      <c r="I263" s="1056"/>
      <c r="J263" s="100"/>
      <c r="K263"/>
      <c r="L263" s="550"/>
      <c r="N263" s="18" t="s">
        <v>564</v>
      </c>
    </row>
    <row r="264" spans="1:16" ht="70.5" customHeight="1" x14ac:dyDescent="0.3">
      <c r="A264" s="117">
        <v>648</v>
      </c>
      <c r="B264" s="962" t="s">
        <v>1962</v>
      </c>
      <c r="C264" s="117" t="s">
        <v>163</v>
      </c>
      <c r="D264" s="116" t="s">
        <v>672</v>
      </c>
      <c r="E264" s="663" t="e">
        <f>INDEX('PY1 Data(H)'!$A$1:$CZ$265,MATCH('Unit Data from Audit Worksheet'!$A264,'PY1 Data(H)'!$A$1:$A$258,0),MATCH('Unit Data from Audit Worksheet'!$D$2,'PY1 Data(H)'!$A$1:$CZ$1,0))</f>
        <v>#N/A</v>
      </c>
      <c r="F264" s="815">
        <v>0</v>
      </c>
      <c r="G264" s="431"/>
      <c r="H264" s="17"/>
      <c r="I264" s="1056"/>
      <c r="J264" s="100"/>
      <c r="K264"/>
      <c r="L264" s="550"/>
    </row>
    <row r="265" spans="1:16" ht="180" customHeight="1" x14ac:dyDescent="0.3">
      <c r="A265" s="117">
        <v>991</v>
      </c>
      <c r="B265" s="962" t="s">
        <v>1959</v>
      </c>
      <c r="C265" s="117"/>
      <c r="D265" s="754" t="s">
        <v>1660</v>
      </c>
      <c r="E265" s="525"/>
      <c r="F265" s="715"/>
      <c r="G265" s="431"/>
      <c r="H265" s="1060" t="s">
        <v>1661</v>
      </c>
      <c r="I265" s="1053"/>
      <c r="J265" s="179"/>
      <c r="K265"/>
      <c r="L265" s="550"/>
      <c r="N265" s="18" t="s">
        <v>584</v>
      </c>
    </row>
    <row r="266" spans="1:16" ht="27.75" customHeight="1" x14ac:dyDescent="0.3">
      <c r="A266" s="100"/>
      <c r="B266" s="492" t="s">
        <v>350</v>
      </c>
      <c r="C266" s="492"/>
      <c r="D266" s="492"/>
      <c r="E266" s="511"/>
      <c r="F266" s="511"/>
      <c r="G266" s="512"/>
      <c r="H266" s="17"/>
      <c r="I266" s="1056"/>
      <c r="J266" s="100"/>
      <c r="K266"/>
      <c r="L266" s="550"/>
      <c r="N266" s="18" t="s">
        <v>585</v>
      </c>
    </row>
    <row r="267" spans="1:16" ht="84.6" customHeight="1" x14ac:dyDescent="0.3">
      <c r="A267" s="100">
        <v>620</v>
      </c>
      <c r="B267" s="375" t="s">
        <v>58</v>
      </c>
      <c r="C267" s="375"/>
      <c r="D267" s="752" t="s">
        <v>1620</v>
      </c>
      <c r="E267" s="525"/>
      <c r="F267" s="715"/>
      <c r="G267" s="431" t="str">
        <f>IF(F267&lt;1,"Please answer this question","")</f>
        <v>Please answer this question</v>
      </c>
      <c r="H267" s="17"/>
      <c r="I267" s="1056"/>
      <c r="J267" s="100"/>
      <c r="K267"/>
      <c r="L267" s="550"/>
      <c r="N267" s="18" t="s">
        <v>586</v>
      </c>
    </row>
    <row r="268" spans="1:16" ht="123.75" customHeight="1" x14ac:dyDescent="0.3">
      <c r="A268" s="718"/>
      <c r="B268" s="1078" t="s">
        <v>461</v>
      </c>
      <c r="C268" s="1078"/>
      <c r="D268" s="1078"/>
      <c r="E268" s="522"/>
      <c r="F268" s="522"/>
      <c r="G268" s="522"/>
      <c r="H268" s="17"/>
      <c r="I268" s="1056"/>
      <c r="J268" s="100"/>
      <c r="K268"/>
      <c r="N268" s="18" t="s">
        <v>464</v>
      </c>
    </row>
    <row r="269" spans="1:16" ht="63" customHeight="1" x14ac:dyDescent="0.3">
      <c r="A269" s="191">
        <v>947</v>
      </c>
      <c r="B269" s="462"/>
      <c r="C269" s="462"/>
      <c r="D269" s="345" t="s">
        <v>423</v>
      </c>
      <c r="E269" s="573"/>
      <c r="F269" s="816"/>
      <c r="G269" s="431" t="str">
        <f>IF(ISBLANK(F269),"Please do not leave blank","")</f>
        <v>Please do not leave blank</v>
      </c>
      <c r="H269" s="17"/>
      <c r="I269" s="72"/>
      <c r="J269" s="187"/>
      <c r="K269"/>
      <c r="L269" s="187"/>
      <c r="N269" s="187"/>
      <c r="P269" s="187"/>
    </row>
    <row r="270" spans="1:16" ht="65.25" customHeight="1" x14ac:dyDescent="0.3">
      <c r="A270" s="191">
        <v>948</v>
      </c>
      <c r="B270" s="462"/>
      <c r="C270" s="462"/>
      <c r="D270" s="345" t="s">
        <v>424</v>
      </c>
      <c r="E270" s="573"/>
      <c r="F270" s="816"/>
      <c r="G270" s="431" t="str">
        <f t="shared" ref="G270:G272" si="4">IF(ISBLANK(F270),"Please do not leave blank","")</f>
        <v>Please do not leave blank</v>
      </c>
      <c r="H270" s="17"/>
      <c r="I270" s="72"/>
      <c r="J270" s="187"/>
      <c r="K270"/>
      <c r="L270" s="187"/>
      <c r="N270" s="187"/>
      <c r="P270" s="187"/>
    </row>
    <row r="271" spans="1:16" ht="76.5" customHeight="1" x14ac:dyDescent="0.3">
      <c r="A271" s="191">
        <v>949</v>
      </c>
      <c r="B271" s="462"/>
      <c r="C271" s="462"/>
      <c r="D271" s="345" t="s">
        <v>425</v>
      </c>
      <c r="E271" s="573"/>
      <c r="F271" s="816"/>
      <c r="G271" s="431" t="str">
        <f t="shared" si="4"/>
        <v>Please do not leave blank</v>
      </c>
      <c r="H271" s="17"/>
      <c r="I271" s="72"/>
      <c r="J271" s="187"/>
      <c r="K271"/>
      <c r="L271" s="187"/>
      <c r="N271" s="187"/>
      <c r="P271" s="187"/>
    </row>
    <row r="272" spans="1:16" ht="60" customHeight="1" x14ac:dyDescent="0.3">
      <c r="A272" s="191">
        <v>950</v>
      </c>
      <c r="B272" s="462"/>
      <c r="C272" s="462"/>
      <c r="D272" s="345" t="s">
        <v>1639</v>
      </c>
      <c r="E272" s="573"/>
      <c r="F272" s="816"/>
      <c r="G272" s="431" t="str">
        <f t="shared" si="4"/>
        <v>Please do not leave blank</v>
      </c>
      <c r="H272" s="17"/>
      <c r="I272" s="72"/>
      <c r="J272" s="187"/>
      <c r="K272"/>
      <c r="L272" s="187"/>
      <c r="N272" s="187"/>
      <c r="P272" s="187"/>
    </row>
    <row r="273" spans="1:16" ht="80.400000000000006" customHeight="1" x14ac:dyDescent="0.3">
      <c r="A273" s="191">
        <v>952</v>
      </c>
      <c r="B273" s="462"/>
      <c r="C273" s="462"/>
      <c r="D273" s="416" t="s">
        <v>1616</v>
      </c>
      <c r="E273" s="573"/>
      <c r="F273" s="817"/>
      <c r="G273" s="431" t="s">
        <v>807</v>
      </c>
      <c r="H273" s="17"/>
      <c r="I273" s="1058"/>
      <c r="J273" s="438"/>
      <c r="K273"/>
      <c r="L273" s="187"/>
      <c r="N273" s="187"/>
      <c r="P273" s="187"/>
    </row>
    <row r="274" spans="1:16" ht="33" customHeight="1" thickBot="1" x14ac:dyDescent="0.35">
      <c r="A274" s="100"/>
      <c r="B274" s="513"/>
      <c r="C274" s="514"/>
      <c r="D274" s="515" t="s">
        <v>414</v>
      </c>
      <c r="E274" s="501"/>
      <c r="F274" s="516"/>
      <c r="G274" s="517"/>
      <c r="H274" s="518"/>
      <c r="I274" s="72"/>
      <c r="J274" s="187"/>
      <c r="K274"/>
      <c r="L274" s="187"/>
      <c r="N274" s="187"/>
      <c r="P274" s="187"/>
    </row>
    <row r="275" spans="1:16" ht="15" thickBot="1" x14ac:dyDescent="0.35">
      <c r="B275" s="1075" t="s">
        <v>462</v>
      </c>
      <c r="C275" s="1076"/>
      <c r="D275" s="1076"/>
      <c r="E275" s="1077"/>
      <c r="F275" s="72"/>
      <c r="G275" s="431"/>
      <c r="H275" s="17"/>
      <c r="I275" s="1056"/>
      <c r="J275" s="100"/>
      <c r="K275"/>
    </row>
    <row r="276" spans="1:16" ht="75.75" customHeight="1" x14ac:dyDescent="0.3">
      <c r="B276" s="1082" t="s">
        <v>463</v>
      </c>
      <c r="C276" s="1082"/>
      <c r="D276" s="1082"/>
      <c r="E276" s="1082"/>
      <c r="F276" s="72"/>
      <c r="G276" s="431"/>
      <c r="H276" s="17"/>
      <c r="I276" s="1056"/>
      <c r="J276" s="100"/>
      <c r="K276"/>
    </row>
    <row r="277" spans="1:16" ht="15" thickBot="1" x14ac:dyDescent="0.35">
      <c r="A277" s="720"/>
      <c r="B277" s="439"/>
      <c r="C277" s="439"/>
      <c r="D277" s="440"/>
      <c r="E277" s="373"/>
      <c r="F277" s="72"/>
      <c r="G277" s="431"/>
      <c r="H277" s="17"/>
      <c r="I277" s="1056"/>
      <c r="J277" s="100"/>
      <c r="K277"/>
    </row>
    <row r="278" spans="1:16" ht="15" thickBot="1" x14ac:dyDescent="0.35">
      <c r="B278" s="149" t="s">
        <v>403</v>
      </c>
      <c r="C278" s="150" t="s">
        <v>404</v>
      </c>
      <c r="D278" s="441"/>
      <c r="E278" s="442"/>
      <c r="F278" s="92"/>
      <c r="G278" s="431"/>
      <c r="H278" s="17"/>
      <c r="I278" s="1056"/>
      <c r="J278" s="100"/>
      <c r="K278"/>
    </row>
    <row r="279" spans="1:16" ht="44.25" customHeight="1" thickBot="1" x14ac:dyDescent="0.35">
      <c r="B279" s="153" t="s">
        <v>428</v>
      </c>
      <c r="C279" s="152"/>
      <c r="D279" s="151"/>
      <c r="E279" s="376"/>
      <c r="F279" s="443"/>
      <c r="G279" s="431"/>
      <c r="H279" s="17"/>
      <c r="I279" s="1056"/>
      <c r="J279" s="100"/>
      <c r="K279"/>
    </row>
    <row r="280" spans="1:16" ht="44.25" customHeight="1" thickBot="1" x14ac:dyDescent="0.35">
      <c r="B280" s="153"/>
      <c r="C280" s="159"/>
      <c r="D280" s="444" t="s">
        <v>452</v>
      </c>
      <c r="E280" s="445"/>
      <c r="F280" s="446"/>
      <c r="G280" s="446"/>
      <c r="H280" s="17"/>
      <c r="I280" s="1056"/>
      <c r="J280" s="100"/>
    </row>
    <row r="281" spans="1:16" ht="32.4" customHeight="1" thickBot="1" x14ac:dyDescent="0.35">
      <c r="A281" s="279">
        <v>960</v>
      </c>
      <c r="B281" s="1089" t="s">
        <v>429</v>
      </c>
      <c r="C281" s="1090"/>
      <c r="D281" s="1062"/>
      <c r="E281" s="651" t="str">
        <f>IF(ISBLANK($D281),"&lt;&lt;&lt;&lt;&lt;&lt;&lt;&lt;&lt;&lt;&lt;&lt;&lt;&lt;&lt;","")</f>
        <v>&lt;&lt;&lt;&lt;&lt;&lt;&lt;&lt;&lt;&lt;&lt;&lt;&lt;&lt;&lt;</v>
      </c>
      <c r="F281" s="652" t="str">
        <f>IF(ISBLANK($D281),"Required","")</f>
        <v>Required</v>
      </c>
      <c r="G281" s="523"/>
      <c r="H281" s="404"/>
      <c r="I281" s="1056"/>
      <c r="J281" s="100"/>
    </row>
    <row r="282" spans="1:16" ht="32.4" customHeight="1" thickBot="1" x14ac:dyDescent="0.35">
      <c r="A282" s="279">
        <v>962</v>
      </c>
      <c r="B282" s="1087" t="s">
        <v>405</v>
      </c>
      <c r="C282" s="1088"/>
      <c r="D282" s="1062"/>
      <c r="E282" s="651" t="str">
        <f>IF(ISBLANK($D282),"&lt;&lt;&lt;&lt;&lt;&lt;&lt;&lt;&lt;&lt;&lt;&lt;&lt;&lt;&lt;","")</f>
        <v>&lt;&lt;&lt;&lt;&lt;&lt;&lt;&lt;&lt;&lt;&lt;&lt;&lt;&lt;&lt;</v>
      </c>
      <c r="F282" s="652" t="str">
        <f>IF(ISBLANK($D282),"Required","")</f>
        <v>Required</v>
      </c>
      <c r="H282" s="17"/>
      <c r="I282" s="1056"/>
      <c r="J282" s="100"/>
    </row>
    <row r="283" spans="1:16" ht="32.4" customHeight="1" thickBot="1" x14ac:dyDescent="0.35">
      <c r="A283" s="279">
        <v>964</v>
      </c>
      <c r="B283" s="1087" t="s">
        <v>406</v>
      </c>
      <c r="C283" s="1088"/>
      <c r="D283" s="1063"/>
      <c r="E283" s="651" t="str">
        <f>IF(ISBLANK($D283),"&lt;&lt;&lt;&lt;&lt;&lt;&lt;&lt;&lt;&lt;&lt;&lt;&lt;&lt;&lt;","")</f>
        <v>&lt;&lt;&lt;&lt;&lt;&lt;&lt;&lt;&lt;&lt;&lt;&lt;&lt;&lt;&lt;</v>
      </c>
      <c r="F283" s="652" t="str">
        <f>IF(ISBLANK($D283),"Required","")</f>
        <v>Required</v>
      </c>
      <c r="H283" s="17"/>
      <c r="I283" s="1059"/>
      <c r="J283" s="236"/>
    </row>
    <row r="284" spans="1:16" ht="32.4" customHeight="1" thickBot="1" x14ac:dyDescent="0.35">
      <c r="A284" s="650">
        <v>966</v>
      </c>
      <c r="B284" s="1083" t="s">
        <v>1614</v>
      </c>
      <c r="C284" s="1084"/>
      <c r="D284" s="1064"/>
      <c r="E284" s="651" t="str">
        <f>IF(ISBLANK($D284),"&lt;&lt;&lt;&lt;&lt;&lt;&lt;&lt;&lt;&lt;&lt;&lt;&lt;&lt;&lt;","")</f>
        <v>&lt;&lt;&lt;&lt;&lt;&lt;&lt;&lt;&lt;&lt;&lt;&lt;&lt;&lt;&lt;</v>
      </c>
      <c r="F284" s="652" t="str">
        <f>IF(ISBLANK($D284),"Required","")</f>
        <v>Required</v>
      </c>
      <c r="G284"/>
      <c r="H284" s="17"/>
      <c r="I284" s="1056"/>
      <c r="J284" s="100"/>
    </row>
    <row r="285" spans="1:16" ht="32.4" customHeight="1" thickBot="1" x14ac:dyDescent="0.35">
      <c r="A285" s="650"/>
      <c r="B285" s="1083" t="s">
        <v>1615</v>
      </c>
      <c r="C285" s="1084"/>
      <c r="D285" s="1062"/>
      <c r="E285" s="653"/>
      <c r="F285" s="652"/>
      <c r="G285"/>
      <c r="H285" s="17"/>
      <c r="I285" s="1056"/>
      <c r="J285" s="100"/>
    </row>
    <row r="286" spans="1:16" ht="32.4" customHeight="1" thickBot="1" x14ac:dyDescent="0.35">
      <c r="A286" s="279">
        <v>968</v>
      </c>
      <c r="B286" s="1085" t="s">
        <v>408</v>
      </c>
      <c r="C286" s="1086"/>
      <c r="D286" s="1065"/>
      <c r="E286" s="654" t="str">
        <f>IF(ISBLANK($D286),"&lt;&lt;&lt;&lt;&lt;&lt;&lt;&lt;&lt;&lt;&lt;&lt;&lt;&lt;&lt;","")</f>
        <v>&lt;&lt;&lt;&lt;&lt;&lt;&lt;&lt;&lt;&lt;&lt;&lt;&lt;&lt;&lt;</v>
      </c>
      <c r="F286" s="652" t="str">
        <f>IF(ISBLANK($D286),"Required","")</f>
        <v>Required</v>
      </c>
      <c r="H286" s="17"/>
      <c r="I286" s="1056"/>
      <c r="J286" s="100"/>
    </row>
    <row r="287" spans="1:16" ht="17.399999999999999" customHeight="1" x14ac:dyDescent="0.3">
      <c r="A287" s="100"/>
      <c r="B287" s="519"/>
      <c r="C287" s="519"/>
      <c r="D287" s="524" t="s">
        <v>45</v>
      </c>
      <c r="E287" s="520"/>
      <c r="F287" s="520"/>
      <c r="G287" s="520"/>
      <c r="H287" s="521"/>
      <c r="I287" s="100"/>
      <c r="J287" s="100"/>
    </row>
    <row r="288" spans="1:16" x14ac:dyDescent="0.3">
      <c r="A288" s="100"/>
      <c r="B288" s="375"/>
      <c r="C288" s="375"/>
      <c r="D288" s="157"/>
      <c r="E288" s="188"/>
      <c r="F288" s="447"/>
      <c r="G288" s="447"/>
      <c r="H288" s="17"/>
      <c r="I288" s="100"/>
      <c r="J288" s="100"/>
    </row>
    <row r="289" spans="1:10" x14ac:dyDescent="0.3">
      <c r="A289" s="100"/>
      <c r="B289" s="375"/>
      <c r="C289" s="375"/>
      <c r="D289" s="21"/>
      <c r="E289" s="373"/>
      <c r="F289" s="447"/>
      <c r="G289" s="447"/>
      <c r="H289" s="17"/>
      <c r="I289" s="100"/>
      <c r="J289" s="100"/>
    </row>
    <row r="290" spans="1:10" x14ac:dyDescent="0.3">
      <c r="A290" s="721">
        <f>SUBTOTAL(109,A9:A286)</f>
        <v>106600</v>
      </c>
      <c r="E290" s="550"/>
    </row>
    <row r="291" spans="1:10" x14ac:dyDescent="0.3">
      <c r="A291" s="100"/>
      <c r="B291" s="469"/>
      <c r="C291" s="469"/>
      <c r="D291" s="448"/>
      <c r="E291" s="252"/>
      <c r="F291" s="18"/>
      <c r="G291" s="449"/>
      <c r="H291" s="17"/>
      <c r="I291" s="100"/>
      <c r="J291" s="100"/>
    </row>
    <row r="292" spans="1:10" x14ac:dyDescent="0.3">
      <c r="B292" s="279"/>
      <c r="C292" s="279"/>
      <c r="D292" s="448" t="s">
        <v>1713</v>
      </c>
      <c r="E292" s="252" t="e">
        <f>SUM(E9:E267)</f>
        <v>#N/A</v>
      </c>
      <c r="F292" s="187"/>
      <c r="G292" s="449"/>
      <c r="H292" s="17"/>
      <c r="I292" s="100"/>
      <c r="J292" s="100"/>
    </row>
    <row r="293" spans="1:10" x14ac:dyDescent="0.3">
      <c r="B293" s="279"/>
      <c r="C293" s="279"/>
      <c r="D293" s="450"/>
      <c r="E293" s="252" t="e">
        <f>E191</f>
        <v>#N/A</v>
      </c>
      <c r="F293" s="187"/>
      <c r="G293" s="449"/>
      <c r="H293" s="17"/>
      <c r="I293" s="100"/>
      <c r="J293" s="100"/>
    </row>
    <row r="294" spans="1:10" x14ac:dyDescent="0.3">
      <c r="B294" s="279"/>
      <c r="C294" s="279"/>
      <c r="D294" s="450"/>
      <c r="E294" s="252" t="e">
        <f>E198</f>
        <v>#N/A</v>
      </c>
      <c r="F294" s="187"/>
      <c r="G294" s="449"/>
      <c r="H294" s="17"/>
      <c r="I294" s="100"/>
      <c r="J294" s="100"/>
    </row>
    <row r="295" spans="1:10" x14ac:dyDescent="0.3">
      <c r="B295" s="279"/>
      <c r="C295" s="279"/>
      <c r="D295" s="450"/>
      <c r="E295" s="252" t="e">
        <f>E204</f>
        <v>#N/A</v>
      </c>
      <c r="F295" s="187"/>
      <c r="G295" s="449"/>
      <c r="H295" s="17"/>
      <c r="I295" s="100"/>
      <c r="J295" s="100"/>
    </row>
    <row r="296" spans="1:10" x14ac:dyDescent="0.3">
      <c r="B296" s="279"/>
      <c r="C296" s="279"/>
      <c r="D296" s="450"/>
      <c r="E296" s="252" t="e">
        <f>E210</f>
        <v>#N/A</v>
      </c>
      <c r="F296" s="187"/>
      <c r="G296" s="449"/>
      <c r="H296" s="17"/>
      <c r="I296" s="100"/>
      <c r="J296" s="100"/>
    </row>
    <row r="297" spans="1:10" x14ac:dyDescent="0.3">
      <c r="D297" s="316"/>
      <c r="E297" s="252" t="e">
        <f>E211</f>
        <v>#N/A</v>
      </c>
      <c r="F297" s="187"/>
      <c r="H297" s="17"/>
      <c r="I297" s="100"/>
      <c r="J297" s="100"/>
    </row>
    <row r="298" spans="1:10" x14ac:dyDescent="0.3">
      <c r="D298" s="316"/>
      <c r="E298" s="253"/>
      <c r="F298" s="187"/>
      <c r="H298" s="17"/>
      <c r="I298" s="100"/>
      <c r="J298" s="100"/>
    </row>
    <row r="299" spans="1:10" x14ac:dyDescent="0.3">
      <c r="D299" s="316"/>
      <c r="E299" s="252" t="e">
        <f>E292-E293-E294-E295-E296-E297</f>
        <v>#N/A</v>
      </c>
      <c r="F299" s="187"/>
      <c r="H299" s="17"/>
      <c r="I299" s="100"/>
      <c r="J299" s="100"/>
    </row>
    <row r="300" spans="1:10" x14ac:dyDescent="0.3">
      <c r="D300" s="316"/>
      <c r="E300" s="188"/>
      <c r="F300" s="187"/>
      <c r="I300" s="100"/>
      <c r="J300" s="100"/>
    </row>
    <row r="301" spans="1:10" x14ac:dyDescent="0.3">
      <c r="E301" s="251"/>
      <c r="F301" s="187"/>
      <c r="G301" s="452"/>
      <c r="I301" s="100"/>
      <c r="J301" s="100"/>
    </row>
    <row r="302" spans="1:10" x14ac:dyDescent="0.3">
      <c r="E302" s="188"/>
      <c r="F302" s="187"/>
      <c r="I302" s="100"/>
      <c r="J302" s="100"/>
    </row>
    <row r="303" spans="1:10" x14ac:dyDescent="0.3">
      <c r="E303" s="188"/>
      <c r="F303" s="187"/>
      <c r="I303" s="100"/>
      <c r="J303" s="100"/>
    </row>
    <row r="304" spans="1:10" x14ac:dyDescent="0.3">
      <c r="E304" s="188"/>
      <c r="F304" s="187"/>
      <c r="I304" s="100"/>
      <c r="J304" s="100"/>
    </row>
    <row r="305" spans="9:12" x14ac:dyDescent="0.3">
      <c r="I305" s="100"/>
      <c r="J305" s="100"/>
    </row>
    <row r="306" spans="9:12" x14ac:dyDescent="0.3">
      <c r="I306" s="100"/>
      <c r="J306" s="100"/>
    </row>
    <row r="307" spans="9:12" x14ac:dyDescent="0.3">
      <c r="I307" s="100"/>
      <c r="J307" s="100"/>
    </row>
    <row r="308" spans="9:12" x14ac:dyDescent="0.3">
      <c r="I308" s="100"/>
      <c r="J308" s="100"/>
    </row>
    <row r="309" spans="9:12" x14ac:dyDescent="0.3">
      <c r="I309" s="100"/>
      <c r="J309" s="100"/>
    </row>
    <row r="310" spans="9:12" x14ac:dyDescent="0.3">
      <c r="I310" s="100"/>
      <c r="J310" s="100"/>
    </row>
    <row r="311" spans="9:12" x14ac:dyDescent="0.3">
      <c r="I311" s="100"/>
      <c r="J311" s="100"/>
    </row>
    <row r="312" spans="9:12" x14ac:dyDescent="0.3">
      <c r="I312" s="187"/>
      <c r="J312" s="187"/>
    </row>
    <row r="313" spans="9:12" x14ac:dyDescent="0.3">
      <c r="I313" s="187"/>
      <c r="J313" s="187"/>
      <c r="L313" s="188"/>
    </row>
    <row r="314" spans="9:12" x14ac:dyDescent="0.3">
      <c r="I314" s="187"/>
      <c r="J314" s="187"/>
      <c r="L314" s="188"/>
    </row>
    <row r="315" spans="9:12" x14ac:dyDescent="0.3">
      <c r="I315" s="187"/>
      <c r="J315" s="187"/>
      <c r="L315" s="188"/>
    </row>
    <row r="316" spans="9:12" x14ac:dyDescent="0.3">
      <c r="I316" s="187"/>
      <c r="J316" s="187"/>
      <c r="L316" s="188"/>
    </row>
    <row r="317" spans="9:12" x14ac:dyDescent="0.3">
      <c r="I317" s="187"/>
      <c r="J317" s="187"/>
      <c r="L317" s="188"/>
    </row>
    <row r="318" spans="9:12" x14ac:dyDescent="0.3">
      <c r="I318" s="187"/>
      <c r="J318" s="187"/>
      <c r="L318" s="188"/>
    </row>
    <row r="319" spans="9:12" x14ac:dyDescent="0.3">
      <c r="I319" s="100"/>
      <c r="J319" s="100"/>
      <c r="L319" s="188"/>
    </row>
    <row r="320" spans="9:12" x14ac:dyDescent="0.3">
      <c r="I320" s="100"/>
      <c r="J320" s="100"/>
      <c r="K320" s="188"/>
      <c r="L320" s="188"/>
    </row>
    <row r="321" spans="9:12" x14ac:dyDescent="0.3">
      <c r="I321" s="100"/>
      <c r="J321" s="100"/>
      <c r="K321" s="188"/>
      <c r="L321" s="188"/>
    </row>
    <row r="322" spans="9:12" x14ac:dyDescent="0.3">
      <c r="I322" s="100"/>
      <c r="J322" s="100"/>
      <c r="K322" s="188"/>
      <c r="L322" s="188"/>
    </row>
    <row r="323" spans="9:12" x14ac:dyDescent="0.3">
      <c r="I323" s="100"/>
      <c r="J323" s="100"/>
      <c r="K323" s="188"/>
      <c r="L323" s="188"/>
    </row>
    <row r="324" spans="9:12" x14ac:dyDescent="0.3">
      <c r="I324" s="100"/>
      <c r="J324" s="100"/>
      <c r="K324" s="188"/>
      <c r="L324" s="188"/>
    </row>
    <row r="325" spans="9:12" x14ac:dyDescent="0.3">
      <c r="I325" s="100"/>
      <c r="J325" s="100"/>
      <c r="K325" s="188"/>
      <c r="L325" s="188"/>
    </row>
    <row r="326" spans="9:12" x14ac:dyDescent="0.3">
      <c r="I326" s="100"/>
      <c r="J326" s="100"/>
      <c r="K326" s="188"/>
      <c r="L326" s="188"/>
    </row>
    <row r="327" spans="9:12" x14ac:dyDescent="0.3">
      <c r="I327" s="100"/>
      <c r="J327" s="100"/>
      <c r="K327" s="188"/>
      <c r="L327" s="188"/>
    </row>
    <row r="328" spans="9:12" x14ac:dyDescent="0.3">
      <c r="I328" s="187"/>
      <c r="J328" s="187"/>
      <c r="K328" s="188"/>
      <c r="L328" s="188"/>
    </row>
    <row r="329" spans="9:12" x14ac:dyDescent="0.3">
      <c r="I329" s="187"/>
      <c r="J329" s="187"/>
      <c r="K329" s="188"/>
      <c r="L329" s="188"/>
    </row>
    <row r="330" spans="9:12" x14ac:dyDescent="0.3">
      <c r="I330" s="187"/>
      <c r="J330" s="187"/>
      <c r="K330" s="188"/>
      <c r="L330" s="188"/>
    </row>
    <row r="331" spans="9:12" x14ac:dyDescent="0.3">
      <c r="I331" s="187"/>
      <c r="J331" s="187"/>
      <c r="K331" s="188"/>
      <c r="L331" s="188"/>
    </row>
    <row r="332" spans="9:12" x14ac:dyDescent="0.3">
      <c r="I332" s="187"/>
      <c r="J332" s="187"/>
      <c r="K332" s="188"/>
      <c r="L332" s="188"/>
    </row>
    <row r="333" spans="9:12" x14ac:dyDescent="0.3">
      <c r="I333" s="187"/>
      <c r="J333" s="187"/>
      <c r="K333" s="188"/>
      <c r="L333" s="188"/>
    </row>
    <row r="334" spans="9:12" x14ac:dyDescent="0.3">
      <c r="I334" s="187"/>
      <c r="J334" s="187"/>
      <c r="K334" s="188"/>
      <c r="L334" s="188"/>
    </row>
    <row r="335" spans="9:12" x14ac:dyDescent="0.3">
      <c r="I335" s="187"/>
      <c r="J335" s="187"/>
      <c r="K335" s="188"/>
      <c r="L335" s="188"/>
    </row>
    <row r="336" spans="9:12" x14ac:dyDescent="0.3">
      <c r="I336" s="187"/>
      <c r="J336" s="187"/>
      <c r="K336" s="188"/>
      <c r="L336" s="188"/>
    </row>
    <row r="337" spans="8:12" x14ac:dyDescent="0.3">
      <c r="I337" s="187"/>
      <c r="J337" s="187"/>
      <c r="K337" s="188"/>
      <c r="L337" s="188"/>
    </row>
    <row r="338" spans="8:12" x14ac:dyDescent="0.3">
      <c r="I338" s="187"/>
      <c r="J338" s="187"/>
      <c r="K338" s="188"/>
      <c r="L338" s="188"/>
    </row>
    <row r="339" spans="8:12" x14ac:dyDescent="0.3">
      <c r="I339" s="187"/>
      <c r="J339" s="187"/>
      <c r="K339" s="188"/>
      <c r="L339" s="188"/>
    </row>
    <row r="340" spans="8:12" x14ac:dyDescent="0.3">
      <c r="I340" s="187"/>
      <c r="J340" s="187"/>
      <c r="K340" s="188"/>
      <c r="L340" s="188"/>
    </row>
    <row r="341" spans="8:12" x14ac:dyDescent="0.3">
      <c r="I341" s="187"/>
      <c r="J341" s="187"/>
      <c r="K341" s="188"/>
      <c r="L341" s="188"/>
    </row>
    <row r="342" spans="8:12" x14ac:dyDescent="0.3">
      <c r="I342" s="187"/>
      <c r="J342" s="187"/>
      <c r="K342" s="188"/>
      <c r="L342" s="188"/>
    </row>
    <row r="343" spans="8:12" x14ac:dyDescent="0.3">
      <c r="I343" s="187"/>
      <c r="J343" s="187"/>
      <c r="K343" s="188"/>
      <c r="L343" s="188"/>
    </row>
    <row r="344" spans="8:12" x14ac:dyDescent="0.3">
      <c r="I344" s="187"/>
      <c r="J344" s="187"/>
      <c r="K344" s="188"/>
      <c r="L344" s="188"/>
    </row>
    <row r="345" spans="8:12" x14ac:dyDescent="0.3">
      <c r="I345" s="187"/>
      <c r="J345" s="187"/>
      <c r="K345" s="188"/>
      <c r="L345" s="188"/>
    </row>
    <row r="346" spans="8:12" x14ac:dyDescent="0.3">
      <c r="H346" s="311" t="s">
        <v>1912</v>
      </c>
      <c r="I346" s="187"/>
      <c r="J346" s="187"/>
      <c r="K346" s="188"/>
      <c r="L346" s="188"/>
    </row>
    <row r="347" spans="8:12" x14ac:dyDescent="0.3">
      <c r="I347" s="187"/>
      <c r="J347" s="187"/>
      <c r="K347" s="188"/>
      <c r="L347" s="188"/>
    </row>
    <row r="348" spans="8:12" x14ac:dyDescent="0.3">
      <c r="I348" s="187"/>
      <c r="J348" s="187"/>
      <c r="K348" s="188"/>
      <c r="L348" s="188"/>
    </row>
    <row r="349" spans="8:12" x14ac:dyDescent="0.3">
      <c r="I349" s="187"/>
      <c r="J349" s="187"/>
      <c r="K349" s="188"/>
      <c r="L349" s="188"/>
    </row>
    <row r="350" spans="8:12" x14ac:dyDescent="0.3">
      <c r="I350" s="187"/>
      <c r="J350" s="187"/>
      <c r="K350" s="188"/>
      <c r="L350" s="188"/>
    </row>
    <row r="351" spans="8:12" x14ac:dyDescent="0.3">
      <c r="I351" s="187"/>
      <c r="J351" s="187"/>
      <c r="K351" s="188"/>
      <c r="L351" s="188"/>
    </row>
    <row r="352" spans="8:12" x14ac:dyDescent="0.3">
      <c r="I352" s="187"/>
      <c r="J352" s="187"/>
      <c r="K352" s="188"/>
      <c r="L352" s="188"/>
    </row>
    <row r="353" spans="9:12" x14ac:dyDescent="0.3">
      <c r="I353" s="187"/>
      <c r="J353" s="187"/>
      <c r="K353" s="188"/>
      <c r="L353" s="188"/>
    </row>
    <row r="354" spans="9:12" x14ac:dyDescent="0.3">
      <c r="I354" s="187"/>
      <c r="J354" s="187"/>
      <c r="K354" s="188"/>
      <c r="L354" s="188"/>
    </row>
    <row r="355" spans="9:12" x14ac:dyDescent="0.3">
      <c r="I355" s="187"/>
      <c r="J355" s="187"/>
      <c r="K355" s="188"/>
      <c r="L355" s="188"/>
    </row>
    <row r="356" spans="9:12" x14ac:dyDescent="0.3">
      <c r="I356" s="187"/>
      <c r="J356" s="187"/>
      <c r="K356" s="188"/>
      <c r="L356" s="188"/>
    </row>
    <row r="357" spans="9:12" x14ac:dyDescent="0.3">
      <c r="I357" s="187"/>
      <c r="J357" s="187"/>
      <c r="K357" s="188"/>
      <c r="L357" s="188"/>
    </row>
    <row r="358" spans="9:12" x14ac:dyDescent="0.3">
      <c r="I358" s="187"/>
      <c r="J358" s="187"/>
      <c r="K358" s="188"/>
      <c r="L358" s="188"/>
    </row>
    <row r="359" spans="9:12" x14ac:dyDescent="0.3">
      <c r="I359" s="187"/>
      <c r="J359" s="187"/>
      <c r="K359" s="188"/>
      <c r="L359" s="188"/>
    </row>
    <row r="360" spans="9:12" x14ac:dyDescent="0.3">
      <c r="I360" s="187"/>
      <c r="J360" s="187"/>
      <c r="K360" s="188"/>
      <c r="L360" s="188"/>
    </row>
    <row r="361" spans="9:12" x14ac:dyDescent="0.3">
      <c r="I361" s="187"/>
      <c r="J361" s="187"/>
      <c r="K361" s="188"/>
      <c r="L361" s="188"/>
    </row>
    <row r="362" spans="9:12" x14ac:dyDescent="0.3">
      <c r="I362" s="187"/>
      <c r="J362" s="187"/>
      <c r="K362" s="188"/>
      <c r="L362" s="188"/>
    </row>
    <row r="363" spans="9:12" x14ac:dyDescent="0.3">
      <c r="I363" s="187"/>
      <c r="J363" s="187"/>
      <c r="K363" s="188"/>
      <c r="L363" s="188"/>
    </row>
    <row r="364" spans="9:12" x14ac:dyDescent="0.3">
      <c r="I364" s="187"/>
      <c r="J364" s="187"/>
      <c r="K364" s="188"/>
      <c r="L364" s="188"/>
    </row>
    <row r="365" spans="9:12" x14ac:dyDescent="0.3">
      <c r="I365" s="187"/>
      <c r="J365" s="187"/>
      <c r="K365" s="188"/>
      <c r="L365" s="188"/>
    </row>
    <row r="366" spans="9:12" x14ac:dyDescent="0.3">
      <c r="I366" s="187"/>
      <c r="J366" s="187"/>
      <c r="K366" s="188"/>
      <c r="L366" s="188"/>
    </row>
    <row r="367" spans="9:12" x14ac:dyDescent="0.3">
      <c r="I367" s="187"/>
      <c r="J367" s="187"/>
      <c r="K367" s="188"/>
      <c r="L367" s="188"/>
    </row>
    <row r="368" spans="9:12" x14ac:dyDescent="0.3">
      <c r="I368" s="187"/>
      <c r="J368" s="187"/>
      <c r="K368" s="188"/>
      <c r="L368" s="188"/>
    </row>
    <row r="369" spans="9:12" x14ac:dyDescent="0.3">
      <c r="I369" s="187"/>
      <c r="J369" s="187"/>
      <c r="K369" s="188"/>
      <c r="L369" s="188"/>
    </row>
    <row r="370" spans="9:12" x14ac:dyDescent="0.3">
      <c r="I370" s="187"/>
      <c r="J370" s="187"/>
      <c r="K370" s="188"/>
      <c r="L370" s="188"/>
    </row>
    <row r="371" spans="9:12" x14ac:dyDescent="0.3">
      <c r="I371" s="187"/>
      <c r="J371" s="187"/>
      <c r="K371" s="188"/>
      <c r="L371" s="188"/>
    </row>
    <row r="372" spans="9:12" x14ac:dyDescent="0.3">
      <c r="I372" s="187"/>
      <c r="J372" s="187"/>
      <c r="K372" s="188"/>
      <c r="L372" s="188"/>
    </row>
    <row r="373" spans="9:12" x14ac:dyDescent="0.3">
      <c r="I373" s="187"/>
      <c r="J373" s="187"/>
      <c r="K373" s="188"/>
      <c r="L373" s="188"/>
    </row>
    <row r="374" spans="9:12" x14ac:dyDescent="0.3">
      <c r="I374" s="187"/>
      <c r="J374" s="187"/>
      <c r="K374" s="188"/>
      <c r="L374" s="188"/>
    </row>
    <row r="375" spans="9:12" x14ac:dyDescent="0.3">
      <c r="I375" s="187"/>
      <c r="J375" s="187"/>
      <c r="K375" s="188"/>
      <c r="L375" s="188"/>
    </row>
    <row r="376" spans="9:12" x14ac:dyDescent="0.3">
      <c r="I376" s="187"/>
      <c r="J376" s="187"/>
      <c r="K376" s="188"/>
      <c r="L376" s="188"/>
    </row>
    <row r="377" spans="9:12" x14ac:dyDescent="0.3">
      <c r="I377" s="187"/>
      <c r="J377" s="187"/>
      <c r="K377" s="188"/>
      <c r="L377" s="188"/>
    </row>
    <row r="378" spans="9:12" x14ac:dyDescent="0.3">
      <c r="I378" s="187"/>
      <c r="J378" s="187"/>
      <c r="K378" s="188"/>
      <c r="L378" s="188"/>
    </row>
    <row r="379" spans="9:12" x14ac:dyDescent="0.3">
      <c r="I379" s="187"/>
      <c r="J379" s="187"/>
      <c r="K379" s="188"/>
      <c r="L379" s="188"/>
    </row>
    <row r="380" spans="9:12" x14ac:dyDescent="0.3">
      <c r="I380" s="187"/>
      <c r="J380" s="187"/>
      <c r="K380" s="188"/>
      <c r="L380" s="188"/>
    </row>
    <row r="381" spans="9:12" x14ac:dyDescent="0.3">
      <c r="I381" s="187"/>
      <c r="J381" s="187"/>
      <c r="K381" s="188"/>
      <c r="L381" s="188"/>
    </row>
    <row r="382" spans="9:12" x14ac:dyDescent="0.3">
      <c r="I382" s="187"/>
      <c r="J382" s="187"/>
      <c r="K382" s="188"/>
    </row>
    <row r="383" spans="9:12" x14ac:dyDescent="0.3">
      <c r="I383" s="187"/>
      <c r="J383" s="187"/>
      <c r="K383" s="188"/>
    </row>
    <row r="384" spans="9:12" x14ac:dyDescent="0.3">
      <c r="I384" s="187"/>
      <c r="J384" s="187"/>
      <c r="K384" s="188"/>
    </row>
    <row r="385" spans="9:11" x14ac:dyDescent="0.3">
      <c r="I385" s="187"/>
      <c r="J385" s="187"/>
      <c r="K385" s="188"/>
    </row>
    <row r="386" spans="9:11" x14ac:dyDescent="0.3">
      <c r="I386" s="187"/>
      <c r="J386" s="187"/>
      <c r="K386" s="188"/>
    </row>
    <row r="387" spans="9:11" x14ac:dyDescent="0.3">
      <c r="I387" s="187"/>
      <c r="J387" s="187"/>
      <c r="K387" s="188"/>
    </row>
    <row r="388" spans="9:11" x14ac:dyDescent="0.3">
      <c r="I388" s="187"/>
      <c r="J388" s="187"/>
      <c r="K388" s="188"/>
    </row>
    <row r="389" spans="9:11" x14ac:dyDescent="0.3">
      <c r="I389" s="187"/>
      <c r="J389" s="187"/>
    </row>
    <row r="390" spans="9:11" x14ac:dyDescent="0.3">
      <c r="I390" s="187"/>
      <c r="J390" s="187"/>
    </row>
    <row r="391" spans="9:11" x14ac:dyDescent="0.3">
      <c r="I391" s="187"/>
      <c r="J391" s="187"/>
    </row>
    <row r="392" spans="9:11" x14ac:dyDescent="0.3">
      <c r="I392" s="187"/>
      <c r="J392" s="187"/>
    </row>
    <row r="393" spans="9:11" x14ac:dyDescent="0.3">
      <c r="I393" s="187"/>
      <c r="J393" s="187"/>
    </row>
    <row r="394" spans="9:11" x14ac:dyDescent="0.3">
      <c r="I394" s="187"/>
      <c r="J394" s="187"/>
    </row>
    <row r="395" spans="9:11" x14ac:dyDescent="0.3">
      <c r="I395" s="187"/>
      <c r="J395" s="187"/>
    </row>
    <row r="396" spans="9:11" x14ac:dyDescent="0.3">
      <c r="I396" s="187"/>
      <c r="J396" s="187"/>
    </row>
    <row r="397" spans="9:11" x14ac:dyDescent="0.3">
      <c r="I397" s="100"/>
      <c r="J397" s="100"/>
    </row>
    <row r="398" spans="9:11" x14ac:dyDescent="0.3">
      <c r="I398" s="100"/>
      <c r="J398" s="100"/>
    </row>
    <row r="399" spans="9:11" x14ac:dyDescent="0.3">
      <c r="I399" s="100"/>
      <c r="J399" s="100"/>
    </row>
    <row r="400" spans="9:11" x14ac:dyDescent="0.3">
      <c r="I400" s="100"/>
      <c r="J400" s="100"/>
    </row>
    <row r="401" spans="9:10" x14ac:dyDescent="0.3">
      <c r="I401" s="100"/>
      <c r="J401" s="100"/>
    </row>
    <row r="402" spans="9:10" x14ac:dyDescent="0.3">
      <c r="I402" s="100"/>
      <c r="J402" s="100"/>
    </row>
    <row r="403" spans="9:10" x14ac:dyDescent="0.3">
      <c r="I403" s="100"/>
      <c r="J403" s="100"/>
    </row>
    <row r="404" spans="9:10" x14ac:dyDescent="0.3">
      <c r="I404" s="100"/>
      <c r="J404" s="100"/>
    </row>
    <row r="405" spans="9:10" x14ac:dyDescent="0.3">
      <c r="I405" s="100"/>
      <c r="J405" s="100"/>
    </row>
    <row r="406" spans="9:10" x14ac:dyDescent="0.3">
      <c r="I406" s="100"/>
      <c r="J406" s="100"/>
    </row>
  </sheetData>
  <sheetProtection algorithmName="SHA-512" hashValue="4wqgJSaS//+R6iKkHLIjPULCoc8THvkPd9zA8MZZF5cZbsP8gh6G7qvJNuWicmvsQd7Q/l9HOQ3rutORBI+dAg==" saltValue="wl4efJ0vYN0PvDwrKaqrcw==" spinCount="100000" sheet="1" formatCells="0"/>
  <dataConsolidate link="1"/>
  <mergeCells count="14">
    <mergeCell ref="B276:E276"/>
    <mergeCell ref="B284:C284"/>
    <mergeCell ref="B286:C286"/>
    <mergeCell ref="B283:C283"/>
    <mergeCell ref="B281:C281"/>
    <mergeCell ref="B282:C282"/>
    <mergeCell ref="B285:C285"/>
    <mergeCell ref="E2:G2"/>
    <mergeCell ref="B2:C2"/>
    <mergeCell ref="B124:D124"/>
    <mergeCell ref="B275:E275"/>
    <mergeCell ref="B268:D268"/>
    <mergeCell ref="B6:G6"/>
    <mergeCell ref="B7:G7"/>
  </mergeCells>
  <phoneticPr fontId="54" type="noConversion"/>
  <conditionalFormatting sqref="H154 H76 H78:H79">
    <cfRule type="cellIs" dxfId="118" priority="108" stopIfTrue="1" operator="notEqual">
      <formula>0</formula>
    </cfRule>
  </conditionalFormatting>
  <conditionalFormatting sqref="H155">
    <cfRule type="cellIs" dxfId="117" priority="106" stopIfTrue="1" operator="notEqual">
      <formula>0</formula>
    </cfRule>
  </conditionalFormatting>
  <conditionalFormatting sqref="G254:G257 G261:G262">
    <cfRule type="cellIs" dxfId="116" priority="105" stopIfTrue="1" operator="notEqual">
      <formula>0</formula>
    </cfRule>
  </conditionalFormatting>
  <conditionalFormatting sqref="H25">
    <cfRule type="cellIs" dxfId="115" priority="104" stopIfTrue="1" operator="notEqual">
      <formula>0</formula>
    </cfRule>
  </conditionalFormatting>
  <conditionalFormatting sqref="H39:H40">
    <cfRule type="cellIs" dxfId="114" priority="103" stopIfTrue="1" operator="notEqual">
      <formula>0</formula>
    </cfRule>
  </conditionalFormatting>
  <conditionalFormatting sqref="H59">
    <cfRule type="cellIs" dxfId="113" priority="102" stopIfTrue="1" operator="notEqual">
      <formula>0</formula>
    </cfRule>
  </conditionalFormatting>
  <conditionalFormatting sqref="H103">
    <cfRule type="cellIs" dxfId="112" priority="100" stopIfTrue="1" operator="notEqual">
      <formula>0</formula>
    </cfRule>
  </conditionalFormatting>
  <conditionalFormatting sqref="H122">
    <cfRule type="cellIs" dxfId="111" priority="99" stopIfTrue="1" operator="notEqual">
      <formula>0</formula>
    </cfRule>
  </conditionalFormatting>
  <conditionalFormatting sqref="H137">
    <cfRule type="cellIs" dxfId="110" priority="98" stopIfTrue="1" operator="notEqual">
      <formula>0</formula>
    </cfRule>
  </conditionalFormatting>
  <conditionalFormatting sqref="H138">
    <cfRule type="cellIs" dxfId="109" priority="97" stopIfTrue="1" operator="notEqual">
      <formula>0</formula>
    </cfRule>
  </conditionalFormatting>
  <conditionalFormatting sqref="G236">
    <cfRule type="cellIs" priority="69" stopIfTrue="1" operator="equal">
      <formula>";;;"</formula>
    </cfRule>
  </conditionalFormatting>
  <conditionalFormatting sqref="G236">
    <cfRule type="cellIs" dxfId="108" priority="68" stopIfTrue="1" operator="equal">
      <formula>0</formula>
    </cfRule>
  </conditionalFormatting>
  <conditionalFormatting sqref="G235">
    <cfRule type="cellIs" priority="66" stopIfTrue="1" operator="equal">
      <formula>";;;"</formula>
    </cfRule>
  </conditionalFormatting>
  <conditionalFormatting sqref="G235">
    <cfRule type="cellIs" dxfId="107" priority="65" stopIfTrue="1" operator="equal">
      <formula>0</formula>
    </cfRule>
  </conditionalFormatting>
  <conditionalFormatting sqref="G235">
    <cfRule type="cellIs" dxfId="106" priority="64" stopIfTrue="1" operator="equal">
      <formula>0</formula>
    </cfRule>
  </conditionalFormatting>
  <conditionalFormatting sqref="G234">
    <cfRule type="cellIs" priority="54" stopIfTrue="1" operator="equal">
      <formula>";;;"</formula>
    </cfRule>
  </conditionalFormatting>
  <conditionalFormatting sqref="G234">
    <cfRule type="cellIs" dxfId="105" priority="53" stopIfTrue="1" operator="equal">
      <formula>0</formula>
    </cfRule>
  </conditionalFormatting>
  <conditionalFormatting sqref="G234">
    <cfRule type="cellIs" dxfId="104" priority="52" stopIfTrue="1" operator="equal">
      <formula>0</formula>
    </cfRule>
  </conditionalFormatting>
  <conditionalFormatting sqref="G229">
    <cfRule type="cellIs" priority="21" stopIfTrue="1" operator="equal">
      <formula>";;;"</formula>
    </cfRule>
  </conditionalFormatting>
  <conditionalFormatting sqref="G229">
    <cfRule type="cellIs" dxfId="103" priority="20" stopIfTrue="1" operator="equal">
      <formula>0</formula>
    </cfRule>
  </conditionalFormatting>
  <conditionalFormatting sqref="G229">
    <cfRule type="cellIs" dxfId="102" priority="19" stopIfTrue="1" operator="equal">
      <formula>0</formula>
    </cfRule>
  </conditionalFormatting>
  <conditionalFormatting sqref="G227">
    <cfRule type="cellIs" priority="18" stopIfTrue="1" operator="equal">
      <formula>";;;"</formula>
    </cfRule>
  </conditionalFormatting>
  <conditionalFormatting sqref="G227">
    <cfRule type="cellIs" dxfId="101" priority="17" stopIfTrue="1" operator="equal">
      <formula>0</formula>
    </cfRule>
  </conditionalFormatting>
  <conditionalFormatting sqref="G227">
    <cfRule type="cellIs" dxfId="100" priority="16" stopIfTrue="1" operator="equal">
      <formula>0</formula>
    </cfRule>
  </conditionalFormatting>
  <conditionalFormatting sqref="G228">
    <cfRule type="cellIs" priority="15" stopIfTrue="1" operator="equal">
      <formula>";;;"</formula>
    </cfRule>
  </conditionalFormatting>
  <conditionalFormatting sqref="G228">
    <cfRule type="cellIs" dxfId="99" priority="14" stopIfTrue="1" operator="equal">
      <formula>0</formula>
    </cfRule>
  </conditionalFormatting>
  <conditionalFormatting sqref="G228">
    <cfRule type="cellIs" dxfId="98" priority="13" stopIfTrue="1" operator="equal">
      <formula>0</formula>
    </cfRule>
  </conditionalFormatting>
  <conditionalFormatting sqref="G231">
    <cfRule type="cellIs" priority="12" stopIfTrue="1" operator="equal">
      <formula>";;;"</formula>
    </cfRule>
  </conditionalFormatting>
  <conditionalFormatting sqref="G231">
    <cfRule type="cellIs" dxfId="97" priority="11" stopIfTrue="1" operator="equal">
      <formula>0</formula>
    </cfRule>
  </conditionalFormatting>
  <conditionalFormatting sqref="G231">
    <cfRule type="cellIs" dxfId="96" priority="10" stopIfTrue="1" operator="equal">
      <formula>0</formula>
    </cfRule>
  </conditionalFormatting>
  <conditionalFormatting sqref="G233">
    <cfRule type="cellIs" priority="4" stopIfTrue="1" operator="equal">
      <formula>";;;"</formula>
    </cfRule>
  </conditionalFormatting>
  <conditionalFormatting sqref="G233">
    <cfRule type="cellIs" dxfId="95" priority="3" stopIfTrue="1" operator="equal">
      <formula>0</formula>
    </cfRule>
  </conditionalFormatting>
  <conditionalFormatting sqref="G233">
    <cfRule type="cellIs" dxfId="94" priority="2" stopIfTrue="1" operator="equal">
      <formula>0</formula>
    </cfRule>
  </conditionalFormatting>
  <conditionalFormatting sqref="H77">
    <cfRule type="expression" dxfId="93" priority="1">
      <formula>$F$77=""</formula>
    </cfRule>
  </conditionalFormatting>
  <dataValidations xWindow="829" yWindow="690" count="19">
    <dataValidation type="list" allowBlank="1" showInputMessage="1" showErrorMessage="1" prompt="Please select your answer from the drop-down list." sqref="F85" xr:uid="{00000000-0002-0000-0100-000005000000}">
      <formula1>$O$2:$O$4</formula1>
    </dataValidation>
    <dataValidation type="list" allowBlank="1" showInputMessage="1" showErrorMessage="1" prompt="Please select your answer from the drop down list." sqref="F267 F263 F224" xr:uid="{FCE57F22-20D9-4CFA-AFE5-1751E216D3C1}">
      <formula1>$P$1:$P$2</formula1>
    </dataValidation>
    <dataValidation type="list" allowBlank="1" showInputMessage="1" showErrorMessage="1" prompt="Please select your answer from the drop down list." sqref="F232" xr:uid="{2CD3BDAD-30EF-425F-BB01-D3FF43CDAA81}">
      <formula1>$P$1:$P$4</formula1>
    </dataValidation>
    <dataValidation type="list" allowBlank="1" showInputMessage="1" showErrorMessage="1" prompt="Please select your response from the drop-down menu." sqref="F271" xr:uid="{DB0EB8F5-2DE0-4833-AFDF-F7BB7A8D56E1}">
      <formula1>$N$8:$N$10</formula1>
    </dataValidation>
    <dataValidation type="list" allowBlank="1" showInputMessage="1" showErrorMessage="1" prompt="Please select your answer from the drop down list." sqref="F265" xr:uid="{7FCE12A8-B6A0-48F9-9BA0-C3D89D188CEE}">
      <formula1>"20,21,22,23"</formula1>
    </dataValidation>
    <dataValidation type="list" operator="greaterThan" allowBlank="1" showInputMessage="1" showErrorMessage="1" prompt="Please select appropriate answer from drop down list." sqref="F185"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7 F173 F157 F30:F41 F27:F28 F46:F61 F63:F76 F160:F169 F86:F103 F105:F122 F125:F138 F142:F155 F81 F181:F183 F20:F25 F78:F79 F43:F44" xr:uid="{B5815DCD-160E-4CA9-A461-76D5F396E4F1}">
      <formula1>ISNUMBER(F20)</formula1>
    </dataValidation>
    <dataValidation type="custom" allowBlank="1" showErrorMessage="1" error="Please enter a numeric value.  If this data is not applicable to your unit of government, the cell should be populated with zero." prompt="_x000a__x000a_" sqref="F221 F200:F203 F206:F209 F194:F197 F218:F219 F214:F216" xr:uid="{DA17F63A-7740-447E-B0DD-1FD94F0BE4C8}">
      <formula1>ISNUMBER(F194)</formula1>
    </dataValidation>
    <dataValidation type="custom" allowBlank="1" showErrorMessage="1" error="Please enter a numeric value.  If this data is not applicable to your unit of government, the cell should be populated with zero." sqref="F264 F254:F262 F251 F247 F226:F229 F233:F235 F249 F238:F245" xr:uid="{6656F482-2030-43E8-B669-24F0F4187CE8}">
      <formula1>ISNUMBER(F226)</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30" xr:uid="{8DAFED68-C7CC-4E4B-B0DE-1B3BA6E17585}">
      <formula1>-ISNUMBER(221)</formula1>
    </dataValidation>
    <dataValidation type="list" allowBlank="1" showInputMessage="1" showErrorMessage="1" prompt="Please select appropriate answer from drop down list." sqref="F184"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9:F19" xr:uid="{2B8A4F99-9CD2-4D02-A062-E988EF3799E5}">
      <formula1>ISNUMBER(F9)</formula1>
    </dataValidation>
    <dataValidation type="list" allowBlank="1" showInputMessage="1" showErrorMessage="1" prompt="Please select your answer from drop down list." sqref="F175 F139:F140" xr:uid="{B28A4ED8-9280-4348-99A1-3B99F5248D33}">
      <formula1>$P$1:$P$2</formula1>
    </dataValidation>
    <dataValidation type="custom" allowBlank="1" showErrorMessage="1" error="Please enter a numeric value.  If this data is not applicable to your unit of government, the cell should be populated wih zero." sqref="F231" xr:uid="{EE3DADAD-5656-406D-A714-9D6C22BCD542}">
      <formula1>ISNUMBER(F231)</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_x000a_" sqref="F171" xr:uid="{D5C6965D-2887-4BB7-9AAD-B150E1F049E6}">
      <formula1>"1, 2,3"</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 sqref="F170" xr:uid="{CB2C6E7F-7BC8-4064-AC01-4376819B3BBA}">
      <formula1>"1, 2,3"</formula1>
    </dataValidation>
    <dataValidation type="list" allowBlank="1" showInputMessage="1" showErrorMessage="1" prompt="Please select your response from the drop-down menu." sqref="F272" xr:uid="{4AB0A0E0-96FC-4194-B5A7-E7BCBCE1281A}">
      <formula1>$N$1:$N$2</formula1>
    </dataValidation>
    <dataValidation type="list" allowBlank="1" showInputMessage="1" showErrorMessage="1" prompt="Please select your answer  from the drop down list." sqref="F77" xr:uid="{A85FF889-D99F-45B3-A284-6701B76512B6}">
      <formula1>$N$4:$N$6</formula1>
    </dataValidation>
    <dataValidation type="date" operator="greaterThan" allowBlank="1" showInputMessage="1" showErrorMessage="1" sqref="D283" xr:uid="{9B991B0F-50D0-4324-A8E3-281DB92BD6E7}">
      <formula1>45107</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8:H260"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Names(H)'!$A$1:$A$72</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55"/>
  <sheetViews>
    <sheetView zoomScaleNormal="100" workbookViewId="0">
      <selection activeCell="C11" sqref="C11"/>
    </sheetView>
  </sheetViews>
  <sheetFormatPr defaultRowHeight="14.4" x14ac:dyDescent="0.3"/>
  <cols>
    <col min="1" max="1" width="10.21875" style="155" customWidth="1"/>
    <col min="2" max="2" width="86.33203125" customWidth="1"/>
    <col min="3" max="3" width="19" customWidth="1"/>
    <col min="4" max="4" width="50.33203125" style="527" customWidth="1"/>
    <col min="5" max="5" width="28.109375" customWidth="1"/>
    <col min="6" max="6" width="48.88671875" customWidth="1"/>
    <col min="7" max="7" width="32.109375" customWidth="1"/>
    <col min="8" max="9" width="8.88671875" style="633"/>
    <col min="10" max="10" width="1.6640625" style="633" customWidth="1"/>
    <col min="11" max="12" width="8.88671875" style="633" hidden="1" customWidth="1"/>
    <col min="13" max="13" width="13" style="633" customWidth="1"/>
  </cols>
  <sheetData>
    <row r="1" spans="1:13" s="562" customFormat="1" ht="12" customHeight="1" thickBot="1" x14ac:dyDescent="0.35">
      <c r="A1" s="561"/>
      <c r="D1" s="624"/>
      <c r="E1"/>
      <c r="F1"/>
      <c r="G1"/>
      <c r="H1" s="632"/>
      <c r="I1" s="632"/>
      <c r="J1" s="632"/>
      <c r="K1" s="632"/>
      <c r="L1" s="632"/>
      <c r="M1" s="632"/>
    </row>
    <row r="2" spans="1:13" ht="34.950000000000003" customHeight="1" thickBot="1" x14ac:dyDescent="0.35">
      <c r="A2" s="1093" t="s">
        <v>1533</v>
      </c>
      <c r="B2" s="1094"/>
      <c r="C2" s="1094"/>
      <c r="D2" s="1095"/>
    </row>
    <row r="3" spans="1:13" s="562" customFormat="1" ht="8.4" customHeight="1" thickBot="1" x14ac:dyDescent="0.35">
      <c r="A3" s="623"/>
      <c r="D3" s="624"/>
      <c r="E3"/>
      <c r="F3"/>
      <c r="G3"/>
      <c r="H3" s="632"/>
      <c r="I3" s="632"/>
      <c r="J3" s="632"/>
      <c r="K3" s="632"/>
      <c r="L3" s="632"/>
      <c r="M3" s="632"/>
    </row>
    <row r="4" spans="1:13" ht="16.95" customHeight="1" thickBot="1" x14ac:dyDescent="0.35">
      <c r="A4" s="1096" t="s">
        <v>1534</v>
      </c>
      <c r="B4" s="1097"/>
      <c r="C4" s="1097"/>
      <c r="D4" s="1098"/>
    </row>
    <row r="5" spans="1:13" ht="9" customHeight="1" thickBot="1" x14ac:dyDescent="0.35">
      <c r="A5"/>
      <c r="D5"/>
      <c r="H5"/>
      <c r="I5"/>
      <c r="J5"/>
      <c r="K5"/>
      <c r="L5"/>
      <c r="M5"/>
    </row>
    <row r="6" spans="1:13" ht="18.600000000000001" customHeight="1" thickBot="1" x14ac:dyDescent="0.35">
      <c r="A6" s="1099" t="s">
        <v>877</v>
      </c>
      <c r="B6" s="1100"/>
      <c r="C6" s="1100"/>
      <c r="D6" s="1101"/>
    </row>
    <row r="7" spans="1:13" s="180" customFormat="1" ht="7.95" customHeight="1" thickBot="1" x14ac:dyDescent="0.35"/>
    <row r="8" spans="1:13" s="180" customFormat="1" ht="36.6" customHeight="1" thickBot="1" x14ac:dyDescent="0.4">
      <c r="A8" s="1102" t="s">
        <v>1932</v>
      </c>
      <c r="B8" s="1103"/>
      <c r="C8" s="1103"/>
      <c r="D8" s="1104"/>
    </row>
    <row r="9" spans="1:13" s="562" customFormat="1" ht="13.95" customHeight="1" thickBot="1" x14ac:dyDescent="0.35">
      <c r="A9" s="625"/>
      <c r="B9" s="626"/>
      <c r="C9" s="626"/>
      <c r="D9" s="631"/>
      <c r="E9" s="1091" t="s">
        <v>1943</v>
      </c>
      <c r="F9"/>
      <c r="G9"/>
      <c r="H9" s="632"/>
      <c r="I9" s="632"/>
      <c r="J9" s="632"/>
      <c r="K9" s="632"/>
      <c r="L9" s="632"/>
      <c r="M9" s="632"/>
    </row>
    <row r="10" spans="1:13" ht="47.25" customHeight="1" x14ac:dyDescent="0.3">
      <c r="A10" s="770" t="s">
        <v>815</v>
      </c>
      <c r="B10" s="771"/>
      <c r="C10" s="771"/>
      <c r="D10" s="772"/>
      <c r="E10" s="1092"/>
    </row>
    <row r="11" spans="1:13" s="538" customFormat="1" ht="40.200000000000003" customHeight="1" x14ac:dyDescent="0.3">
      <c r="A11" s="658">
        <v>906</v>
      </c>
      <c r="B11" s="659" t="s">
        <v>466</v>
      </c>
      <c r="C11" s="755"/>
      <c r="D11" s="935" t="str">
        <f t="shared" ref="D11:D32" si="0">IF(C11="","This Question must be answered before uploading, the report will not be processed if left blank","")</f>
        <v>This Question must be answered before uploading, the report will not be processed if left blank</v>
      </c>
      <c r="E11" s="1039"/>
      <c r="F11"/>
      <c r="G11"/>
      <c r="H11" s="634"/>
      <c r="I11" s="634"/>
      <c r="J11" s="634"/>
      <c r="K11" s="634"/>
      <c r="L11" s="634"/>
      <c r="M11" s="634"/>
    </row>
    <row r="12" spans="1:13" ht="40.200000000000003" customHeight="1" x14ac:dyDescent="0.3">
      <c r="A12" s="658">
        <v>907</v>
      </c>
      <c r="B12" s="659" t="s">
        <v>1516</v>
      </c>
      <c r="C12" s="755"/>
      <c r="D12" s="935" t="str">
        <f t="shared" si="0"/>
        <v>This Question must be answered before uploading, the report will not be processed if left blank</v>
      </c>
      <c r="E12" s="1040"/>
      <c r="H12" s="634"/>
      <c r="I12" s="634"/>
      <c r="J12" s="634"/>
      <c r="K12" s="634"/>
      <c r="L12" s="634"/>
    </row>
    <row r="13" spans="1:13" s="180" customFormat="1" ht="51.6" customHeight="1" x14ac:dyDescent="0.3">
      <c r="A13" s="793">
        <v>1055</v>
      </c>
      <c r="B13" s="659" t="s">
        <v>1927</v>
      </c>
      <c r="C13" s="755"/>
      <c r="D13" s="725" t="str">
        <f>IF(C13="","This question must be answered before uploading. The report will not be processed if left blank.",IF(C13="Yes","Financial Performance Indicator of Concern that requires a response.  Please provide source document and page number in cell E13.",""))</f>
        <v>This question must be answered before uploading. The report will not be processed if left blank.</v>
      </c>
      <c r="E13" s="1041"/>
      <c r="F13"/>
      <c r="G13"/>
      <c r="H13" s="634"/>
      <c r="I13" s="634"/>
      <c r="J13" s="634"/>
      <c r="K13" s="634"/>
      <c r="L13" s="634"/>
      <c r="M13" s="633"/>
    </row>
    <row r="14" spans="1:13" s="180" customFormat="1" ht="48.6" customHeight="1" x14ac:dyDescent="0.3">
      <c r="A14" s="793">
        <v>1056</v>
      </c>
      <c r="B14" s="659" t="s">
        <v>1513</v>
      </c>
      <c r="C14" s="755"/>
      <c r="D14" s="935" t="str">
        <f>IF(C14="","This question must be answered before uploading. The report will not be processed if left blank.",IF(C14="Yes"," Financial Performance Indicator of Concern that requires a response.  Please provide source document and page number in cell E14.",""))</f>
        <v>This question must be answered before uploading. The report will not be processed if left blank.</v>
      </c>
      <c r="E14" s="1041"/>
      <c r="F14"/>
      <c r="G14"/>
      <c r="H14" s="634"/>
      <c r="I14" s="634"/>
      <c r="J14" s="634"/>
      <c r="K14" s="634"/>
      <c r="L14" s="634"/>
      <c r="M14" s="633"/>
    </row>
    <row r="15" spans="1:13" s="180" customFormat="1" ht="55.2" customHeight="1" x14ac:dyDescent="0.3">
      <c r="A15" s="658">
        <v>1057</v>
      </c>
      <c r="B15" s="659" t="s">
        <v>1939</v>
      </c>
      <c r="C15" s="755"/>
      <c r="D15" s="935" t="str">
        <f>IF(C15="","This question must be answered before uploading. The report will not be processed if left blank.",IF(C15="Yes","Financial Performance Indicator of Concern that requires a response.  Please provide source document and page number in cell E15.",""))</f>
        <v>This question must be answered before uploading. The report will not be processed if left blank.</v>
      </c>
      <c r="E15" s="1040"/>
      <c r="F15"/>
      <c r="G15"/>
      <c r="H15" s="634"/>
      <c r="I15" s="634"/>
      <c r="J15" s="634"/>
      <c r="K15" s="634"/>
      <c r="L15" s="634"/>
      <c r="M15" s="633"/>
    </row>
    <row r="16" spans="1:13" ht="49.2" customHeight="1" x14ac:dyDescent="0.3">
      <c r="A16" s="793">
        <v>1058</v>
      </c>
      <c r="B16" s="659" t="s">
        <v>1940</v>
      </c>
      <c r="C16" s="755"/>
      <c r="D16" s="935" t="str">
        <f>IF(C16="","This question must be answered before uploading. The report will not be processed if left blank.",IF(C16="Yes","Financial Performance Indicator of Concern that requires a response.  Please provide source document and page number in cell E16.",""))</f>
        <v>This question must be answered before uploading. The report will not be processed if left blank.</v>
      </c>
      <c r="E16" s="1040"/>
    </row>
    <row r="17" spans="1:13" ht="113.4" customHeight="1" x14ac:dyDescent="0.3">
      <c r="A17" s="658">
        <v>1059</v>
      </c>
      <c r="B17" s="659" t="s">
        <v>1964</v>
      </c>
      <c r="C17" s="755"/>
      <c r="D17" s="935" t="str">
        <f>IF(C17="","This question must be answered before uploading. The report will not be processed if left blank.",IF(C17="No","Financial Performance Indicator of Concern that requires a response.  Please provide source document and page number in cell E17.",""))</f>
        <v>This question must be answered before uploading. The report will not be processed if left blank.</v>
      </c>
      <c r="E17" s="1040"/>
      <c r="H17" s="634"/>
      <c r="I17" s="634"/>
      <c r="J17" s="634"/>
      <c r="K17" s="634"/>
      <c r="L17" s="634"/>
    </row>
    <row r="18" spans="1:13" s="180" customFormat="1" ht="113.4" customHeight="1" x14ac:dyDescent="0.3">
      <c r="A18" s="658">
        <v>1078</v>
      </c>
      <c r="B18" s="627" t="s">
        <v>2598</v>
      </c>
      <c r="C18" s="755"/>
      <c r="D18" s="935" t="str">
        <f>IF(C18="","This question must be answered before uploading. The report will not be processed if left blank.",IF(C18="Yes","Please provide source document and page number in cell E18.",""))</f>
        <v>This question must be answered before uploading. The report will not be processed if left blank.</v>
      </c>
      <c r="E18" s="1040"/>
      <c r="F18"/>
      <c r="H18" s="634"/>
      <c r="I18" s="634"/>
      <c r="J18" s="634"/>
      <c r="K18" s="634"/>
      <c r="L18" s="634"/>
      <c r="M18" s="633"/>
    </row>
    <row r="19" spans="1:13" s="180" customFormat="1" ht="78.599999999999994" customHeight="1" x14ac:dyDescent="0.3">
      <c r="A19" s="658">
        <v>1067</v>
      </c>
      <c r="B19" s="629" t="s">
        <v>1721</v>
      </c>
      <c r="C19" s="755"/>
      <c r="D19" s="935" t="str">
        <f>IF(C19="","This question must be answered before uploading. The report will not be processed if left blank.",IF(C19="No","Financial Performance Indicator of Concern that requires a response.  Please provide source document and page number in cell E19.",""))</f>
        <v>This question must be answered before uploading. The report will not be processed if left blank.</v>
      </c>
      <c r="E19" s="1040"/>
      <c r="F19"/>
      <c r="G19"/>
      <c r="H19" s="634"/>
      <c r="I19" s="634"/>
      <c r="J19" s="634"/>
      <c r="K19" s="634"/>
      <c r="L19" s="634"/>
      <c r="M19" s="633"/>
    </row>
    <row r="20" spans="1:13" ht="40.200000000000003" customHeight="1" x14ac:dyDescent="0.3">
      <c r="A20" s="658">
        <v>951</v>
      </c>
      <c r="B20" s="659" t="s">
        <v>1517</v>
      </c>
      <c r="C20" s="755"/>
      <c r="D20" s="935" t="str">
        <f t="shared" si="0"/>
        <v>This Question must be answered before uploading, the report will not be processed if left blank</v>
      </c>
      <c r="E20" s="1040"/>
      <c r="H20" s="634"/>
      <c r="I20" s="634"/>
      <c r="J20" s="634"/>
      <c r="K20" s="634"/>
      <c r="L20" s="634"/>
    </row>
    <row r="21" spans="1:13" ht="40.200000000000003" customHeight="1" x14ac:dyDescent="0.3">
      <c r="A21" s="658">
        <v>953</v>
      </c>
      <c r="B21" s="659" t="s">
        <v>1647</v>
      </c>
      <c r="C21" s="755"/>
      <c r="D21" s="935" t="str">
        <f t="shared" si="0"/>
        <v>This Question must be answered before uploading, the report will not be processed if left blank</v>
      </c>
      <c r="E21" s="1040"/>
      <c r="H21" s="634"/>
      <c r="I21" s="634"/>
      <c r="J21" s="634"/>
      <c r="K21" s="634"/>
      <c r="L21" s="634"/>
    </row>
    <row r="22" spans="1:13" ht="52.95" customHeight="1" x14ac:dyDescent="0.3">
      <c r="A22" s="793">
        <v>955</v>
      </c>
      <c r="B22" s="659" t="s">
        <v>1648</v>
      </c>
      <c r="C22" s="755"/>
      <c r="D22" s="935" t="str">
        <f>IF(C22="","This question must be answered before uploading. The report will not be processed if left blank.",IF(C22&gt;0,"Financial Performance Indicator of Concern that requires a response.  Please provide source document and page number in E22.",""))</f>
        <v>This question must be answered before uploading. The report will not be processed if left blank.</v>
      </c>
      <c r="E22" s="1040"/>
      <c r="H22" s="634"/>
      <c r="I22" s="634"/>
      <c r="J22" s="634"/>
      <c r="K22" s="634"/>
      <c r="L22" s="634"/>
    </row>
    <row r="23" spans="1:13" ht="48" customHeight="1" x14ac:dyDescent="0.3">
      <c r="A23" s="793">
        <v>957</v>
      </c>
      <c r="B23" s="659" t="s">
        <v>1653</v>
      </c>
      <c r="C23" s="755"/>
      <c r="D23" s="935" t="str">
        <f>IF(C23="","This question must be answered before uploading. The report will not be processed if left blank.",IF(C23&gt;0,"Financial Performance Indicator of Concern that requires a response.",""))</f>
        <v>This question must be answered before uploading. The report will not be processed if left blank.</v>
      </c>
      <c r="E23" s="1040"/>
      <c r="H23" s="634"/>
      <c r="I23" s="634"/>
      <c r="J23" s="634"/>
      <c r="K23" s="634"/>
      <c r="L23" s="634"/>
    </row>
    <row r="24" spans="1:13" s="180" customFormat="1" ht="115.8" customHeight="1" x14ac:dyDescent="0.3">
      <c r="A24" s="658">
        <v>973</v>
      </c>
      <c r="B24" s="659" t="s">
        <v>1941</v>
      </c>
      <c r="C24" s="755"/>
      <c r="D24" s="935" t="str">
        <f>IF(C24="","This question must be answered before uploading. The report will not be processed if left blank.",IF(C24&gt;0,"Financial Performance Indicator of Concern that requires a response.",""))</f>
        <v>This question must be answered before uploading. The report will not be processed if left blank.</v>
      </c>
      <c r="E24" s="1040"/>
      <c r="F24"/>
      <c r="G24"/>
      <c r="H24" s="634"/>
      <c r="I24" s="634"/>
      <c r="J24" s="634"/>
      <c r="K24" s="634"/>
      <c r="L24" s="634"/>
      <c r="M24" s="633"/>
    </row>
    <row r="25" spans="1:13" s="180" customFormat="1" ht="52.8" customHeight="1" x14ac:dyDescent="0.3">
      <c r="A25" s="658">
        <v>959</v>
      </c>
      <c r="B25" s="659" t="s">
        <v>658</v>
      </c>
      <c r="C25" s="755"/>
      <c r="D25" s="935" t="str">
        <f>IF(C25="","This question must be answered before uploading. The report will not be processed if left blank.",IF(C25="Yes","Financial Performance Indicator of Concern that requires a response.  Please provide  source document and page number in cell E25.",""))</f>
        <v>This question must be answered before uploading. The report will not be processed if left blank.</v>
      </c>
      <c r="E25" s="1040"/>
      <c r="F25"/>
      <c r="G25"/>
      <c r="H25" s="634"/>
      <c r="I25" s="634"/>
      <c r="J25" s="634"/>
      <c r="K25" s="634"/>
      <c r="L25" s="634"/>
      <c r="M25" s="633"/>
    </row>
    <row r="26" spans="1:13" ht="93" customHeight="1" x14ac:dyDescent="0.3">
      <c r="A26" s="658">
        <v>974</v>
      </c>
      <c r="B26" s="659" t="s">
        <v>661</v>
      </c>
      <c r="C26" s="755"/>
      <c r="D26" s="935" t="str">
        <f>IF(C26="","This question must be answered before uploading. The report will not be processed if left blank.",IF(C26="Yes","Financial Performance Indicator of Concern that requires a response.  Please provide source document and page number in cell E26.",""))</f>
        <v>This question must be answered before uploading. The report will not be processed if left blank.</v>
      </c>
      <c r="E26" s="1040"/>
      <c r="H26" s="634"/>
      <c r="I26" s="634"/>
      <c r="J26" s="634"/>
      <c r="K26" s="634"/>
      <c r="L26" s="634"/>
    </row>
    <row r="27" spans="1:13" ht="40.200000000000003" customHeight="1" x14ac:dyDescent="0.3">
      <c r="A27" s="658" t="s">
        <v>610</v>
      </c>
      <c r="B27" s="659" t="s">
        <v>467</v>
      </c>
      <c r="C27" s="755"/>
      <c r="D27" s="935" t="str">
        <f>IF(C27="","This Question must be answered before uploading, the report will not be processed if left blank",IF(C27="Yes","Please submit copy via LGC File Portal.",""))</f>
        <v>This Question must be answered before uploading, the report will not be processed if left blank</v>
      </c>
      <c r="E27" s="1040"/>
      <c r="H27" s="634"/>
      <c r="I27" s="634"/>
      <c r="J27" s="634"/>
      <c r="K27" s="634"/>
      <c r="L27" s="634"/>
    </row>
    <row r="28" spans="1:13" ht="40.200000000000003" customHeight="1" x14ac:dyDescent="0.3">
      <c r="A28" s="658" t="s">
        <v>611</v>
      </c>
      <c r="B28" s="659" t="s">
        <v>1915</v>
      </c>
      <c r="C28" s="755"/>
      <c r="D28" s="935" t="str">
        <f t="shared" ref="D28:D29" si="1">IF(C28="","This Question must be answered before uploading, the report will not be processed if left blank",IF(C28="Yes","Please submit copy via LGC File Portal.",""))</f>
        <v>This Question must be answered before uploading, the report will not be processed if left blank</v>
      </c>
      <c r="E28" s="1040"/>
      <c r="H28" s="634"/>
      <c r="I28" s="634"/>
      <c r="J28" s="634"/>
      <c r="K28" s="634"/>
      <c r="L28" s="634"/>
    </row>
    <row r="29" spans="1:13" ht="40.200000000000003" customHeight="1" x14ac:dyDescent="0.3">
      <c r="A29" s="658" t="s">
        <v>612</v>
      </c>
      <c r="B29" s="659" t="s">
        <v>1918</v>
      </c>
      <c r="C29" s="755"/>
      <c r="D29" s="935" t="str">
        <f t="shared" si="1"/>
        <v>This Question must be answered before uploading, the report will not be processed if left blank</v>
      </c>
      <c r="E29" s="1040"/>
      <c r="H29" s="634"/>
      <c r="I29" s="634"/>
      <c r="J29" s="634"/>
      <c r="K29" s="634"/>
      <c r="L29" s="634"/>
    </row>
    <row r="30" spans="1:13" s="180" customFormat="1" ht="40.200000000000003" customHeight="1" x14ac:dyDescent="0.3">
      <c r="A30" s="996" t="s">
        <v>2607</v>
      </c>
      <c r="B30" s="997" t="s">
        <v>2608</v>
      </c>
      <c r="C30" s="756">
        <v>45107</v>
      </c>
      <c r="D30" s="998"/>
      <c r="E30" s="1041"/>
      <c r="H30" s="634"/>
      <c r="I30" s="634"/>
      <c r="J30" s="634"/>
      <c r="K30" s="634"/>
      <c r="L30" s="634"/>
      <c r="M30" s="633"/>
    </row>
    <row r="31" spans="1:13" ht="40.200000000000003" customHeight="1" x14ac:dyDescent="0.3">
      <c r="A31" s="780">
        <v>1079</v>
      </c>
      <c r="B31" s="627" t="s">
        <v>2619</v>
      </c>
      <c r="C31" s="756"/>
      <c r="D31" s="999" t="str">
        <f>IF(C31="","This question must be answered before uploading. The report will not be processed if left blank.",IF(C31&gt;'Performance  Indicators Print'!N30,"Financial Performance Indicator of Concern that requires a response.",""))</f>
        <v>This question must be answered before uploading. The report will not be processed if left blank.</v>
      </c>
      <c r="E31" s="1041"/>
      <c r="H31" s="634"/>
      <c r="I31" s="634"/>
      <c r="J31" s="634"/>
      <c r="K31" s="634"/>
      <c r="L31" s="634"/>
    </row>
    <row r="32" spans="1:13" ht="52.95" customHeight="1" x14ac:dyDescent="0.3">
      <c r="A32" s="658">
        <v>980</v>
      </c>
      <c r="B32" s="659" t="s">
        <v>1649</v>
      </c>
      <c r="C32" s="756"/>
      <c r="D32" s="935" t="str">
        <f t="shared" si="0"/>
        <v>This Question must be answered before uploading, the report will not be processed if left blank</v>
      </c>
      <c r="E32" s="1040"/>
      <c r="H32"/>
      <c r="I32"/>
      <c r="J32"/>
      <c r="K32"/>
      <c r="L32"/>
      <c r="M32"/>
    </row>
    <row r="33" spans="1:13" ht="40.200000000000003" customHeight="1" x14ac:dyDescent="0.3">
      <c r="A33" s="658">
        <v>975</v>
      </c>
      <c r="B33" s="1031" t="s">
        <v>1942</v>
      </c>
      <c r="C33" s="1032"/>
      <c r="D33" s="1033" t="str">
        <f>IF(C33="","This question must be answered before uploading. The report will not be processed if left blank.",IF(C33="Yes","Financial Performance Indicator of Concern that requires a response.",""))</f>
        <v>This question must be answered before uploading. The report will not be processed if left blank.</v>
      </c>
      <c r="E33" s="1040"/>
      <c r="H33" s="634"/>
      <c r="I33" s="634"/>
      <c r="J33" s="634"/>
      <c r="K33" s="634"/>
      <c r="L33" s="634"/>
    </row>
    <row r="34" spans="1:13" ht="25.95" customHeight="1" x14ac:dyDescent="0.3">
      <c r="A34" s="1067" t="s">
        <v>1641</v>
      </c>
      <c r="B34" s="1036"/>
      <c r="C34" s="1038"/>
      <c r="D34" s="1037"/>
      <c r="E34" s="180"/>
      <c r="H34"/>
      <c r="I34"/>
      <c r="J34"/>
      <c r="K34"/>
      <c r="L34"/>
      <c r="M34"/>
    </row>
    <row r="35" spans="1:13" ht="43.2" customHeight="1" x14ac:dyDescent="0.3">
      <c r="A35" s="780">
        <v>1068</v>
      </c>
      <c r="B35" s="1034" t="s">
        <v>1642</v>
      </c>
      <c r="C35" s="1035"/>
      <c r="D35" s="1066" t="str">
        <f>IF(C35="","This Question must be answered before uploading, the report will not be processed if left blank","")</f>
        <v>This Question must be answered before uploading, the report will not be processed if left blank</v>
      </c>
      <c r="H35"/>
      <c r="I35"/>
      <c r="J35"/>
      <c r="K35"/>
      <c r="L35"/>
      <c r="M35"/>
    </row>
    <row r="36" spans="1:13" ht="43.2" customHeight="1" x14ac:dyDescent="0.3">
      <c r="A36" s="780">
        <v>1069</v>
      </c>
      <c r="B36" s="627" t="s">
        <v>1650</v>
      </c>
      <c r="C36" s="755"/>
      <c r="D36" s="725" t="str">
        <f t="shared" ref="D36:D38" si="2">IF(C36="","This Question must be answered before uploading, the report will not be processed if left blank","")</f>
        <v>This Question must be answered before uploading, the report will not be processed if left blank</v>
      </c>
      <c r="H36"/>
      <c r="I36"/>
      <c r="J36"/>
      <c r="K36"/>
      <c r="L36"/>
      <c r="M36"/>
    </row>
    <row r="37" spans="1:13" ht="43.2" customHeight="1" x14ac:dyDescent="0.3">
      <c r="A37" s="780">
        <v>1070</v>
      </c>
      <c r="B37" s="627" t="s">
        <v>1929</v>
      </c>
      <c r="C37" s="755"/>
      <c r="D37" s="725" t="str">
        <f t="shared" si="2"/>
        <v>This Question must be answered before uploading, the report will not be processed if left blank</v>
      </c>
      <c r="H37"/>
      <c r="I37"/>
      <c r="J37"/>
      <c r="K37"/>
      <c r="L37"/>
      <c r="M37"/>
    </row>
    <row r="38" spans="1:13" ht="43.2" customHeight="1" x14ac:dyDescent="0.3">
      <c r="A38" s="780">
        <v>1071</v>
      </c>
      <c r="B38" s="627" t="s">
        <v>2628</v>
      </c>
      <c r="C38" s="786"/>
      <c r="D38" s="725" t="str">
        <f t="shared" si="2"/>
        <v>This Question must be answered before uploading, the report will not be processed if left blank</v>
      </c>
      <c r="H38"/>
      <c r="I38"/>
      <c r="J38"/>
      <c r="K38"/>
      <c r="L38"/>
      <c r="M38"/>
    </row>
    <row r="39" spans="1:13" x14ac:dyDescent="0.3">
      <c r="A39"/>
      <c r="D39"/>
      <c r="H39"/>
      <c r="I39"/>
      <c r="J39"/>
      <c r="K39"/>
      <c r="L39"/>
      <c r="M39"/>
    </row>
    <row r="40" spans="1:13" s="180" customFormat="1" ht="40.200000000000003" customHeight="1" x14ac:dyDescent="0.3">
      <c r="A40" s="658" t="s">
        <v>613</v>
      </c>
      <c r="B40" s="725" t="str">
        <f>IF(D40="","This Question must be answered before uploading, the report will not be processed if left blank","")</f>
        <v>This Question must be answered before uploading, the report will not be processed if left blank</v>
      </c>
      <c r="C40" s="664" t="s">
        <v>468</v>
      </c>
      <c r="D40" s="757"/>
      <c r="E40"/>
      <c r="F40"/>
      <c r="G40"/>
      <c r="H40" s="633"/>
      <c r="I40" s="633"/>
      <c r="J40" s="633"/>
      <c r="K40" s="633"/>
      <c r="L40" s="633"/>
      <c r="M40" s="633"/>
    </row>
    <row r="41" spans="1:13" ht="14.4" customHeight="1" x14ac:dyDescent="0.3">
      <c r="A41" s="561"/>
      <c r="B41" s="624"/>
      <c r="C41" s="562"/>
      <c r="D41" s="660"/>
    </row>
    <row r="42" spans="1:13" ht="40.200000000000003" customHeight="1" x14ac:dyDescent="0.3">
      <c r="A42" s="658" t="s">
        <v>614</v>
      </c>
      <c r="B42" s="725" t="str">
        <f>IF(D42="","This Question must be answered before uploading, the report will not be processed if left blank","")</f>
        <v>This Question must be answered before uploading, the report will not be processed if left blank</v>
      </c>
      <c r="C42" s="664" t="s">
        <v>469</v>
      </c>
      <c r="D42" s="757"/>
    </row>
    <row r="43" spans="1:13" ht="14.4" customHeight="1" x14ac:dyDescent="0.3">
      <c r="A43" s="561"/>
      <c r="B43" s="624"/>
      <c r="C43" s="562"/>
      <c r="D43" s="660"/>
    </row>
    <row r="44" spans="1:13" s="180" customFormat="1" ht="40.200000000000003" customHeight="1" x14ac:dyDescent="0.3">
      <c r="A44" s="658" t="s">
        <v>875</v>
      </c>
      <c r="B44" s="725" t="str">
        <f>IF(D44="","This Question must be answered before uploading, the report will not be processed if left blank","")</f>
        <v>This Question must be answered before uploading, the report will not be processed if left blank</v>
      </c>
      <c r="C44" s="664" t="s">
        <v>1518</v>
      </c>
      <c r="D44" s="773"/>
      <c r="E44"/>
      <c r="F44"/>
      <c r="G44"/>
      <c r="H44" s="633"/>
      <c r="I44" s="633"/>
      <c r="J44" s="633"/>
      <c r="K44" s="633"/>
      <c r="L44" s="633"/>
      <c r="M44" s="633"/>
    </row>
    <row r="48" spans="1:13" x14ac:dyDescent="0.3">
      <c r="D48" s="527" t="s">
        <v>351</v>
      </c>
    </row>
    <row r="52" spans="1:4" x14ac:dyDescent="0.3">
      <c r="A52" s="758"/>
      <c r="B52" s="759" t="s">
        <v>470</v>
      </c>
      <c r="C52" s="760">
        <v>1</v>
      </c>
      <c r="D52" s="761"/>
    </row>
    <row r="53" spans="1:4" x14ac:dyDescent="0.3">
      <c r="A53" s="762"/>
      <c r="B53" s="763" t="s">
        <v>471</v>
      </c>
      <c r="C53" s="764">
        <v>45181</v>
      </c>
      <c r="D53" s="765"/>
    </row>
    <row r="54" spans="1:4" x14ac:dyDescent="0.3">
      <c r="B54" s="562"/>
      <c r="C54" s="624"/>
    </row>
    <row r="55" spans="1:4" x14ac:dyDescent="0.3">
      <c r="B55" s="562"/>
      <c r="C55" s="624"/>
    </row>
  </sheetData>
  <sheetProtection algorithmName="SHA-512" hashValue="tsCxIBBv059ca84A76QTGfY2hrLQjUwIgrueuXcErF0qnzddW8DovlrlmlUvPCCTOKo3tb1ZqdLTBSIzASlx/Q==" saltValue="eJi7vnpt+BTgf/+LFxJDng==" spinCount="100000" sheet="1" objects="1" scenarios="1"/>
  <dataConsolidate/>
  <mergeCells count="5">
    <mergeCell ref="E9:E10"/>
    <mergeCell ref="A2:D2"/>
    <mergeCell ref="A4:D4"/>
    <mergeCell ref="A6:D6"/>
    <mergeCell ref="A8:D8"/>
  </mergeCells>
  <conditionalFormatting sqref="C13">
    <cfRule type="expression" dxfId="92" priority="24">
      <formula>"IF(C13=""Yes""|"" ""| "" "")"</formula>
    </cfRule>
  </conditionalFormatting>
  <conditionalFormatting sqref="E13">
    <cfRule type="expression" dxfId="91" priority="16">
      <formula>C13="yes"</formula>
    </cfRule>
  </conditionalFormatting>
  <conditionalFormatting sqref="E14">
    <cfRule type="expression" dxfId="90" priority="15">
      <formula>C14="Yes"</formula>
    </cfRule>
  </conditionalFormatting>
  <conditionalFormatting sqref="E15">
    <cfRule type="expression" dxfId="89" priority="14">
      <formula>C15="Yes"</formula>
    </cfRule>
  </conditionalFormatting>
  <conditionalFormatting sqref="E16">
    <cfRule type="expression" dxfId="88" priority="13">
      <formula>C16="Yes"</formula>
    </cfRule>
  </conditionalFormatting>
  <conditionalFormatting sqref="E17">
    <cfRule type="expression" dxfId="87" priority="11">
      <formula>C17="No"</formula>
    </cfRule>
  </conditionalFormatting>
  <conditionalFormatting sqref="E19">
    <cfRule type="expression" dxfId="86" priority="10">
      <formula>C19="No"</formula>
    </cfRule>
  </conditionalFormatting>
  <conditionalFormatting sqref="E25">
    <cfRule type="expression" dxfId="85" priority="8">
      <formula>C25="Yes"</formula>
    </cfRule>
  </conditionalFormatting>
  <conditionalFormatting sqref="E26">
    <cfRule type="expression" dxfId="84" priority="7">
      <formula>C26="Yes"</formula>
    </cfRule>
  </conditionalFormatting>
  <conditionalFormatting sqref="E22">
    <cfRule type="expression" dxfId="83" priority="4">
      <formula>$C$22&gt;0</formula>
    </cfRule>
  </conditionalFormatting>
  <conditionalFormatting sqref="E23">
    <cfRule type="expression" dxfId="82" priority="3">
      <formula>$C$23&gt;0</formula>
    </cfRule>
  </conditionalFormatting>
  <conditionalFormatting sqref="E18">
    <cfRule type="expression" dxfId="81" priority="2">
      <formula>$C$18="Yes"</formula>
    </cfRule>
  </conditionalFormatting>
  <conditionalFormatting sqref="E31">
    <cfRule type="expression" dxfId="80" priority="1">
      <formula>$D$31="Financial Performance Indicator of Concern that requires a response."</formula>
    </cfRule>
  </conditionalFormatting>
  <dataValidations xWindow="697" yWindow="411" count="12">
    <dataValidation type="list" allowBlank="1" showInputMessage="1" showErrorMessage="1" prompt="Please select Yes or No from the drop down list" sqref="C21 C19 C37 C27:C29 C15:C17 C33 C35" xr:uid="{42DC82DB-0AE6-4795-B8A2-67794DECDEAD}">
      <formula1>"Yes, No"</formula1>
    </dataValidation>
    <dataValidation type="whole" operator="greaterThan" allowBlank="1" showInputMessage="1" showErrorMessage="1" prompt="Please enter a whole number.  If there are no findings please enter 0" sqref="C22:C24" xr:uid="{22039F36-BF2D-4D90-ACF3-F17B7FAD9827}">
      <formula1>-1</formula1>
    </dataValidation>
    <dataValidation type="list" allowBlank="1" showInputMessage="1" showErrorMessage="1" prompt="Please select Yes, No or N/A from the drop down list" sqref="C36 C26" xr:uid="{1338E819-A8A7-4AB4-965C-9AAE0E62C78A}">
      <formula1>"Yes, No, N/A"</formula1>
    </dataValidation>
    <dataValidation type="date" operator="greaterThan" showInputMessage="1" showErrorMessage="1" promptTitle="MM/DD/YYYY" prompt="This cannot be blank" sqref="C32" xr:uid="{F2F609DE-2DD8-4C56-AEA4-B39EA636E384}">
      <formula1>45107</formula1>
    </dataValidation>
    <dataValidation type="list" allowBlank="1" showInputMessage="1" showErrorMessage="1" prompt="Please select Yes or No from the drop down list" sqref="C32" xr:uid="{B4C96C02-4742-4E38-B12A-360ABBD230F0}">
      <formula1>"Yes,No"</formula1>
    </dataValidation>
    <dataValidation type="list" allowBlank="1" showInputMessage="1" showErrorMessage="1" sqref="C32" xr:uid="{C1CF9E65-608C-4B9B-B8C1-8E5A300F6B99}">
      <formula1>"Yes, No"</formula1>
    </dataValidation>
    <dataValidation type="list" allowBlank="1" showInputMessage="1" showErrorMessage="1" sqref="C32" xr:uid="{2F6B1B33-D794-41C2-9ACB-1601D80589F6}">
      <formula1>"Yes,No"</formula1>
    </dataValidation>
    <dataValidation type="date" operator="greaterThan" allowBlank="1" showInputMessage="1" showErrorMessage="1" sqref="D44" xr:uid="{C03418DF-3B42-4CD5-A316-291388505573}">
      <formula1>45107</formula1>
    </dataValidation>
    <dataValidation type="list" allowBlank="1" showInputMessage="1" showErrorMessage="1" prompt="Please select Yes or No from the drop down list." sqref="C11:C14 C20" xr:uid="{09FCC64E-5331-4E1E-8B61-60F4B5075DD5}">
      <formula1>"Yes, No"</formula1>
    </dataValidation>
    <dataValidation type="list" allowBlank="1" showInputMessage="1" showErrorMessage="1" prompt="Please select Yes, No or NA _x000a_from the drop down list" sqref="C25" xr:uid="{C0840E4D-A4F7-4799-B300-7B0B69A66EF6}">
      <formula1>"Yes, No, N/A"</formula1>
    </dataValidation>
    <dataValidation type="list" allowBlank="1" showInputMessage="1" showErrorMessage="1" prompt="Please select Yes, No or N/A from the dropdown list." sqref="C18" xr:uid="{8CC9026D-87CF-45DC-83B7-F2D5A796DB38}">
      <formula1>"Yes, No, N/A"</formula1>
    </dataValidation>
    <dataValidation type="custom" allowBlank="1" showInputMessage="1" showErrorMessage="1" error="Submit Date is prior to fiscal year end." sqref="C31" xr:uid="{09356F6A-98AD-4EC3-9076-0E3B6B76A3FA}">
      <formula1>C30&lt;C31</formula1>
    </dataValidation>
  </dataValidations>
  <pageMargins left="0.7" right="0.7" top="0.75" bottom="0.75" header="0.3" footer="0.3"/>
  <pageSetup scale="51" orientation="portrait"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7"/>
  <sheetViews>
    <sheetView showGridLines="0" zoomScale="80" zoomScaleNormal="80" workbookViewId="0">
      <selection activeCell="K1" sqref="K1:Q1048576"/>
    </sheetView>
  </sheetViews>
  <sheetFormatPr defaultColWidth="9.109375" defaultRowHeight="14.4" x14ac:dyDescent="0.3"/>
  <cols>
    <col min="1" max="1" width="6.33203125" style="830" customWidth="1"/>
    <col min="2" max="2" width="57.6640625" style="830" customWidth="1"/>
    <col min="3" max="3" width="14.44140625" style="830" customWidth="1"/>
    <col min="4" max="4" width="15.88671875" style="830" customWidth="1"/>
    <col min="5" max="5" width="16.21875" style="830" customWidth="1"/>
    <col min="6" max="6" width="18.44140625" style="830" customWidth="1"/>
    <col min="7" max="7" width="16.21875" style="830" customWidth="1"/>
    <col min="8" max="8" width="71.44140625" style="830" customWidth="1"/>
    <col min="9" max="9" width="56.77734375" style="928" customWidth="1"/>
    <col min="10" max="10" width="46.109375" style="928" customWidth="1"/>
    <col min="11" max="11" width="9.109375" style="927" hidden="1" customWidth="1"/>
    <col min="12" max="12" width="23.6640625" style="827" hidden="1" customWidth="1"/>
    <col min="13" max="13" width="21.109375" style="827" hidden="1" customWidth="1"/>
    <col min="14" max="14" width="24" style="827" hidden="1" customWidth="1"/>
    <col min="15" max="15" width="21" style="827" hidden="1" customWidth="1"/>
    <col min="16" max="16" width="25" style="828" hidden="1" customWidth="1"/>
    <col min="17" max="17" width="25.6640625" style="829" hidden="1" customWidth="1"/>
    <col min="18" max="18" width="33.77734375" style="829" customWidth="1"/>
    <col min="19" max="19" width="9.109375" style="829" customWidth="1"/>
    <col min="20" max="59" width="9.109375" style="829"/>
    <col min="60" max="16384" width="9.109375" style="830"/>
  </cols>
  <sheetData>
    <row r="1" spans="1:78" ht="40.5" customHeight="1" thickBot="1" x14ac:dyDescent="0.35">
      <c r="A1" s="825"/>
      <c r="B1" s="1137" t="s">
        <v>1136</v>
      </c>
      <c r="C1" s="1137"/>
      <c r="D1" s="1137"/>
      <c r="E1" s="1137"/>
      <c r="F1" s="1137"/>
      <c r="G1" s="1137"/>
      <c r="H1" s="1138"/>
      <c r="I1" s="1135"/>
      <c r="J1" s="1136"/>
      <c r="K1" s="826"/>
    </row>
    <row r="2" spans="1:78" ht="72" customHeight="1" thickBot="1" x14ac:dyDescent="0.35">
      <c r="A2" s="831"/>
      <c r="B2" s="1139" t="s">
        <v>1137</v>
      </c>
      <c r="C2" s="1105"/>
      <c r="D2" s="1105"/>
      <c r="E2" s="1105"/>
      <c r="F2" s="1105"/>
      <c r="G2" s="1105"/>
      <c r="H2" s="1106"/>
      <c r="I2" s="1152" t="s">
        <v>1138</v>
      </c>
      <c r="J2" s="1155" t="s">
        <v>1545</v>
      </c>
      <c r="K2" s="832"/>
    </row>
    <row r="3" spans="1:78" ht="15" customHeight="1" thickBot="1" x14ac:dyDescent="0.35">
      <c r="A3" s="833"/>
      <c r="B3" s="834"/>
      <c r="C3" s="835"/>
      <c r="D3" s="835"/>
      <c r="E3" s="835"/>
      <c r="F3" s="835"/>
      <c r="G3" s="836"/>
      <c r="H3" s="837"/>
      <c r="I3" s="1153"/>
      <c r="J3" s="1156"/>
      <c r="K3" s="832"/>
    </row>
    <row r="4" spans="1:78" ht="21.75" customHeight="1" thickBot="1" x14ac:dyDescent="0.35">
      <c r="A4" s="838"/>
      <c r="B4" s="839" t="s">
        <v>609</v>
      </c>
      <c r="C4" s="1140" t="str">
        <f>'Unit Data from Audit Worksheet'!D2</f>
        <v>Select Unit Name from Drop Down List</v>
      </c>
      <c r="D4" s="1141"/>
      <c r="E4" s="1142"/>
      <c r="F4" s="1143" t="s">
        <v>1923</v>
      </c>
      <c r="G4" s="1144"/>
      <c r="H4" s="1147" t="s">
        <v>1542</v>
      </c>
      <c r="I4" s="1153"/>
      <c r="J4" s="1156"/>
      <c r="K4" s="840"/>
      <c r="L4" s="841"/>
    </row>
    <row r="5" spans="1:78" ht="21.6" thickBot="1" x14ac:dyDescent="0.35">
      <c r="A5" s="842"/>
      <c r="B5" s="843" t="s">
        <v>588</v>
      </c>
      <c r="C5" s="1149" t="e">
        <f>'Unit Data from Audit Worksheet'!D3</f>
        <v>#N/A</v>
      </c>
      <c r="D5" s="1150"/>
      <c r="E5" s="1151"/>
      <c r="F5" s="1145"/>
      <c r="G5" s="1146"/>
      <c r="H5" s="1148"/>
      <c r="I5" s="1153"/>
      <c r="J5" s="1156"/>
      <c r="K5" s="844"/>
      <c r="L5" s="845" t="s">
        <v>598</v>
      </c>
    </row>
    <row r="6" spans="1:78" ht="18.75" customHeight="1" x14ac:dyDescent="0.3">
      <c r="A6" s="833"/>
      <c r="B6" s="1158" t="s">
        <v>1495</v>
      </c>
      <c r="C6" s="1158"/>
      <c r="D6" s="1158"/>
      <c r="E6" s="1158"/>
      <c r="F6" s="1158"/>
      <c r="G6" s="1158"/>
      <c r="H6" s="1159"/>
      <c r="I6" s="1153"/>
      <c r="J6" s="1156"/>
      <c r="K6" s="844"/>
      <c r="L6" s="845"/>
    </row>
    <row r="7" spans="1:78" ht="116.25" customHeight="1" thickBot="1" x14ac:dyDescent="0.35">
      <c r="A7" s="846"/>
      <c r="B7" s="1160"/>
      <c r="C7" s="1160"/>
      <c r="D7" s="1160"/>
      <c r="E7" s="1160"/>
      <c r="F7" s="1160"/>
      <c r="G7" s="1160"/>
      <c r="H7" s="1161"/>
      <c r="I7" s="1154"/>
      <c r="J7" s="1157"/>
      <c r="K7" s="844"/>
      <c r="L7" s="845"/>
    </row>
    <row r="8" spans="1:78" ht="185.1" customHeight="1" thickBot="1" x14ac:dyDescent="0.35">
      <c r="A8" s="847"/>
      <c r="B8" s="1128"/>
      <c r="C8" s="1128"/>
      <c r="D8" s="1128"/>
      <c r="E8" s="1128"/>
      <c r="F8" s="1128"/>
      <c r="G8" s="1129"/>
      <c r="H8" s="1167" t="s">
        <v>1141</v>
      </c>
      <c r="I8" s="848"/>
      <c r="J8" s="1162"/>
      <c r="K8" s="844"/>
      <c r="L8" s="849" t="b">
        <f>IF($L$9&gt;10000000,"25%",IF($L$9&gt;999999,"34%",IF($L$9&gt;99999,"71%",IF($L$9&gt;1,"100%"))))</f>
        <v>0</v>
      </c>
      <c r="N8" s="850"/>
    </row>
    <row r="9" spans="1:78" ht="132" customHeight="1" thickBot="1" x14ac:dyDescent="0.35">
      <c r="A9" s="847"/>
      <c r="B9" s="1130"/>
      <c r="C9" s="1130"/>
      <c r="D9" s="1130"/>
      <c r="E9" s="1130"/>
      <c r="F9" s="1130"/>
      <c r="G9" s="1131"/>
      <c r="H9" s="1168"/>
      <c r="I9" s="848"/>
      <c r="J9" s="1163"/>
      <c r="K9" s="844"/>
      <c r="L9" s="849">
        <f>Import!L59+Import!L65+Import!L62-Import!L63-Import!L64-Import!L60</f>
        <v>0</v>
      </c>
      <c r="N9" s="850"/>
    </row>
    <row r="10" spans="1:78" ht="91.8" customHeight="1" thickBot="1" x14ac:dyDescent="0.35">
      <c r="A10" s="851"/>
      <c r="B10" s="1123" t="s">
        <v>1971</v>
      </c>
      <c r="C10" s="1132"/>
      <c r="D10" s="1132"/>
      <c r="E10" s="1132"/>
      <c r="F10" s="852" t="s">
        <v>664</v>
      </c>
      <c r="G10" s="852" t="s">
        <v>865</v>
      </c>
      <c r="H10" s="853"/>
      <c r="I10" s="854"/>
      <c r="J10" s="1042"/>
      <c r="K10" s="855"/>
      <c r="L10" s="827">
        <v>2021</v>
      </c>
      <c r="M10" s="841">
        <v>2022</v>
      </c>
      <c r="N10" s="827">
        <v>2023</v>
      </c>
      <c r="O10" s="856"/>
      <c r="P10" s="857"/>
    </row>
    <row r="11" spans="1:78" ht="261.60000000000002" customHeight="1" thickBot="1" x14ac:dyDescent="0.35">
      <c r="A11" s="1000" t="s">
        <v>1139</v>
      </c>
      <c r="B11" s="1107"/>
      <c r="C11" s="1108"/>
      <c r="D11" s="1108"/>
      <c r="E11" s="1109"/>
      <c r="F11" s="821" t="b">
        <f>IF($L$9&gt;10000000,"25% -- Average of similar units is 46%",IF($L$9&gt;999999,"34% -- Average of similar units is 63%",IF($L$9&gt;99999,"71% -- Average of similar units is 132%",IF($L$9&gt;1,"100 %-- Average of similar units is 260%"))))</f>
        <v>0</v>
      </c>
      <c r="G11" s="963" t="str">
        <f>N11</f>
        <v/>
      </c>
      <c r="H11" s="943" t="s">
        <v>1722</v>
      </c>
      <c r="I11" s="859" t="s">
        <v>1605</v>
      </c>
      <c r="J11" s="822"/>
      <c r="K11" s="844"/>
      <c r="L11" s="1068" t="e">
        <f>IFERROR(HLOOKUP(C5,'PY2 Data(H)'!$D$2:$CZ$310,308,FALSE),#N/A)</f>
        <v>#N/A</v>
      </c>
      <c r="M11" s="1069" t="e">
        <f>IFERROR(HLOOKUP(C5,'PY1 Data(H)'!$D$2:$CZ$277,275,FALSE),#N/A)</f>
        <v>#N/A</v>
      </c>
      <c r="N11" s="861" t="str">
        <f>IFERROR((Import!L38+Import!L39-Import!L43-Import!L44-Import!L196-Import!L48+Import!L69)/(Import!L59+Import!L65+Import!L62-Import!L63-Import!L64-Import!L60),"")</f>
        <v/>
      </c>
      <c r="O11" s="862" t="e">
        <f>IF(N11&lt;VALUE(L8),1,0)</f>
        <v>#VALUE!</v>
      </c>
      <c r="P11" s="857"/>
    </row>
    <row r="12" spans="1:78" ht="27.75" customHeight="1" thickBot="1" x14ac:dyDescent="0.35">
      <c r="A12" s="1000"/>
      <c r="B12" s="1133" t="s">
        <v>864</v>
      </c>
      <c r="C12" s="1134"/>
      <c r="D12" s="1134"/>
      <c r="E12" s="1134"/>
      <c r="F12" s="852" t="s">
        <v>664</v>
      </c>
      <c r="G12" s="852" t="s">
        <v>865</v>
      </c>
      <c r="H12" s="863"/>
      <c r="I12" s="859"/>
      <c r="J12" s="1043"/>
      <c r="K12" s="844"/>
      <c r="L12" s="860"/>
      <c r="M12" s="861"/>
      <c r="N12" s="861"/>
      <c r="P12" s="857"/>
    </row>
    <row r="13" spans="1:78" ht="95.25" customHeight="1" thickBot="1" x14ac:dyDescent="0.35">
      <c r="A13" s="1000" t="s">
        <v>1140</v>
      </c>
      <c r="B13" s="1110" t="s">
        <v>1936</v>
      </c>
      <c r="C13" s="1111"/>
      <c r="D13" s="1111"/>
      <c r="E13" s="1112"/>
      <c r="F13" s="821" t="s">
        <v>1537</v>
      </c>
      <c r="G13" s="980" t="b">
        <f>IF(AND(L13="Operations",M13&lt;0),"Operations",IF(AND(L13="Capital",M13&lt;0),"Capital",IF(L13="N/A","N/A")))</f>
        <v>0</v>
      </c>
      <c r="H13" s="863" t="s">
        <v>1543</v>
      </c>
      <c r="I13" s="864" t="s">
        <v>1970</v>
      </c>
      <c r="J13" s="822"/>
      <c r="K13" s="844"/>
      <c r="L13" s="941">
        <f>'Unit Data from Audit Worksheet'!F77</f>
        <v>0</v>
      </c>
      <c r="M13" s="942">
        <f>'Unit Data from Audit Worksheet'!F76</f>
        <v>0</v>
      </c>
      <c r="N13" s="861"/>
      <c r="O13" s="856"/>
      <c r="P13" s="857"/>
    </row>
    <row r="14" spans="1:78" ht="183" customHeight="1" thickBot="1" x14ac:dyDescent="0.35">
      <c r="A14" s="1000" t="s">
        <v>1142</v>
      </c>
      <c r="B14" s="1110" t="s">
        <v>1538</v>
      </c>
      <c r="C14" s="1111"/>
      <c r="D14" s="1111"/>
      <c r="E14" s="1112"/>
      <c r="F14" s="821" t="s">
        <v>1535</v>
      </c>
      <c r="G14" s="865">
        <f>Import!L51</f>
        <v>0</v>
      </c>
      <c r="H14" s="863" t="s">
        <v>1536</v>
      </c>
      <c r="I14" s="864" t="s">
        <v>1551</v>
      </c>
      <c r="J14" s="822"/>
      <c r="K14" s="844"/>
      <c r="L14" s="861"/>
      <c r="M14" s="861"/>
      <c r="N14" s="861"/>
      <c r="O14" s="856"/>
      <c r="P14" s="857"/>
    </row>
    <row r="15" spans="1:78" ht="81" customHeight="1" thickBot="1" x14ac:dyDescent="0.35">
      <c r="A15" s="1026"/>
      <c r="B15" s="1122" t="s">
        <v>1972</v>
      </c>
      <c r="C15" s="1122"/>
      <c r="D15" s="1122"/>
      <c r="E15" s="1123"/>
      <c r="F15" s="852" t="s">
        <v>664</v>
      </c>
      <c r="G15" s="852" t="s">
        <v>865</v>
      </c>
      <c r="H15" s="866" t="s">
        <v>1144</v>
      </c>
      <c r="I15" s="867"/>
      <c r="J15" s="1044"/>
      <c r="K15" s="844"/>
      <c r="L15" s="868" t="e">
        <f>HLOOKUP($C$5,'PY2 Data(H)'!$D$2:$CZ$310,286,FALSE)</f>
        <v>#N/A</v>
      </c>
      <c r="M15" s="869" t="e">
        <f>HLOOKUP($C$5,'PY1 Data(H)'!$D$2:$CZ$277,236,FALSE)</f>
        <v>#N/A</v>
      </c>
      <c r="N15" s="870" t="e">
        <f>Import!L240</f>
        <v>#N/A</v>
      </c>
      <c r="O15" s="871"/>
      <c r="P15" s="970"/>
      <c r="Q15" s="971"/>
      <c r="R15" s="872"/>
      <c r="S15" s="872"/>
      <c r="T15" s="872"/>
      <c r="U15" s="872"/>
      <c r="V15" s="872"/>
      <c r="W15" s="872"/>
      <c r="X15" s="872"/>
      <c r="Y15" s="872"/>
      <c r="Z15" s="872"/>
      <c r="AA15" s="872"/>
      <c r="AB15" s="872"/>
      <c r="AC15" s="872"/>
      <c r="AD15" s="872"/>
      <c r="AE15" s="872"/>
      <c r="AF15" s="872"/>
      <c r="AG15" s="872"/>
      <c r="AH15" s="872"/>
      <c r="AI15" s="872"/>
      <c r="AJ15" s="872"/>
      <c r="AK15" s="872"/>
      <c r="AL15" s="872"/>
      <c r="AM15" s="872"/>
      <c r="AN15" s="872"/>
      <c r="AO15" s="872"/>
      <c r="AP15" s="872"/>
      <c r="AQ15" s="872"/>
      <c r="AR15" s="872"/>
      <c r="AS15" s="872"/>
      <c r="AT15" s="872"/>
      <c r="AU15" s="872"/>
      <c r="AV15" s="872"/>
      <c r="AW15" s="872"/>
      <c r="AX15" s="872"/>
      <c r="AY15" s="872"/>
      <c r="AZ15" s="872"/>
      <c r="BA15" s="872"/>
      <c r="BB15" s="872"/>
      <c r="BC15" s="872"/>
      <c r="BD15" s="872"/>
      <c r="BE15" s="872"/>
      <c r="BF15" s="872"/>
      <c r="BG15" s="872"/>
      <c r="BH15" s="873"/>
      <c r="BI15" s="873"/>
      <c r="BJ15" s="873"/>
      <c r="BK15" s="873"/>
      <c r="BL15" s="873"/>
      <c r="BM15" s="873"/>
      <c r="BN15" s="873"/>
      <c r="BO15" s="873"/>
      <c r="BP15" s="873"/>
      <c r="BQ15" s="873"/>
      <c r="BR15" s="873"/>
      <c r="BS15" s="873"/>
      <c r="BT15" s="873"/>
      <c r="BU15" s="873"/>
      <c r="BV15" s="873"/>
      <c r="BW15" s="873"/>
      <c r="BX15" s="873"/>
      <c r="BY15" s="873"/>
      <c r="BZ15" s="873"/>
    </row>
    <row r="16" spans="1:78" ht="202.5" customHeight="1" thickBot="1" x14ac:dyDescent="0.35">
      <c r="A16" s="1000" t="s">
        <v>1143</v>
      </c>
      <c r="B16" s="874"/>
      <c r="C16" s="875"/>
      <c r="D16" s="875"/>
      <c r="E16" s="876"/>
      <c r="F16" s="877" t="s">
        <v>589</v>
      </c>
      <c r="G16" s="964" t="e">
        <f>N16</f>
        <v>#DIV/0!</v>
      </c>
      <c r="H16" s="858" t="s">
        <v>866</v>
      </c>
      <c r="I16" s="864" t="s">
        <v>591</v>
      </c>
      <c r="J16" s="822"/>
      <c r="K16" s="844"/>
      <c r="L16" s="975" t="e">
        <f>IF(AND(HLOOKUP($C$5,'PY2 Data(H)'!$D$2:$CZ$310,286,FALSE)=0.01,(HLOOKUP($C$5,'PY2 Data(H)'!$D$2:$CZ$310,298,FALSE)&gt;0)),P16,#N/A)</f>
        <v>#N/A</v>
      </c>
      <c r="M16" s="976" t="e">
        <f>IF(AND(HLOOKUP($C$5,'PY1 Data(H)'!$D$2:$CZ$277,236,FALSE)=0.01,(HLOOKUP($C$5,'PY1 Data(H)'!$D$2:$CZ$277,265,FALSE)&gt;0)),Q16,#N/A)</f>
        <v>#N/A</v>
      </c>
      <c r="N16" s="870" t="e">
        <f>(+Import!L76-Import!L77-Import!L74-Import!L75)/(Import!L80-Import!L81-Import!L82-Import!L83-Import!L$84-Import!L85-Import!L79)</f>
        <v>#DIV/0!</v>
      </c>
      <c r="O16" s="969"/>
      <c r="P16" s="977" t="e">
        <f>HLOOKUP($C$5,'PY2 Data(H)'!$D$2:$CZ$310,298,FALSE)</f>
        <v>#N/A</v>
      </c>
      <c r="Q16" s="974" t="e">
        <f>HLOOKUP($C$5,'PY1 Data(H)'!$D$2:$CZ$277,265,FALSE)</f>
        <v>#N/A</v>
      </c>
      <c r="R16"/>
    </row>
    <row r="17" spans="1:81" ht="27.75" customHeight="1" thickBot="1" x14ac:dyDescent="0.35">
      <c r="A17" s="1027"/>
      <c r="B17" s="878" t="s">
        <v>1146</v>
      </c>
      <c r="C17" s="879">
        <v>2021</v>
      </c>
      <c r="D17" s="879">
        <v>2022</v>
      </c>
      <c r="E17" s="879">
        <v>2023</v>
      </c>
      <c r="F17" s="852" t="s">
        <v>664</v>
      </c>
      <c r="G17" s="852" t="s">
        <v>865</v>
      </c>
      <c r="H17" s="880"/>
      <c r="I17" s="867"/>
      <c r="J17" s="1044"/>
      <c r="K17" s="844"/>
      <c r="L17" s="870"/>
      <c r="M17" s="870"/>
      <c r="N17" s="870"/>
      <c r="P17" s="972"/>
      <c r="Q17" s="973"/>
    </row>
    <row r="18" spans="1:81" ht="87.6" customHeight="1" thickBot="1" x14ac:dyDescent="0.35">
      <c r="A18" s="1000" t="s">
        <v>1145</v>
      </c>
      <c r="B18" s="881" t="s">
        <v>1553</v>
      </c>
      <c r="C18" s="865" t="e">
        <f>IF(L15=0,"N/A",L18)</f>
        <v>#N/A</v>
      </c>
      <c r="D18" s="865" t="e">
        <f>IF(M15=0,"N/A",M18)</f>
        <v>#N/A</v>
      </c>
      <c r="E18" s="882" t="e">
        <f>IF(N15=0,"N/A",N18)</f>
        <v>#N/A</v>
      </c>
      <c r="F18" s="821" t="s">
        <v>867</v>
      </c>
      <c r="G18" s="965" t="e">
        <f>E18</f>
        <v>#N/A</v>
      </c>
      <c r="H18" s="858" t="s">
        <v>1623</v>
      </c>
      <c r="I18" s="864" t="s">
        <v>1625</v>
      </c>
      <c r="J18" s="822"/>
      <c r="K18" s="844"/>
      <c r="L18" s="984" t="e">
        <f>IF(HLOOKUP($C$5,'PY2 Data(H)'!$D$2:$CZ$310,299,FALSE)=0,"Prior year data not submitted as of workbook published date.",(HLOOKUP($C$5,'PY2 Data(H)'!$D$2:$CZR$310,299,FALSE)))</f>
        <v>#N/A</v>
      </c>
      <c r="M18" s="936" t="e">
        <f>IF(HLOOKUP($C$5,'PY1 Data(H)'!$D$2:$CZ$277,266,FALSE)=0,"Prior year data not submitted as of workbook published date.",(HLOOKUP($C$5,'PY1 Data(H)'!$D$2:$CZ$277,266,FALSE)))</f>
        <v>#N/A</v>
      </c>
      <c r="N18" s="883">
        <f>+Import!L109-Import!L111+Import!L110-Import!L140-Import!L112</f>
        <v>0</v>
      </c>
    </row>
    <row r="19" spans="1:81" ht="121.2" customHeight="1" thickBot="1" x14ac:dyDescent="0.35">
      <c r="A19" s="1000" t="s">
        <v>1147</v>
      </c>
      <c r="B19" s="884" t="s">
        <v>1645</v>
      </c>
      <c r="C19" s="938" t="e">
        <f>IF(L15=0,"N/A",L19)</f>
        <v>#N/A</v>
      </c>
      <c r="D19" s="938" t="e">
        <f>IF(M15=0,"N/A",M19)</f>
        <v>#N/A</v>
      </c>
      <c r="E19" s="885" t="e">
        <f>IF(N15=0,"N/A",N19)</f>
        <v>#N/A</v>
      </c>
      <c r="F19" s="821" t="s">
        <v>811</v>
      </c>
      <c r="G19" s="966" t="e">
        <f>E19</f>
        <v>#N/A</v>
      </c>
      <c r="H19" s="858" t="s">
        <v>1916</v>
      </c>
      <c r="I19" s="864" t="s">
        <v>1628</v>
      </c>
      <c r="J19" s="823"/>
      <c r="K19" s="844"/>
      <c r="L19" s="989" t="e">
        <f>IF(HLOOKUP($C$5,'PY2 Data(H)'!$D$2:$CZ$310,300,FALSE)=0,"Prior year data not submitted as of workbook published date.",(HLOOKUP($C$5,'PY2 Data(H)'!$D$2:$CZ$310,300,FALSE)))</f>
        <v>#N/A</v>
      </c>
      <c r="M19" s="937" t="e">
        <f>IF(HLOOKUP($C$5,'PY1 Data(H)'!$D$2:$CZ$277,267,FALSE)=0,"Prior year data not submitted as of workbook published date.",(HLOOKUP($C$5,'PY1 Data(H)'!$D$2:$CZ$277,267,FALSE)))</f>
        <v>#N/A</v>
      </c>
      <c r="N19" s="886" t="e">
        <f>Import!L72/(Import!L111+Import!L114-Import!L110+Import!L140)</f>
        <v>#DIV/0!</v>
      </c>
      <c r="O19" s="887"/>
    </row>
    <row r="20" spans="1:81" ht="75" customHeight="1" thickBot="1" x14ac:dyDescent="0.35">
      <c r="A20" s="1000" t="s">
        <v>1148</v>
      </c>
      <c r="B20" s="1126" t="s">
        <v>1969</v>
      </c>
      <c r="C20" s="1126"/>
      <c r="D20" s="1127"/>
      <c r="E20" s="888" t="str">
        <f>IF(N20&lt;0,"Yes","No")</f>
        <v>No</v>
      </c>
      <c r="F20" s="889"/>
      <c r="G20" s="890" t="str">
        <f>E20</f>
        <v>No</v>
      </c>
      <c r="H20" s="858" t="s">
        <v>1149</v>
      </c>
      <c r="I20" s="864" t="s">
        <v>812</v>
      </c>
      <c r="J20" s="822"/>
      <c r="K20" s="844"/>
      <c r="L20" s="891"/>
      <c r="M20" s="892">
        <f>((Import!L114+Import!L111)*0.03)-Import!L118</f>
        <v>0</v>
      </c>
      <c r="N20" s="893">
        <f>M20*0.03</f>
        <v>0</v>
      </c>
    </row>
    <row r="21" spans="1:81" ht="75" customHeight="1" thickBot="1" x14ac:dyDescent="0.35">
      <c r="A21" s="1001">
        <v>8</v>
      </c>
      <c r="B21" s="946" t="s">
        <v>1934</v>
      </c>
      <c r="C21" s="951" t="e">
        <f>L21</f>
        <v>#N/A</v>
      </c>
      <c r="D21" s="951" t="e">
        <f>M21</f>
        <v>#N/A</v>
      </c>
      <c r="E21" s="952" t="e">
        <f>N21</f>
        <v>#DIV/0!</v>
      </c>
      <c r="F21" s="982" t="s">
        <v>2604</v>
      </c>
      <c r="G21" s="953" t="e">
        <f>E21</f>
        <v>#DIV/0!</v>
      </c>
      <c r="H21" s="995" t="s">
        <v>2605</v>
      </c>
      <c r="I21" s="947" t="s">
        <v>1966</v>
      </c>
      <c r="J21" s="823"/>
      <c r="K21" s="844"/>
      <c r="L21" s="948" t="e">
        <f>IF(HLOOKUP($C$5,'PY2 Data(H)'!$D$2:$CZ$310,309,FALSE)=0,"Prior year data not submitted as of workbook published date.",(HLOOKUP($C$5,'PY2 Data(H)'!$D$2:$CZ$310,309,FALSE)))</f>
        <v>#N/A</v>
      </c>
      <c r="M21" s="949" t="e">
        <f>IF(HLOOKUP($C$5,'PY1 Data(H)'!$D$2:$CZ$277,276,FALSE)=0,"Prior year data not submitted as of workbook published date.",(HLOOKUP($C$5,'PY1 Data(H)'!$D$2:$CZ$277,276,FALSE)))</f>
        <v>#N/A</v>
      </c>
      <c r="N21" s="950" t="e">
        <f>1-(Import!L166+Import!L167+Import!L168+Import!L169)/(Import!L158+Import!L159+Import!L160+Import!L161)</f>
        <v>#DIV/0!</v>
      </c>
    </row>
    <row r="22" spans="1:81" x14ac:dyDescent="0.3">
      <c r="A22" s="1028"/>
      <c r="J22" s="1045"/>
    </row>
    <row r="23" spans="1:81" ht="15" thickBot="1" x14ac:dyDescent="0.35">
      <c r="A23" s="1028"/>
      <c r="J23" s="1045"/>
    </row>
    <row r="24" spans="1:81" ht="87" customHeight="1" thickBot="1" x14ac:dyDescent="0.35">
      <c r="A24" s="1026"/>
      <c r="B24" s="1122" t="s">
        <v>1973</v>
      </c>
      <c r="C24" s="1122"/>
      <c r="D24" s="1122"/>
      <c r="E24" s="1122"/>
      <c r="F24" s="852" t="s">
        <v>664</v>
      </c>
      <c r="G24" s="852" t="s">
        <v>865</v>
      </c>
      <c r="H24" s="866" t="s">
        <v>1150</v>
      </c>
      <c r="I24" s="894"/>
      <c r="J24" s="1046"/>
      <c r="K24" s="844"/>
      <c r="L24" s="868" t="e">
        <f>HLOOKUP($C$5,'PY2 Data(H)'!$D$2:$CZ$310,285,FALSE)</f>
        <v>#N/A</v>
      </c>
      <c r="M24" s="869" t="e">
        <f>HLOOKUP($C$5,'PY1 Data(H)'!$D$2:$CZ$277,235,FALSE)</f>
        <v>#N/A</v>
      </c>
      <c r="N24" s="895" t="e">
        <f>Import!L239</f>
        <v>#N/A</v>
      </c>
    </row>
    <row r="25" spans="1:81" ht="202.5" customHeight="1" thickBot="1" x14ac:dyDescent="0.35">
      <c r="A25" s="1000">
        <v>9</v>
      </c>
      <c r="B25" s="1165"/>
      <c r="C25" s="1165"/>
      <c r="D25" s="1165"/>
      <c r="E25" s="1166"/>
      <c r="F25" s="821" t="s">
        <v>589</v>
      </c>
      <c r="G25" s="967" t="e">
        <f>N25</f>
        <v>#DIV/0!</v>
      </c>
      <c r="H25" s="858" t="s">
        <v>868</v>
      </c>
      <c r="I25" s="864" t="s">
        <v>599</v>
      </c>
      <c r="J25" s="822"/>
      <c r="K25" s="844"/>
      <c r="L25" s="975" t="e">
        <f>IF(AND(HLOOKUP($C$5,'PY2 Data(H)'!$D$2:$CZ$310,285,FALSE)&gt;0,(HLOOKUP($C$5,'PY2 Data(H)'!$D$2:$CZ$310,302,FALSE)&gt;0)),P25,#N/A)</f>
        <v>#N/A</v>
      </c>
      <c r="M25" s="976" t="e">
        <f>IF(AND(HLOOKUP($C$5,'PY1 Data(H)'!$D$2:$CZ$277,235,FALSE)&gt;0,(HLOOKUP($C$5,'PY1 Data(H)'!$D$2:$CZ$277,269,FALSE)&gt;0)),Q25,#N/A)</f>
        <v>#N/A</v>
      </c>
      <c r="N25" s="870" t="e">
        <f>+(Import!L94-Import!L95-Import!L93-Import!L92)/(Import!L99-Import!L100-Import!L101-Import!L102-Import!L103-Import!L104-Import!L98)</f>
        <v>#DIV/0!</v>
      </c>
      <c r="P25" s="975" t="e">
        <f>HLOOKUP($C$5,'PY2 Data(H)'!$D$2:$CZ$310,302,FALSE)</f>
        <v>#N/A</v>
      </c>
      <c r="Q25" s="976" t="e">
        <f>HLOOKUP($C$5,'PY1 Data(H)'!$D$2:$CZ$277,269,FALSE)</f>
        <v>#N/A</v>
      </c>
    </row>
    <row r="26" spans="1:81" ht="27.75" customHeight="1" thickBot="1" x14ac:dyDescent="0.35">
      <c r="A26" s="1027"/>
      <c r="B26" s="896" t="s">
        <v>1146</v>
      </c>
      <c r="C26" s="879">
        <v>2021</v>
      </c>
      <c r="D26" s="879">
        <v>2022</v>
      </c>
      <c r="E26" s="879">
        <v>2023</v>
      </c>
      <c r="F26" s="852" t="s">
        <v>664</v>
      </c>
      <c r="G26" s="852" t="s">
        <v>865</v>
      </c>
      <c r="H26" s="897"/>
      <c r="I26" s="898"/>
      <c r="J26" s="1047"/>
      <c r="K26" s="844"/>
      <c r="L26" s="899"/>
      <c r="M26" s="870"/>
      <c r="N26" s="870"/>
    </row>
    <row r="27" spans="1:81" ht="85.8" customHeight="1" thickBot="1" x14ac:dyDescent="0.35">
      <c r="A27" s="1000">
        <v>10</v>
      </c>
      <c r="B27" s="881" t="s">
        <v>1553</v>
      </c>
      <c r="C27" s="940" t="e">
        <f>IF(L24=0,"N/A",L27)</f>
        <v>#N/A</v>
      </c>
      <c r="D27" s="940" t="e">
        <f>IF(M24=0,"N/A",M27)</f>
        <v>#N/A</v>
      </c>
      <c r="E27" s="900" t="e">
        <f>IF(N24=0,"N/A",N27)</f>
        <v>#N/A</v>
      </c>
      <c r="F27" s="821" t="s">
        <v>867</v>
      </c>
      <c r="G27" s="968" t="e">
        <f>E27</f>
        <v>#N/A</v>
      </c>
      <c r="H27" s="858" t="s">
        <v>1624</v>
      </c>
      <c r="I27" s="901" t="s">
        <v>1626</v>
      </c>
      <c r="J27" s="822"/>
      <c r="K27" s="844"/>
      <c r="L27" s="985" t="e">
        <f>IF(HLOOKUP($C$5,'PY2 Data(H)'!$D$2:$CZ$310,303,FALSE)=0,"Prior year data not submitted as of workbook published date.",(HLOOKUP($C$5,'PY2 Data(H)'!$D$2:$CZ$310,303,FALSE)))</f>
        <v>#N/A</v>
      </c>
      <c r="M27" s="939" t="e">
        <f>IF(HLOOKUP($C$5,'PY1 Data(H)'!$D$2:$CZ$277,270,FALSE)=0,"Prior year data not submitted as of workbook published date.",(HLOOKUP($C$5,'PY1 Data(H)'!$D$2:$CZ$277,270,FALSE)))</f>
        <v>#N/A</v>
      </c>
      <c r="N27" s="902">
        <f>+Import!L125-Import!L128+Import!L127-Import!L143-Import!L129</f>
        <v>0</v>
      </c>
    </row>
    <row r="28" spans="1:81" s="868" customFormat="1" ht="130.80000000000001" customHeight="1" thickBot="1" x14ac:dyDescent="0.35">
      <c r="A28" s="1000">
        <v>11</v>
      </c>
      <c r="B28" s="884" t="s">
        <v>1645</v>
      </c>
      <c r="C28" s="938" t="e">
        <f>IF(L24=0,"N/A",L28)</f>
        <v>#N/A</v>
      </c>
      <c r="D28" s="938" t="e">
        <f>IF(M24=0,"N/A",M28)</f>
        <v>#N/A</v>
      </c>
      <c r="E28" s="885" t="e">
        <f>IF(N24=0,"N/A",N28)</f>
        <v>#N/A</v>
      </c>
      <c r="F28" s="821" t="s">
        <v>811</v>
      </c>
      <c r="G28" s="966" t="e">
        <f>E28</f>
        <v>#N/A</v>
      </c>
      <c r="H28" s="858" t="s">
        <v>1916</v>
      </c>
      <c r="I28" s="901" t="s">
        <v>1627</v>
      </c>
      <c r="J28" s="823"/>
      <c r="K28" s="844"/>
      <c r="L28" s="986" t="e">
        <f>IF(HLOOKUP($C$5,'PY2 Data(H)'!$D$2:$CZ$310,304,FALSE)=0,"Prior year data not submitted as of workbook published date.",(HLOOKUP($C$5,'PY2 Data(H)'!$D$2:$CZ$310,304,FALSE)))</f>
        <v>#N/A</v>
      </c>
      <c r="M28" s="937" t="e">
        <f>IF(HLOOKUP($C$5,'PY1 Data(H)'!$D$2:$CZ$277,271,FALSE)=0,"Prior year data not submitted as of  workbook published date.",(HLOOKUP($C$5,'PY1 Data(H)'!$D$2:$CZ$277,271,FALSE)))</f>
        <v>#N/A</v>
      </c>
      <c r="N28" s="886" t="e">
        <f>+Import!L90/(Import!L131+Import!L128-Import!L127+Import!L143)</f>
        <v>#DIV/0!</v>
      </c>
      <c r="O28" s="827"/>
      <c r="P28" s="828"/>
      <c r="Q28" s="829"/>
      <c r="R28" s="829"/>
      <c r="S28" s="829"/>
      <c r="T28" s="829"/>
      <c r="U28" s="829"/>
      <c r="V28" s="829"/>
      <c r="W28" s="829"/>
      <c r="X28" s="829"/>
      <c r="Y28" s="829"/>
      <c r="Z28" s="829"/>
      <c r="AA28" s="829"/>
      <c r="AB28" s="829"/>
      <c r="AC28" s="829"/>
      <c r="AD28" s="829"/>
      <c r="AE28" s="829"/>
      <c r="AF28" s="829"/>
      <c r="AG28" s="829"/>
      <c r="AH28" s="829"/>
      <c r="AI28" s="829"/>
      <c r="AJ28" s="829"/>
      <c r="AK28" s="829"/>
      <c r="AL28" s="829"/>
      <c r="AM28" s="829"/>
      <c r="AN28" s="829"/>
      <c r="AO28" s="829"/>
      <c r="AP28" s="829"/>
      <c r="AQ28" s="829"/>
      <c r="AR28" s="829"/>
      <c r="AS28" s="829"/>
      <c r="AT28" s="829"/>
      <c r="AU28" s="829"/>
      <c r="AV28" s="829"/>
      <c r="AW28" s="829"/>
      <c r="AX28" s="829"/>
      <c r="AY28" s="829"/>
      <c r="AZ28" s="829"/>
      <c r="BA28" s="829"/>
      <c r="BB28" s="829"/>
      <c r="BC28" s="829"/>
      <c r="BD28" s="829"/>
      <c r="BE28" s="829"/>
      <c r="BF28" s="829"/>
      <c r="BG28" s="829"/>
      <c r="BH28" s="830"/>
      <c r="BI28" s="830"/>
      <c r="BJ28" s="830"/>
      <c r="BK28" s="830"/>
      <c r="BL28" s="830"/>
      <c r="BM28" s="830"/>
      <c r="BN28" s="830"/>
      <c r="BO28" s="830"/>
      <c r="BP28" s="830"/>
      <c r="BQ28" s="830"/>
      <c r="BR28" s="830"/>
      <c r="BS28" s="830"/>
      <c r="BT28" s="830"/>
      <c r="BU28" s="830"/>
      <c r="BV28" s="830"/>
      <c r="BW28" s="830"/>
      <c r="BX28" s="830"/>
      <c r="BY28" s="830"/>
      <c r="BZ28" s="830"/>
      <c r="CA28" s="830"/>
      <c r="CB28" s="830"/>
      <c r="CC28" s="830"/>
    </row>
    <row r="29" spans="1:81" s="868" customFormat="1" ht="18.600000000000001" thickBot="1" x14ac:dyDescent="0.35">
      <c r="A29" s="1029"/>
      <c r="B29" s="1124" t="s">
        <v>869</v>
      </c>
      <c r="C29" s="1124"/>
      <c r="D29" s="1124"/>
      <c r="E29" s="904">
        <v>2023</v>
      </c>
      <c r="F29" s="904" t="s">
        <v>870</v>
      </c>
      <c r="G29" s="905"/>
      <c r="H29" s="906"/>
      <c r="I29" s="907"/>
      <c r="J29" s="1048"/>
      <c r="K29" s="844"/>
      <c r="L29" s="827"/>
      <c r="M29" s="827"/>
      <c r="N29" s="827"/>
      <c r="O29" s="827"/>
      <c r="P29" s="828"/>
      <c r="Q29" s="829"/>
      <c r="R29" s="829"/>
      <c r="S29" s="829"/>
      <c r="T29" s="829"/>
      <c r="U29" s="829"/>
      <c r="V29" s="829"/>
      <c r="W29" s="829"/>
      <c r="X29" s="829"/>
      <c r="Y29" s="829"/>
      <c r="Z29" s="829"/>
      <c r="AA29" s="829"/>
      <c r="AB29" s="829"/>
      <c r="AC29" s="829"/>
      <c r="AD29" s="829"/>
      <c r="AE29" s="829"/>
      <c r="AF29" s="829"/>
      <c r="AG29" s="829"/>
      <c r="AH29" s="829"/>
      <c r="AI29" s="829"/>
      <c r="AJ29" s="829"/>
      <c r="AK29" s="829"/>
      <c r="AL29" s="829"/>
      <c r="AM29" s="829"/>
      <c r="AN29" s="829"/>
      <c r="AO29" s="829"/>
      <c r="AP29" s="829"/>
      <c r="AQ29" s="829"/>
      <c r="AR29" s="829"/>
      <c r="AS29" s="829"/>
      <c r="AT29" s="829"/>
      <c r="AU29" s="829"/>
      <c r="AV29" s="829"/>
      <c r="AW29" s="829"/>
      <c r="AX29" s="829"/>
      <c r="AY29" s="829"/>
      <c r="AZ29" s="829"/>
      <c r="BA29" s="829"/>
      <c r="BB29" s="829"/>
      <c r="BC29" s="829"/>
      <c r="BD29" s="829"/>
      <c r="BE29" s="829"/>
      <c r="BF29" s="829"/>
      <c r="BG29" s="829"/>
      <c r="BH29" s="830"/>
      <c r="BI29" s="830"/>
      <c r="BJ29" s="830"/>
      <c r="BK29" s="830"/>
      <c r="BL29" s="830"/>
      <c r="BM29" s="830"/>
      <c r="BN29" s="830"/>
      <c r="BO29" s="830"/>
      <c r="BP29" s="830"/>
      <c r="BQ29" s="830"/>
      <c r="BR29" s="830"/>
      <c r="BS29" s="830"/>
      <c r="BT29" s="830"/>
      <c r="BU29" s="830"/>
      <c r="BV29" s="830"/>
      <c r="BW29" s="830"/>
      <c r="BX29" s="830"/>
      <c r="BY29" s="830"/>
      <c r="BZ29" s="830"/>
      <c r="CA29" s="830"/>
      <c r="CB29" s="830"/>
      <c r="CC29" s="830"/>
    </row>
    <row r="30" spans="1:81" s="868" customFormat="1" ht="119.4" customHeight="1" thickBot="1" x14ac:dyDescent="0.35">
      <c r="A30" s="1013" t="s">
        <v>1974</v>
      </c>
      <c r="B30" s="1169" t="s">
        <v>2609</v>
      </c>
      <c r="C30" s="1170"/>
      <c r="D30" s="1170"/>
      <c r="E30" s="1019">
        <f>Import!L259</f>
        <v>0</v>
      </c>
      <c r="F30" s="1015"/>
      <c r="G30" s="1014" t="str">
        <f>IF('TD Info Completed by Auditor'!C31&gt;N30,"Late","Response Not Required")</f>
        <v>Response Not Required</v>
      </c>
      <c r="H30" s="1016" t="s">
        <v>871</v>
      </c>
      <c r="I30" s="1017" t="s">
        <v>2599</v>
      </c>
      <c r="J30" s="824"/>
      <c r="K30" s="844"/>
      <c r="L30" s="1003">
        <f>'TD Info Completed by Auditor'!C31</f>
        <v>0</v>
      </c>
      <c r="M30" s="1004">
        <f>'TD Info Completed by Auditor'!C30</f>
        <v>45107</v>
      </c>
      <c r="N30" s="1005">
        <f>IF(M30=DATEVALUE("6/30/2023"),N32,IF(M30=DATEVALUE("9/30/2023"),N33,IF(M30=DATEVALUE("12/31/2023"),N34,IF(M30=DATEVALUE("3/31/2024"),N35))))</f>
        <v>45291</v>
      </c>
      <c r="O30" s="827"/>
      <c r="P30" s="828"/>
      <c r="Q30" s="829"/>
      <c r="R30" s="829"/>
      <c r="S30" s="829"/>
      <c r="T30" s="829"/>
      <c r="U30" s="829"/>
      <c r="V30" s="829"/>
      <c r="W30" s="829"/>
      <c r="X30" s="829"/>
      <c r="Y30" s="829"/>
      <c r="Z30" s="829"/>
      <c r="AA30" s="829"/>
      <c r="AB30" s="829"/>
      <c r="AC30" s="829"/>
      <c r="AD30" s="829"/>
      <c r="AE30" s="829"/>
      <c r="AF30" s="829"/>
      <c r="AG30" s="829"/>
      <c r="AH30" s="829"/>
      <c r="AI30" s="829"/>
      <c r="AJ30" s="829"/>
      <c r="AK30" s="829"/>
      <c r="AL30" s="829"/>
      <c r="AM30" s="829"/>
      <c r="AN30" s="829"/>
      <c r="AO30" s="829"/>
      <c r="AP30" s="829"/>
      <c r="AQ30" s="829"/>
      <c r="AR30" s="829"/>
      <c r="AS30" s="829"/>
      <c r="AT30" s="829"/>
      <c r="AU30" s="829"/>
      <c r="AV30" s="829"/>
      <c r="AW30" s="829"/>
      <c r="AX30" s="829"/>
      <c r="AY30" s="829"/>
      <c r="AZ30" s="829"/>
      <c r="BA30" s="829"/>
      <c r="BB30" s="829"/>
      <c r="BC30" s="829"/>
      <c r="BD30" s="829"/>
      <c r="BE30" s="829"/>
      <c r="BF30" s="829"/>
      <c r="BG30" s="829"/>
      <c r="BH30" s="830"/>
      <c r="BI30" s="830"/>
      <c r="BJ30" s="830"/>
      <c r="BK30" s="830"/>
      <c r="BL30" s="830"/>
      <c r="BM30" s="830"/>
      <c r="BN30" s="830"/>
      <c r="BO30" s="830"/>
      <c r="BP30" s="830"/>
      <c r="BQ30" s="830"/>
      <c r="BR30" s="830"/>
      <c r="BS30" s="830"/>
      <c r="BT30" s="830"/>
      <c r="BU30" s="830"/>
      <c r="BV30" s="830"/>
      <c r="BW30" s="830"/>
      <c r="BX30" s="830"/>
      <c r="BY30" s="830"/>
      <c r="BZ30" s="830"/>
      <c r="CA30" s="830"/>
      <c r="CB30" s="830"/>
      <c r="CC30" s="830"/>
    </row>
    <row r="31" spans="1:81" s="868" customFormat="1" ht="18" customHeight="1" thickBot="1" x14ac:dyDescent="0.35">
      <c r="A31" s="1030"/>
      <c r="B31" s="1115"/>
      <c r="C31" s="1115"/>
      <c r="D31" s="1116"/>
      <c r="E31" s="879">
        <v>2023</v>
      </c>
      <c r="F31" s="908" t="s">
        <v>870</v>
      </c>
      <c r="G31" s="909"/>
      <c r="H31" s="909"/>
      <c r="I31" s="910"/>
      <c r="J31" s="1049"/>
      <c r="K31" s="844"/>
      <c r="L31" s="1006" t="s">
        <v>2610</v>
      </c>
      <c r="M31" s="613" t="s">
        <v>2611</v>
      </c>
      <c r="N31" s="1007"/>
      <c r="O31" s="827"/>
      <c r="P31" s="828"/>
      <c r="Q31" s="829"/>
      <c r="R31" s="829"/>
      <c r="S31" s="829"/>
      <c r="T31" s="829"/>
      <c r="U31" s="829"/>
      <c r="V31" s="829"/>
      <c r="W31" s="829"/>
      <c r="X31" s="829"/>
      <c r="Y31" s="829"/>
      <c r="Z31" s="829"/>
      <c r="AA31" s="829"/>
      <c r="AB31" s="829"/>
      <c r="AC31" s="829"/>
      <c r="AD31" s="829"/>
      <c r="AE31" s="829"/>
      <c r="AF31" s="829"/>
      <c r="AG31" s="829"/>
      <c r="AH31" s="829"/>
      <c r="AI31" s="829"/>
      <c r="AJ31" s="829"/>
      <c r="AK31" s="829"/>
      <c r="AL31" s="829"/>
      <c r="AM31" s="829"/>
      <c r="AN31" s="829"/>
      <c r="AO31" s="829"/>
      <c r="AP31" s="829"/>
      <c r="AQ31" s="829"/>
      <c r="AR31" s="829"/>
      <c r="AS31" s="829"/>
      <c r="AT31" s="829"/>
      <c r="AU31" s="829"/>
      <c r="AV31" s="829"/>
      <c r="AW31" s="829"/>
      <c r="AX31" s="829"/>
      <c r="AY31" s="829"/>
      <c r="AZ31" s="829"/>
      <c r="BA31" s="829"/>
      <c r="BB31" s="829"/>
      <c r="BC31" s="829"/>
      <c r="BD31" s="829"/>
      <c r="BE31" s="829"/>
      <c r="BF31" s="829"/>
      <c r="BG31" s="829"/>
      <c r="BH31" s="830"/>
      <c r="BI31" s="830"/>
      <c r="BJ31" s="830"/>
      <c r="BK31" s="830"/>
      <c r="BL31" s="830"/>
      <c r="BM31" s="830"/>
      <c r="BN31" s="830"/>
      <c r="BO31" s="830"/>
      <c r="BP31" s="830"/>
      <c r="BQ31" s="830"/>
      <c r="BR31" s="830"/>
      <c r="BS31" s="830"/>
      <c r="BT31" s="830"/>
      <c r="BU31" s="830"/>
      <c r="BV31" s="830"/>
      <c r="BW31" s="830"/>
      <c r="BX31" s="830"/>
      <c r="BY31" s="830"/>
      <c r="BZ31" s="830"/>
      <c r="CA31" s="830"/>
      <c r="CB31" s="830"/>
      <c r="CC31" s="830"/>
    </row>
    <row r="32" spans="1:81" s="868" customFormat="1" ht="122.4" customHeight="1" thickBot="1" x14ac:dyDescent="0.35">
      <c r="A32" s="1000">
        <v>13</v>
      </c>
      <c r="B32" s="1117" t="s">
        <v>1552</v>
      </c>
      <c r="C32" s="1118"/>
      <c r="D32" s="1118"/>
      <c r="E32" s="911" t="str">
        <f>IFERROR((Import!L54-Import!L55)/Import!L55,"This question must be answered unless the unit does not levy ad valorem taxes. See cells F63 &amp; F64 on Unit Data from Audit")</f>
        <v>This question must be answered unless the unit does not levy ad valorem taxes. See cells F63 &amp; F64 on Unit Data from Audit</v>
      </c>
      <c r="F32" s="821" t="s">
        <v>590</v>
      </c>
      <c r="G32" s="912" t="str">
        <f>+E32</f>
        <v>This question must be answered unless the unit does not levy ad valorem taxes. See cells F63 &amp; F64 on Unit Data from Audit</v>
      </c>
      <c r="H32" s="858" t="s">
        <v>1496</v>
      </c>
      <c r="I32" s="901" t="s">
        <v>595</v>
      </c>
      <c r="J32" s="824"/>
      <c r="K32" s="844"/>
      <c r="L32" s="1006"/>
      <c r="M32" s="1008">
        <v>45107</v>
      </c>
      <c r="N32" s="1009">
        <v>45291</v>
      </c>
      <c r="O32" s="827"/>
      <c r="P32" s="828"/>
      <c r="Q32" s="829"/>
      <c r="R32" s="829"/>
      <c r="S32" s="829"/>
      <c r="T32" s="829"/>
      <c r="U32" s="829"/>
      <c r="V32" s="829"/>
      <c r="W32" s="829"/>
      <c r="X32" s="829"/>
      <c r="Y32" s="829"/>
      <c r="Z32" s="829"/>
      <c r="AA32" s="829"/>
      <c r="AB32" s="829"/>
      <c r="AC32" s="829"/>
      <c r="AD32" s="829"/>
      <c r="AE32" s="829"/>
      <c r="AF32" s="829"/>
      <c r="AG32" s="829"/>
      <c r="AH32" s="829"/>
      <c r="AI32" s="829"/>
      <c r="AJ32" s="829"/>
      <c r="AK32" s="829"/>
      <c r="AL32" s="829"/>
      <c r="AM32" s="829"/>
      <c r="AN32" s="829"/>
      <c r="AO32" s="829"/>
      <c r="AP32" s="829"/>
      <c r="AQ32" s="829"/>
      <c r="AR32" s="829"/>
      <c r="AS32" s="829"/>
      <c r="AT32" s="829"/>
      <c r="AU32" s="829"/>
      <c r="AV32" s="829"/>
      <c r="AW32" s="829"/>
      <c r="AX32" s="829"/>
      <c r="AY32" s="829"/>
      <c r="AZ32" s="829"/>
      <c r="BA32" s="829"/>
      <c r="BB32" s="829"/>
      <c r="BC32" s="829"/>
      <c r="BD32" s="829"/>
      <c r="BE32" s="829"/>
      <c r="BF32" s="829"/>
      <c r="BG32" s="829"/>
      <c r="BH32" s="830"/>
      <c r="BI32" s="830"/>
      <c r="BJ32" s="830"/>
      <c r="BK32" s="830"/>
      <c r="BL32" s="830"/>
      <c r="BM32" s="830"/>
      <c r="BN32" s="830"/>
      <c r="BO32" s="830"/>
      <c r="BP32" s="830"/>
      <c r="BQ32" s="830"/>
      <c r="BR32" s="830"/>
      <c r="BS32" s="830"/>
      <c r="BT32" s="830"/>
      <c r="BU32" s="830"/>
      <c r="BV32" s="830"/>
      <c r="BW32" s="830"/>
      <c r="BX32" s="830"/>
      <c r="BY32" s="830"/>
      <c r="BZ32" s="830"/>
      <c r="CA32" s="830"/>
      <c r="CB32" s="830"/>
      <c r="CC32" s="830"/>
    </row>
    <row r="33" spans="1:81" s="868" customFormat="1" ht="18" customHeight="1" thickBot="1" x14ac:dyDescent="0.35">
      <c r="A33" s="1002"/>
      <c r="B33" s="1115"/>
      <c r="C33" s="1115"/>
      <c r="D33" s="1116"/>
      <c r="E33" s="879">
        <v>2023</v>
      </c>
      <c r="F33" s="908" t="s">
        <v>870</v>
      </c>
      <c r="G33" s="909"/>
      <c r="H33" s="909"/>
      <c r="I33" s="910"/>
      <c r="J33" s="1049"/>
      <c r="K33" s="826"/>
      <c r="L33" s="1006"/>
      <c r="M33" s="1008">
        <v>45199</v>
      </c>
      <c r="N33" s="1009">
        <v>45382</v>
      </c>
      <c r="O33" s="827"/>
      <c r="P33" s="828"/>
      <c r="Q33" s="829"/>
      <c r="R33" s="829"/>
      <c r="S33" s="829"/>
      <c r="T33" s="829"/>
      <c r="U33" s="829"/>
      <c r="V33" s="829"/>
      <c r="W33" s="829"/>
      <c r="X33" s="829"/>
      <c r="Y33" s="829"/>
      <c r="Z33" s="829"/>
      <c r="AA33" s="829"/>
      <c r="AB33" s="829"/>
      <c r="AC33" s="829"/>
      <c r="AD33" s="829"/>
      <c r="AE33" s="829"/>
      <c r="AF33" s="829"/>
      <c r="AG33" s="829"/>
      <c r="AH33" s="829"/>
      <c r="AI33" s="829"/>
      <c r="AJ33" s="829"/>
      <c r="AK33" s="829"/>
      <c r="AL33" s="829"/>
      <c r="AM33" s="829"/>
      <c r="AN33" s="829"/>
      <c r="AO33" s="829"/>
      <c r="AP33" s="829"/>
      <c r="AQ33" s="829"/>
      <c r="AR33" s="829"/>
      <c r="AS33" s="829"/>
      <c r="AT33" s="829"/>
      <c r="AU33" s="829"/>
      <c r="AV33" s="829"/>
      <c r="AW33" s="829"/>
      <c r="AX33" s="829"/>
      <c r="AY33" s="829"/>
      <c r="AZ33" s="829"/>
      <c r="BA33" s="829"/>
      <c r="BB33" s="829"/>
      <c r="BC33" s="829"/>
      <c r="BD33" s="829"/>
      <c r="BE33" s="829"/>
      <c r="BF33" s="829"/>
      <c r="BG33" s="829"/>
      <c r="BH33" s="830"/>
      <c r="BI33" s="830"/>
      <c r="BJ33" s="830"/>
      <c r="BK33" s="830"/>
      <c r="BL33" s="830"/>
      <c r="BM33" s="830"/>
      <c r="BN33" s="830"/>
      <c r="BO33" s="830"/>
      <c r="BP33" s="830"/>
      <c r="BQ33" s="830"/>
      <c r="BR33" s="830"/>
      <c r="BS33" s="830"/>
      <c r="BT33" s="830"/>
      <c r="BU33" s="830"/>
      <c r="BV33" s="830"/>
      <c r="BW33" s="830"/>
      <c r="BX33" s="830"/>
      <c r="BY33" s="830"/>
      <c r="BZ33" s="830"/>
      <c r="CA33" s="830"/>
      <c r="CB33" s="830"/>
      <c r="CC33" s="830"/>
    </row>
    <row r="34" spans="1:81" s="868" customFormat="1" ht="97.5" customHeight="1" thickBot="1" x14ac:dyDescent="0.35">
      <c r="A34" s="1000">
        <v>14</v>
      </c>
      <c r="B34" s="1127" t="s">
        <v>1152</v>
      </c>
      <c r="C34" s="1164"/>
      <c r="D34" s="1164"/>
      <c r="E34" s="913" t="str">
        <f>IF(Import!L210=20,"Increase",IF(Import!L210=21,"Decrease",IF(Import!L210=22,"No Change",IF(Import!L210=23,"N/A","This question must be answered. See cell F265 on Unit Data from Audit"))))</f>
        <v>This question must be answered. See cell F265 on Unit Data from Audit</v>
      </c>
      <c r="F34" s="821" t="s">
        <v>872</v>
      </c>
      <c r="G34" s="913" t="str">
        <f>E34</f>
        <v>This question must be answered. See cell F265 on Unit Data from Audit</v>
      </c>
      <c r="H34" s="858" t="s">
        <v>873</v>
      </c>
      <c r="I34" s="901" t="s">
        <v>596</v>
      </c>
      <c r="J34" s="824"/>
      <c r="K34" s="914"/>
      <c r="L34" s="1006"/>
      <c r="M34" s="1008">
        <v>45291</v>
      </c>
      <c r="N34" s="1009">
        <v>45473</v>
      </c>
      <c r="O34" s="827"/>
      <c r="P34" s="828"/>
      <c r="Q34" s="829"/>
      <c r="R34" s="829"/>
      <c r="S34" s="829"/>
      <c r="T34" s="829"/>
      <c r="U34" s="829"/>
      <c r="V34" s="829"/>
      <c r="W34" s="829"/>
      <c r="X34" s="829"/>
      <c r="Y34" s="829"/>
      <c r="Z34" s="829"/>
      <c r="AA34" s="829"/>
      <c r="AB34" s="829"/>
      <c r="AC34" s="829"/>
      <c r="AD34" s="829"/>
      <c r="AE34" s="829"/>
      <c r="AF34" s="829"/>
      <c r="AG34" s="829"/>
      <c r="AH34" s="829"/>
      <c r="AI34" s="829"/>
      <c r="AJ34" s="829"/>
      <c r="AK34" s="829"/>
      <c r="AL34" s="829"/>
      <c r="AM34" s="829"/>
      <c r="AN34" s="829"/>
      <c r="AO34" s="829"/>
      <c r="AP34" s="829"/>
      <c r="AQ34" s="829"/>
      <c r="AR34" s="829"/>
      <c r="AS34" s="829"/>
      <c r="AT34" s="829"/>
      <c r="AU34" s="829"/>
      <c r="AV34" s="829"/>
      <c r="AW34" s="829"/>
      <c r="AX34" s="829"/>
      <c r="AY34" s="829"/>
      <c r="AZ34" s="829"/>
      <c r="BA34" s="829"/>
      <c r="BB34" s="829"/>
      <c r="BC34" s="829"/>
      <c r="BD34" s="829"/>
      <c r="BE34" s="829"/>
      <c r="BF34" s="829"/>
      <c r="BG34" s="829"/>
      <c r="BH34" s="830"/>
      <c r="BI34" s="830"/>
      <c r="BJ34" s="830"/>
      <c r="BK34" s="830"/>
      <c r="BL34" s="830"/>
      <c r="BM34" s="830"/>
      <c r="BN34" s="830"/>
      <c r="BO34" s="830"/>
      <c r="BP34" s="830"/>
      <c r="BQ34" s="830"/>
      <c r="BR34" s="830"/>
      <c r="BS34" s="830"/>
      <c r="BT34" s="830"/>
      <c r="BU34" s="830"/>
      <c r="BV34" s="830"/>
      <c r="BW34" s="830"/>
      <c r="BX34" s="830"/>
      <c r="BY34" s="830"/>
      <c r="BZ34" s="830"/>
      <c r="CA34" s="830"/>
      <c r="CB34" s="830"/>
      <c r="CC34" s="830"/>
    </row>
    <row r="35" spans="1:81" s="868" customFormat="1" ht="18" customHeight="1" thickBot="1" x14ac:dyDescent="0.35">
      <c r="A35" s="1002"/>
      <c r="B35" s="1115"/>
      <c r="C35" s="1115"/>
      <c r="D35" s="1116"/>
      <c r="E35" s="879">
        <v>2023</v>
      </c>
      <c r="F35" s="908" t="s">
        <v>870</v>
      </c>
      <c r="G35" s="909"/>
      <c r="H35" s="915"/>
      <c r="I35" s="910"/>
      <c r="J35" s="1049"/>
      <c r="K35" s="916"/>
      <c r="L35" s="1010"/>
      <c r="M35" s="1011">
        <v>45382</v>
      </c>
      <c r="N35" s="1012">
        <v>45565</v>
      </c>
      <c r="O35" s="827"/>
      <c r="P35" s="828"/>
      <c r="Q35" s="829"/>
      <c r="R35" s="829"/>
      <c r="S35" s="829"/>
      <c r="T35" s="829"/>
      <c r="U35" s="829"/>
      <c r="V35" s="829"/>
      <c r="W35" s="829"/>
      <c r="X35" s="829"/>
      <c r="Y35" s="829"/>
      <c r="Z35" s="829"/>
      <c r="AA35" s="829"/>
      <c r="AB35" s="829"/>
      <c r="AC35" s="829"/>
      <c r="AD35" s="829"/>
      <c r="AE35" s="829"/>
      <c r="AF35" s="829"/>
      <c r="AG35" s="829"/>
      <c r="AH35" s="829"/>
      <c r="AI35" s="829"/>
      <c r="AJ35" s="829"/>
      <c r="AK35" s="829"/>
      <c r="AL35" s="829"/>
      <c r="AM35" s="829"/>
      <c r="AN35" s="829"/>
      <c r="AO35" s="829"/>
      <c r="AP35" s="829"/>
      <c r="AQ35" s="829"/>
      <c r="AR35" s="829"/>
      <c r="AS35" s="829"/>
      <c r="AT35" s="829"/>
      <c r="AU35" s="829"/>
      <c r="AV35" s="829"/>
      <c r="AW35" s="829"/>
      <c r="AX35" s="829"/>
      <c r="AY35" s="829"/>
      <c r="AZ35" s="829"/>
      <c r="BA35" s="829"/>
      <c r="BB35" s="829"/>
      <c r="BC35" s="829"/>
      <c r="BD35" s="829"/>
      <c r="BE35" s="829"/>
      <c r="BF35" s="829"/>
      <c r="BG35" s="829"/>
      <c r="BH35" s="830"/>
      <c r="BI35" s="830"/>
      <c r="BJ35" s="830"/>
      <c r="BK35" s="830"/>
      <c r="BL35" s="830"/>
      <c r="BM35" s="830"/>
      <c r="BN35" s="830"/>
      <c r="BO35" s="830"/>
      <c r="BP35" s="830"/>
      <c r="BQ35" s="830"/>
      <c r="BR35" s="830"/>
      <c r="BS35" s="830"/>
      <c r="BT35" s="830"/>
      <c r="BU35" s="830"/>
      <c r="BV35" s="830"/>
      <c r="BW35" s="830"/>
      <c r="BX35" s="830"/>
      <c r="BY35" s="830"/>
      <c r="BZ35" s="830"/>
      <c r="CA35" s="830"/>
      <c r="CB35" s="830"/>
      <c r="CC35" s="830"/>
    </row>
    <row r="36" spans="1:81" s="868" customFormat="1" ht="78.75" customHeight="1" thickBot="1" x14ac:dyDescent="0.35">
      <c r="A36" s="1000">
        <v>15</v>
      </c>
      <c r="B36" s="1121" t="s">
        <v>1939</v>
      </c>
      <c r="C36" s="1122"/>
      <c r="D36" s="1123"/>
      <c r="E36" s="821" t="str">
        <f>IF(Import!L216=1,"Yes",IF(Import!L216=2,"No",IF(Import!L216=0,"This question must be answered.  See cell C15 on TD")))</f>
        <v>This question must be answered.  See cell C15 on TD</v>
      </c>
      <c r="F36" s="821" t="s">
        <v>597</v>
      </c>
      <c r="G36" s="821" t="str">
        <f>+E36</f>
        <v>This question must be answered.  See cell C15 on TD</v>
      </c>
      <c r="H36" s="917" t="s">
        <v>1153</v>
      </c>
      <c r="I36" s="901" t="s">
        <v>1532</v>
      </c>
      <c r="J36" s="824"/>
      <c r="K36" s="844"/>
      <c r="L36" s="827"/>
      <c r="M36" s="827"/>
      <c r="N36" s="827"/>
      <c r="O36" s="827"/>
      <c r="P36" s="828"/>
      <c r="Q36" s="829"/>
      <c r="R36" s="829"/>
      <c r="S36" s="829"/>
      <c r="T36" s="829"/>
      <c r="U36" s="829"/>
      <c r="V36" s="829"/>
      <c r="W36" s="829"/>
      <c r="X36" s="829"/>
      <c r="Y36" s="829"/>
      <c r="Z36" s="829"/>
      <c r="AA36" s="829"/>
      <c r="AB36" s="829"/>
      <c r="AC36" s="829"/>
      <c r="AD36" s="829"/>
      <c r="AE36" s="829"/>
      <c r="AF36" s="829"/>
      <c r="AG36" s="829"/>
      <c r="AH36" s="829"/>
      <c r="AI36" s="829"/>
      <c r="AJ36" s="829"/>
      <c r="AK36" s="829"/>
      <c r="AL36" s="829"/>
      <c r="AM36" s="829"/>
      <c r="AN36" s="829"/>
      <c r="AO36" s="829"/>
      <c r="AP36" s="829"/>
      <c r="AQ36" s="829"/>
      <c r="AR36" s="829"/>
      <c r="AS36" s="829"/>
      <c r="AT36" s="829"/>
      <c r="AU36" s="829"/>
      <c r="AV36" s="829"/>
      <c r="AW36" s="829"/>
      <c r="AX36" s="829"/>
      <c r="AY36" s="829"/>
      <c r="AZ36" s="829"/>
      <c r="BA36" s="829"/>
      <c r="BB36" s="829"/>
      <c r="BC36" s="829"/>
      <c r="BD36" s="829"/>
      <c r="BE36" s="829"/>
      <c r="BF36" s="829"/>
      <c r="BG36" s="829"/>
      <c r="BH36" s="830"/>
      <c r="BI36" s="830"/>
      <c r="BJ36" s="830"/>
      <c r="BK36" s="830"/>
      <c r="BL36" s="830"/>
      <c r="BM36" s="830"/>
      <c r="BN36" s="830"/>
      <c r="BO36" s="830"/>
      <c r="BP36" s="830"/>
      <c r="BQ36" s="830"/>
      <c r="BR36" s="830"/>
      <c r="BS36" s="830"/>
      <c r="BT36" s="830"/>
      <c r="BU36" s="830"/>
      <c r="BV36" s="830"/>
      <c r="BW36" s="830"/>
      <c r="BX36" s="830"/>
      <c r="BY36" s="830"/>
      <c r="BZ36" s="830"/>
      <c r="CA36" s="830"/>
      <c r="CB36" s="830"/>
      <c r="CC36" s="830"/>
    </row>
    <row r="37" spans="1:81" s="868" customFormat="1" ht="18" customHeight="1" thickBot="1" x14ac:dyDescent="0.35">
      <c r="A37" s="1002"/>
      <c r="B37" s="1115"/>
      <c r="C37" s="1115"/>
      <c r="D37" s="1116"/>
      <c r="E37" s="879">
        <v>2023</v>
      </c>
      <c r="F37" s="908" t="s">
        <v>870</v>
      </c>
      <c r="G37" s="909"/>
      <c r="H37" s="915"/>
      <c r="I37" s="910"/>
      <c r="J37" s="1049"/>
      <c r="K37" s="844"/>
      <c r="L37" s="827"/>
      <c r="M37" s="827"/>
      <c r="N37" s="827"/>
      <c r="O37" s="827"/>
      <c r="P37" s="828"/>
      <c r="Q37" s="829"/>
      <c r="R37" s="829"/>
      <c r="S37" s="829"/>
      <c r="T37" s="829"/>
      <c r="U37" s="829"/>
      <c r="V37" s="829"/>
      <c r="W37" s="829"/>
      <c r="X37" s="829"/>
      <c r="Y37" s="829"/>
      <c r="Z37" s="829"/>
      <c r="AA37" s="829"/>
      <c r="AB37" s="829"/>
      <c r="AC37" s="829"/>
      <c r="AD37" s="829"/>
      <c r="AE37" s="829"/>
      <c r="AF37" s="829"/>
      <c r="AG37" s="829"/>
      <c r="AH37" s="829"/>
      <c r="AI37" s="829"/>
      <c r="AJ37" s="829"/>
      <c r="AK37" s="829"/>
      <c r="AL37" s="829"/>
      <c r="AM37" s="829"/>
      <c r="AN37" s="829"/>
      <c r="AO37" s="829"/>
      <c r="AP37" s="829"/>
      <c r="AQ37" s="829"/>
      <c r="AR37" s="829"/>
      <c r="AS37" s="829"/>
      <c r="AT37" s="829"/>
      <c r="AU37" s="829"/>
      <c r="AV37" s="829"/>
      <c r="AW37" s="829"/>
      <c r="AX37" s="829"/>
      <c r="AY37" s="829"/>
      <c r="AZ37" s="829"/>
      <c r="BA37" s="829"/>
      <c r="BB37" s="829"/>
      <c r="BC37" s="829"/>
      <c r="BD37" s="829"/>
      <c r="BE37" s="829"/>
      <c r="BF37" s="829"/>
      <c r="BG37" s="829"/>
      <c r="BH37" s="830"/>
      <c r="BI37" s="830"/>
      <c r="BJ37" s="830"/>
      <c r="BK37" s="830"/>
      <c r="BL37" s="830"/>
      <c r="BM37" s="830"/>
      <c r="BN37" s="830"/>
      <c r="BO37" s="830"/>
      <c r="BP37" s="830"/>
      <c r="BQ37" s="830"/>
      <c r="BR37" s="830"/>
      <c r="BS37" s="830"/>
      <c r="BT37" s="830"/>
      <c r="BU37" s="830"/>
      <c r="BV37" s="830"/>
      <c r="BW37" s="830"/>
      <c r="BX37" s="830"/>
      <c r="BY37" s="830"/>
      <c r="BZ37" s="830"/>
      <c r="CA37" s="830"/>
      <c r="CB37" s="830"/>
      <c r="CC37" s="830"/>
    </row>
    <row r="38" spans="1:81" s="868" customFormat="1" ht="94.95" customHeight="1" thickBot="1" x14ac:dyDescent="0.35">
      <c r="A38" s="1000">
        <v>16</v>
      </c>
      <c r="B38" s="1105" t="s">
        <v>1658</v>
      </c>
      <c r="C38" s="1105"/>
      <c r="D38" s="1106"/>
      <c r="E38" s="930" t="str">
        <f>IF(AND(Import!L214=2,Import!L215=2,Import!L217=2,AND(Import!L223&lt;=0,Import!L224&lt;=0)),"No","Yes")</f>
        <v>Yes</v>
      </c>
      <c r="F38" s="918"/>
      <c r="G38" s="888" t="str">
        <f>E38</f>
        <v>Yes</v>
      </c>
      <c r="H38" s="983" t="s">
        <v>1919</v>
      </c>
      <c r="I38" s="864" t="s">
        <v>1544</v>
      </c>
      <c r="J38" s="824"/>
      <c r="K38" s="844"/>
      <c r="L38" s="827"/>
      <c r="M38" s="827"/>
      <c r="N38" s="827"/>
      <c r="O38" s="827"/>
      <c r="P38" s="828"/>
      <c r="Q38" s="829"/>
      <c r="R38" s="829"/>
      <c r="S38" s="829"/>
      <c r="T38" s="829"/>
      <c r="U38" s="829"/>
      <c r="V38" s="829"/>
      <c r="W38" s="829"/>
      <c r="X38" s="829"/>
      <c r="Y38" s="829"/>
      <c r="Z38" s="829"/>
      <c r="AA38" s="829"/>
      <c r="AB38" s="829"/>
      <c r="AC38" s="829"/>
      <c r="AD38" s="829"/>
      <c r="AE38" s="829"/>
      <c r="AF38" s="829"/>
      <c r="AG38" s="829"/>
      <c r="AH38" s="829"/>
      <c r="AI38" s="829"/>
      <c r="AJ38" s="829"/>
      <c r="AK38" s="829"/>
      <c r="AL38" s="829"/>
      <c r="AM38" s="829"/>
      <c r="AN38" s="829"/>
      <c r="AO38" s="829"/>
      <c r="AP38" s="829"/>
      <c r="AQ38" s="829"/>
      <c r="AR38" s="829"/>
      <c r="AS38" s="829"/>
      <c r="AT38" s="829"/>
      <c r="AU38" s="829"/>
      <c r="AV38" s="829"/>
      <c r="AW38" s="829"/>
      <c r="AX38" s="829"/>
      <c r="AY38" s="829"/>
      <c r="AZ38" s="829"/>
      <c r="BA38" s="829"/>
      <c r="BB38" s="829"/>
      <c r="BC38" s="829"/>
      <c r="BD38" s="829"/>
      <c r="BE38" s="829"/>
      <c r="BF38" s="829"/>
      <c r="BG38" s="829"/>
      <c r="BH38" s="830"/>
      <c r="BI38" s="830"/>
      <c r="BJ38" s="830"/>
      <c r="BK38" s="830"/>
      <c r="BL38" s="830"/>
      <c r="BM38" s="830"/>
      <c r="BN38" s="830"/>
      <c r="BO38" s="830"/>
      <c r="BP38" s="830"/>
      <c r="BQ38" s="830"/>
      <c r="BR38" s="830"/>
      <c r="BS38" s="830"/>
      <c r="BT38" s="830"/>
      <c r="BU38" s="830"/>
      <c r="BV38" s="830"/>
      <c r="BW38" s="830"/>
      <c r="BX38" s="830"/>
      <c r="BY38" s="830"/>
      <c r="BZ38" s="830"/>
      <c r="CA38" s="830"/>
      <c r="CB38" s="830"/>
      <c r="CC38" s="830"/>
    </row>
    <row r="39" spans="1:81" s="868" customFormat="1" ht="138" customHeight="1" thickBot="1" x14ac:dyDescent="0.35">
      <c r="A39" s="1001">
        <v>17</v>
      </c>
      <c r="B39" s="1121" t="s">
        <v>1964</v>
      </c>
      <c r="C39" s="1122"/>
      <c r="D39" s="1123"/>
      <c r="E39" s="888" t="str">
        <f>IF(Import!L218=1,"Yes",IF(Import!L218=2,"No",IF(Import!L218=0,"This question must be answered.  See cell C17 on TD")))</f>
        <v>This question must be answered.  See cell C17 on TD</v>
      </c>
      <c r="F39" s="918"/>
      <c r="G39" s="888" t="str">
        <f>E39</f>
        <v>This question must be answered.  See cell C17 on TD</v>
      </c>
      <c r="H39" s="917" t="s">
        <v>1659</v>
      </c>
      <c r="I39" s="864" t="s">
        <v>1539</v>
      </c>
      <c r="J39" s="824"/>
      <c r="K39" s="844"/>
      <c r="L39" s="827"/>
      <c r="M39" s="827"/>
      <c r="N39" s="827"/>
      <c r="O39" s="827"/>
      <c r="P39" s="828"/>
      <c r="Q39" s="829"/>
      <c r="U39" s="829"/>
      <c r="V39" s="829"/>
      <c r="W39" s="829"/>
      <c r="X39" s="829"/>
      <c r="Y39" s="829"/>
      <c r="Z39" s="829"/>
      <c r="AA39" s="829"/>
      <c r="AB39" s="829"/>
      <c r="AC39" s="829"/>
      <c r="AD39" s="829"/>
      <c r="AE39" s="829"/>
      <c r="AF39" s="829"/>
      <c r="AG39" s="829"/>
      <c r="AH39" s="829"/>
      <c r="AI39" s="829"/>
      <c r="AJ39" s="829"/>
      <c r="AK39" s="829"/>
      <c r="AL39" s="829"/>
      <c r="AM39" s="829"/>
      <c r="AN39" s="829"/>
      <c r="AO39" s="829"/>
      <c r="AP39" s="829"/>
      <c r="AQ39" s="829"/>
      <c r="AR39" s="829"/>
      <c r="AS39" s="829"/>
      <c r="AT39" s="829"/>
      <c r="AU39" s="829"/>
      <c r="AV39" s="829"/>
      <c r="AW39" s="829"/>
      <c r="AX39" s="829"/>
      <c r="AY39" s="829"/>
      <c r="AZ39" s="829"/>
      <c r="BA39" s="829"/>
      <c r="BB39" s="829"/>
      <c r="BC39" s="829"/>
      <c r="BD39" s="829"/>
      <c r="BE39" s="829"/>
      <c r="BF39" s="829"/>
      <c r="BG39" s="829"/>
      <c r="BH39" s="830"/>
      <c r="BI39" s="830"/>
      <c r="BJ39" s="830"/>
      <c r="BK39" s="830"/>
      <c r="BL39" s="830"/>
      <c r="BM39" s="830"/>
      <c r="BN39" s="830"/>
      <c r="BO39" s="830"/>
      <c r="BP39" s="830"/>
      <c r="BQ39" s="830"/>
      <c r="BR39" s="830"/>
      <c r="BS39" s="830"/>
      <c r="BT39" s="830"/>
      <c r="BU39" s="830"/>
      <c r="BV39" s="830"/>
      <c r="BW39" s="830"/>
      <c r="BX39" s="830"/>
      <c r="BY39" s="830"/>
      <c r="BZ39" s="830"/>
      <c r="CA39" s="830"/>
      <c r="CB39" s="830"/>
      <c r="CC39" s="830"/>
    </row>
    <row r="40" spans="1:81" s="868" customFormat="1" ht="117" customHeight="1" thickBot="1" x14ac:dyDescent="0.35">
      <c r="A40" s="1001">
        <v>18</v>
      </c>
      <c r="B40" s="1121" t="s">
        <v>1721</v>
      </c>
      <c r="C40" s="1122"/>
      <c r="D40" s="1123"/>
      <c r="E40" s="888" t="str">
        <f>IF(Import!L220=1,"Yes",IF(Import!L220=2,"No",IF(Import!L220=0,"This question must be answered.  See cell C19 on TD")))</f>
        <v>This question must be answered.  See cell C19 on TD</v>
      </c>
      <c r="F40" s="918"/>
      <c r="G40" s="888" t="str">
        <f>E40</f>
        <v>This question must be answered.  See cell C19 on TD</v>
      </c>
      <c r="H40" s="917" t="s">
        <v>1920</v>
      </c>
      <c r="I40" s="864" t="s">
        <v>1640</v>
      </c>
      <c r="J40" s="824"/>
      <c r="K40" s="844"/>
      <c r="L40" s="827"/>
      <c r="M40" s="827"/>
      <c r="N40" s="827"/>
      <c r="O40" s="827"/>
      <c r="P40" s="828"/>
      <c r="Q40" s="829"/>
      <c r="R40" s="829"/>
      <c r="S40" s="829"/>
      <c r="T40" s="829"/>
      <c r="U40" s="829"/>
      <c r="V40" s="829"/>
      <c r="W40" s="829"/>
      <c r="X40" s="829"/>
      <c r="Y40" s="829"/>
      <c r="Z40" s="829"/>
      <c r="AA40" s="829"/>
      <c r="AB40" s="829"/>
      <c r="AC40" s="829"/>
      <c r="AD40" s="829"/>
      <c r="AE40" s="829"/>
      <c r="AF40" s="829"/>
      <c r="AG40" s="829"/>
      <c r="AH40" s="829"/>
      <c r="AI40" s="829"/>
      <c r="AJ40" s="829"/>
      <c r="AK40" s="829"/>
      <c r="AL40" s="829"/>
      <c r="AM40" s="829"/>
      <c r="AN40" s="829"/>
      <c r="AO40" s="829"/>
      <c r="AP40" s="829"/>
      <c r="AQ40" s="829"/>
      <c r="AR40" s="829"/>
      <c r="AS40" s="829"/>
      <c r="AT40" s="829"/>
      <c r="AU40" s="829"/>
      <c r="AV40" s="829"/>
      <c r="AW40" s="829"/>
      <c r="AX40" s="829"/>
      <c r="AY40" s="829"/>
      <c r="AZ40" s="829"/>
      <c r="BA40" s="829"/>
      <c r="BB40" s="829"/>
      <c r="BC40" s="829"/>
      <c r="BD40" s="829"/>
      <c r="BE40" s="829"/>
      <c r="BF40" s="829"/>
      <c r="BG40" s="829"/>
      <c r="BH40" s="830"/>
      <c r="BI40" s="830"/>
      <c r="BJ40" s="830"/>
      <c r="BK40" s="830"/>
      <c r="BL40" s="830"/>
      <c r="BM40" s="830"/>
      <c r="BN40" s="830"/>
      <c r="BO40" s="830"/>
      <c r="BP40" s="830"/>
      <c r="BQ40" s="830"/>
      <c r="BR40" s="830"/>
      <c r="BS40" s="830"/>
      <c r="BT40" s="830"/>
      <c r="BU40" s="830"/>
      <c r="BV40" s="830"/>
      <c r="BW40" s="830"/>
      <c r="BX40" s="830"/>
      <c r="BY40" s="830"/>
      <c r="BZ40" s="830"/>
      <c r="CA40" s="830"/>
      <c r="CB40" s="830"/>
      <c r="CC40" s="830"/>
    </row>
    <row r="41" spans="1:81" s="868" customFormat="1" ht="18" customHeight="1" thickBot="1" x14ac:dyDescent="0.35">
      <c r="A41" s="1002"/>
      <c r="B41" s="1124" t="s">
        <v>869</v>
      </c>
      <c r="C41" s="1124"/>
      <c r="D41" s="1125"/>
      <c r="E41" s="879">
        <v>2023</v>
      </c>
      <c r="F41" s="908" t="s">
        <v>870</v>
      </c>
      <c r="G41" s="919"/>
      <c r="H41" s="909"/>
      <c r="I41" s="920"/>
      <c r="J41" s="1049"/>
      <c r="K41" s="844"/>
      <c r="L41" s="827"/>
      <c r="M41" s="827"/>
      <c r="N41" s="827"/>
      <c r="O41" s="827"/>
      <c r="P41" s="828"/>
      <c r="Q41" s="829"/>
      <c r="R41" s="829"/>
      <c r="S41" s="829"/>
      <c r="T41" s="829"/>
      <c r="U41" s="829"/>
      <c r="V41" s="829"/>
      <c r="W41" s="829"/>
      <c r="X41" s="829"/>
      <c r="Y41" s="829"/>
      <c r="Z41" s="829"/>
      <c r="AA41" s="829"/>
      <c r="AB41" s="829"/>
      <c r="AC41" s="829"/>
      <c r="AD41" s="829"/>
      <c r="AE41" s="829"/>
      <c r="AF41" s="829"/>
      <c r="AG41" s="829"/>
      <c r="AH41" s="829"/>
      <c r="AI41" s="829"/>
      <c r="AJ41" s="829"/>
      <c r="AK41" s="829"/>
      <c r="AL41" s="829"/>
      <c r="AM41" s="829"/>
      <c r="AN41" s="829"/>
      <c r="AO41" s="829"/>
      <c r="AP41" s="829"/>
      <c r="AQ41" s="829"/>
      <c r="AR41" s="829"/>
      <c r="AS41" s="829"/>
      <c r="AT41" s="829"/>
      <c r="AU41" s="829"/>
      <c r="AV41" s="829"/>
      <c r="AW41" s="829"/>
      <c r="AX41" s="829"/>
      <c r="AY41" s="829"/>
      <c r="AZ41" s="829"/>
      <c r="BA41" s="829"/>
      <c r="BB41" s="829"/>
      <c r="BC41" s="829"/>
      <c r="BD41" s="829"/>
      <c r="BE41" s="829"/>
      <c r="BF41" s="829"/>
      <c r="BG41" s="829"/>
      <c r="BH41" s="830"/>
      <c r="BI41" s="830"/>
      <c r="BJ41" s="830"/>
      <c r="BK41" s="830"/>
      <c r="BL41" s="830"/>
      <c r="BM41" s="830"/>
      <c r="BN41" s="830"/>
      <c r="BO41" s="830"/>
      <c r="BP41" s="830"/>
      <c r="BQ41" s="830"/>
      <c r="BR41" s="830"/>
      <c r="BS41" s="830"/>
      <c r="BT41" s="830"/>
      <c r="BU41" s="830"/>
      <c r="BV41" s="830"/>
      <c r="BW41" s="830"/>
      <c r="BX41" s="830"/>
      <c r="BY41" s="830"/>
      <c r="BZ41" s="830"/>
      <c r="CA41" s="830"/>
      <c r="CB41" s="830"/>
      <c r="CC41" s="830"/>
    </row>
    <row r="42" spans="1:81" s="868" customFormat="1" ht="73.650000000000006" customHeight="1" thickBot="1" x14ac:dyDescent="0.35">
      <c r="A42" s="1000">
        <v>19</v>
      </c>
      <c r="B42" s="1126" t="s">
        <v>1151</v>
      </c>
      <c r="C42" s="1126"/>
      <c r="D42" s="1127"/>
      <c r="E42" s="888" t="str">
        <f>IF(Import!L227=1,"Yes",IF(Import!L227=2,"No",IF(Import!L227=3,"N/A",IF(Import!L227=0,"This question must be answered.  See cell C26 on TD"))))</f>
        <v>This question must be answered.  See cell C26 on TD</v>
      </c>
      <c r="F42" s="918"/>
      <c r="G42" s="888" t="str">
        <f>E42</f>
        <v>This question must be answered.  See cell C26 on TD</v>
      </c>
      <c r="H42" s="917" t="s">
        <v>1921</v>
      </c>
      <c r="I42" s="901" t="s">
        <v>662</v>
      </c>
      <c r="J42" s="824"/>
      <c r="K42" s="844"/>
      <c r="L42" s="827"/>
      <c r="M42" s="827"/>
      <c r="N42" s="827"/>
      <c r="O42" s="827"/>
      <c r="P42" s="828"/>
      <c r="Q42" s="829"/>
      <c r="R42" s="829"/>
      <c r="S42" s="829"/>
      <c r="T42" s="829"/>
      <c r="U42" s="829"/>
      <c r="V42" s="829"/>
      <c r="W42" s="829"/>
      <c r="X42" s="829"/>
      <c r="Y42" s="829"/>
      <c r="Z42" s="829"/>
      <c r="AA42" s="829"/>
      <c r="AB42" s="829"/>
      <c r="AC42" s="829"/>
      <c r="AD42" s="829"/>
      <c r="AE42" s="829"/>
      <c r="AF42" s="829"/>
      <c r="AG42" s="829"/>
      <c r="AH42" s="829"/>
      <c r="AI42" s="829"/>
      <c r="AJ42" s="829"/>
      <c r="AK42" s="829"/>
      <c r="AL42" s="829"/>
      <c r="AM42" s="829"/>
      <c r="AN42" s="829"/>
      <c r="AO42" s="829"/>
      <c r="AP42" s="829"/>
      <c r="AQ42" s="829"/>
      <c r="AR42" s="829"/>
      <c r="AS42" s="829"/>
      <c r="AT42" s="829"/>
      <c r="AU42" s="829"/>
      <c r="AV42" s="829"/>
      <c r="AW42" s="829"/>
      <c r="AX42" s="829"/>
      <c r="AY42" s="829"/>
      <c r="AZ42" s="829"/>
      <c r="BA42" s="829"/>
      <c r="BB42" s="829"/>
      <c r="BC42" s="829"/>
      <c r="BD42" s="829"/>
      <c r="BE42" s="829"/>
      <c r="BF42" s="829"/>
      <c r="BG42" s="829"/>
      <c r="BH42" s="830"/>
      <c r="BI42" s="830"/>
      <c r="BJ42" s="830"/>
      <c r="BK42" s="830"/>
      <c r="BL42" s="830"/>
      <c r="BM42" s="830"/>
      <c r="BN42" s="830"/>
      <c r="BO42" s="830"/>
      <c r="BP42" s="830"/>
      <c r="BQ42" s="830"/>
      <c r="BR42" s="830"/>
      <c r="BS42" s="830"/>
      <c r="BT42" s="830"/>
      <c r="BU42" s="830"/>
      <c r="BV42" s="830"/>
      <c r="BW42" s="830"/>
      <c r="BX42" s="830"/>
      <c r="BY42" s="830"/>
      <c r="BZ42" s="830"/>
      <c r="CA42" s="830"/>
      <c r="CB42" s="830"/>
      <c r="CC42" s="830"/>
    </row>
    <row r="43" spans="1:81" s="868" customFormat="1" ht="18" customHeight="1" thickBot="1" x14ac:dyDescent="0.35">
      <c r="A43" s="1002"/>
      <c r="B43" s="1115"/>
      <c r="C43" s="1115"/>
      <c r="D43" s="1116"/>
      <c r="E43" s="879">
        <v>2023</v>
      </c>
      <c r="F43" s="904" t="s">
        <v>870</v>
      </c>
      <c r="G43" s="909"/>
      <c r="H43" s="915"/>
      <c r="I43" s="910"/>
      <c r="J43" s="1049"/>
      <c r="K43" s="844"/>
      <c r="L43" s="827"/>
      <c r="M43" s="827"/>
      <c r="N43" s="827"/>
      <c r="O43" s="827"/>
      <c r="P43" s="828"/>
      <c r="Q43" s="829"/>
      <c r="R43" s="829"/>
      <c r="S43" s="829"/>
      <c r="T43" s="829"/>
      <c r="U43" s="829"/>
      <c r="V43" s="829"/>
      <c r="W43" s="829"/>
      <c r="X43" s="829"/>
      <c r="Y43" s="829"/>
      <c r="Z43" s="829"/>
      <c r="AA43" s="829"/>
      <c r="AB43" s="829"/>
      <c r="AC43" s="829"/>
      <c r="AD43" s="829"/>
      <c r="AE43" s="829"/>
      <c r="AF43" s="829"/>
      <c r="AG43" s="829"/>
      <c r="AH43" s="829"/>
      <c r="AI43" s="829"/>
      <c r="AJ43" s="829"/>
      <c r="AK43" s="829"/>
      <c r="AL43" s="829"/>
      <c r="AM43" s="829"/>
      <c r="AN43" s="829"/>
      <c r="AO43" s="829"/>
      <c r="AP43" s="829"/>
      <c r="AQ43" s="829"/>
      <c r="AR43" s="829"/>
      <c r="AS43" s="829"/>
      <c r="AT43" s="829"/>
      <c r="AU43" s="829"/>
      <c r="AV43" s="829"/>
      <c r="AW43" s="829"/>
      <c r="AX43" s="829"/>
      <c r="AY43" s="829"/>
      <c r="AZ43" s="829"/>
      <c r="BA43" s="829"/>
      <c r="BB43" s="829"/>
      <c r="BC43" s="829"/>
      <c r="BD43" s="829"/>
      <c r="BE43" s="829"/>
      <c r="BF43" s="829"/>
      <c r="BG43" s="829"/>
      <c r="BH43" s="830"/>
      <c r="BI43" s="830"/>
      <c r="BJ43" s="830"/>
      <c r="BK43" s="830"/>
      <c r="BL43" s="830"/>
      <c r="BM43" s="830"/>
      <c r="BN43" s="830"/>
      <c r="BO43" s="830"/>
      <c r="BP43" s="830"/>
      <c r="BQ43" s="830"/>
      <c r="BR43" s="830"/>
      <c r="BS43" s="830"/>
      <c r="BT43" s="830"/>
      <c r="BU43" s="830"/>
      <c r="BV43" s="830"/>
      <c r="BW43" s="830"/>
      <c r="BX43" s="830"/>
      <c r="BY43" s="830"/>
      <c r="BZ43" s="830"/>
      <c r="CA43" s="830"/>
      <c r="CB43" s="830"/>
      <c r="CC43" s="830"/>
    </row>
    <row r="44" spans="1:81" s="868" customFormat="1" ht="130.19999999999999" customHeight="1" thickBot="1" x14ac:dyDescent="0.35">
      <c r="A44" s="1000">
        <v>20</v>
      </c>
      <c r="B44" s="1117" t="s">
        <v>1550</v>
      </c>
      <c r="C44" s="1118"/>
      <c r="D44" s="1118"/>
      <c r="E44" s="921" t="str">
        <f>IF('Electric trans'!F24="No, unit exceeds limit by:","Yes","No")</f>
        <v>No</v>
      </c>
      <c r="F44" s="918"/>
      <c r="G44" s="921" t="str">
        <f>+E44</f>
        <v>No</v>
      </c>
      <c r="H44" s="858" t="s">
        <v>1925</v>
      </c>
      <c r="I44" s="901" t="s">
        <v>1554</v>
      </c>
      <c r="J44" s="824"/>
      <c r="K44" s="844"/>
      <c r="L44" s="827"/>
      <c r="M44" s="827"/>
      <c r="N44" s="827"/>
      <c r="O44" s="827"/>
      <c r="P44" s="828"/>
      <c r="Q44" s="829"/>
      <c r="R44" s="829"/>
      <c r="S44" s="829"/>
      <c r="T44" s="829"/>
      <c r="U44" s="829"/>
      <c r="V44" s="829"/>
      <c r="W44" s="829"/>
      <c r="X44" s="829"/>
      <c r="Y44" s="829"/>
      <c r="Z44" s="829"/>
      <c r="AA44" s="829"/>
      <c r="AB44" s="829"/>
      <c r="AC44" s="829"/>
      <c r="AD44" s="829"/>
      <c r="AE44" s="829"/>
      <c r="AF44" s="829"/>
      <c r="AG44" s="829"/>
      <c r="AH44" s="829"/>
      <c r="AI44" s="829"/>
      <c r="AJ44" s="829"/>
      <c r="AK44" s="829"/>
      <c r="AL44" s="829"/>
      <c r="AM44" s="829"/>
      <c r="AN44" s="829"/>
      <c r="AO44" s="829"/>
      <c r="AP44" s="829"/>
      <c r="AQ44" s="829"/>
      <c r="AR44" s="829"/>
      <c r="AS44" s="829"/>
      <c r="AT44" s="829"/>
      <c r="AU44" s="829"/>
      <c r="AV44" s="829"/>
      <c r="AW44" s="829"/>
      <c r="AX44" s="829"/>
      <c r="AY44" s="829"/>
      <c r="AZ44" s="829"/>
      <c r="BA44" s="829"/>
      <c r="BB44" s="829"/>
      <c r="BC44" s="829"/>
      <c r="BD44" s="829"/>
      <c r="BE44" s="829"/>
      <c r="BF44" s="829"/>
      <c r="BG44" s="829"/>
      <c r="BH44" s="830"/>
      <c r="BI44" s="830"/>
      <c r="BJ44" s="830"/>
      <c r="BK44" s="830"/>
      <c r="BL44" s="830"/>
      <c r="BM44" s="830"/>
      <c r="BN44" s="830"/>
      <c r="BO44" s="830"/>
      <c r="BP44" s="830"/>
      <c r="BQ44" s="830"/>
      <c r="BR44" s="830"/>
      <c r="BS44" s="830"/>
      <c r="BT44" s="830"/>
      <c r="BU44" s="830"/>
      <c r="BV44" s="830"/>
      <c r="BW44" s="830"/>
      <c r="BX44" s="830"/>
      <c r="BY44" s="830"/>
      <c r="BZ44" s="830"/>
      <c r="CA44" s="830"/>
      <c r="CB44" s="830"/>
      <c r="CC44" s="830"/>
    </row>
    <row r="45" spans="1:81" s="868" customFormat="1" ht="18" customHeight="1" thickBot="1" x14ac:dyDescent="0.35">
      <c r="A45" s="1002"/>
      <c r="B45" s="1119"/>
      <c r="C45" s="1119"/>
      <c r="D45" s="1120"/>
      <c r="E45" s="903">
        <v>2023</v>
      </c>
      <c r="F45" s="908" t="s">
        <v>870</v>
      </c>
      <c r="G45" s="919"/>
      <c r="H45" s="909"/>
      <c r="I45" s="910"/>
      <c r="J45" s="1049"/>
      <c r="K45" s="844"/>
      <c r="L45" s="827"/>
      <c r="M45" s="827"/>
      <c r="N45" s="827"/>
      <c r="O45" s="827"/>
      <c r="P45" s="828"/>
      <c r="Q45" s="829"/>
      <c r="R45" s="829"/>
      <c r="S45" s="829"/>
      <c r="T45" s="829"/>
      <c r="U45" s="829"/>
      <c r="V45" s="829"/>
      <c r="W45" s="829"/>
      <c r="X45" s="829"/>
      <c r="Y45" s="829"/>
      <c r="Z45" s="829"/>
      <c r="AA45" s="829"/>
      <c r="AB45" s="829"/>
      <c r="AC45" s="829"/>
      <c r="AD45" s="829"/>
      <c r="AE45" s="829"/>
      <c r="AF45" s="829"/>
      <c r="AG45" s="829"/>
      <c r="AH45" s="829"/>
      <c r="AI45" s="829"/>
      <c r="AJ45" s="829"/>
      <c r="AK45" s="829"/>
      <c r="AL45" s="829"/>
      <c r="AM45" s="829"/>
      <c r="AN45" s="829"/>
      <c r="AO45" s="829"/>
      <c r="AP45" s="829"/>
      <c r="AQ45" s="829"/>
      <c r="AR45" s="829"/>
      <c r="AS45" s="829"/>
      <c r="AT45" s="829"/>
      <c r="AU45" s="829"/>
      <c r="AV45" s="829"/>
      <c r="AW45" s="829"/>
      <c r="AX45" s="829"/>
      <c r="AY45" s="829"/>
      <c r="AZ45" s="829"/>
      <c r="BA45" s="829"/>
      <c r="BB45" s="829"/>
      <c r="BC45" s="829"/>
      <c r="BD45" s="829"/>
      <c r="BE45" s="829"/>
      <c r="BF45" s="829"/>
      <c r="BG45" s="829"/>
      <c r="BH45" s="830"/>
      <c r="BI45" s="830"/>
      <c r="BJ45" s="830"/>
      <c r="BK45" s="830"/>
      <c r="BL45" s="830"/>
      <c r="BM45" s="830"/>
      <c r="BN45" s="830"/>
      <c r="BO45" s="830"/>
      <c r="BP45" s="830"/>
      <c r="BQ45" s="830"/>
      <c r="BR45" s="830"/>
      <c r="BS45" s="830"/>
      <c r="BT45" s="830"/>
      <c r="BU45" s="830"/>
      <c r="BV45" s="830"/>
      <c r="BW45" s="830"/>
      <c r="BX45" s="830"/>
      <c r="BY45" s="830"/>
      <c r="BZ45" s="830"/>
      <c r="CA45" s="830"/>
      <c r="CB45" s="830"/>
      <c r="CC45" s="830"/>
    </row>
    <row r="46" spans="1:81" s="868" customFormat="1" ht="99.75" customHeight="1" thickBot="1" x14ac:dyDescent="0.35">
      <c r="A46" s="1000">
        <v>21</v>
      </c>
      <c r="B46" s="1113" t="s">
        <v>2613</v>
      </c>
      <c r="C46" s="1114"/>
      <c r="D46" s="1114"/>
      <c r="E46" s="931" t="str">
        <f>IF(Import!L225&gt;0,"Yes","No")</f>
        <v>No</v>
      </c>
      <c r="F46" s="918"/>
      <c r="G46" s="888" t="str">
        <f>E46</f>
        <v>No</v>
      </c>
      <c r="H46" s="922" t="s">
        <v>1922</v>
      </c>
      <c r="I46" s="901" t="s">
        <v>1555</v>
      </c>
      <c r="J46" s="824"/>
      <c r="K46" s="844"/>
      <c r="L46" s="827"/>
      <c r="M46" s="923"/>
      <c r="N46" s="827"/>
      <c r="O46" s="827"/>
      <c r="P46" s="828"/>
      <c r="Q46" s="829"/>
      <c r="R46" s="829"/>
      <c r="S46" s="829"/>
      <c r="T46" s="829"/>
      <c r="U46" s="829"/>
      <c r="V46" s="829"/>
      <c r="W46" s="829"/>
      <c r="X46" s="829"/>
      <c r="Y46" s="829"/>
      <c r="Z46" s="829"/>
      <c r="AA46" s="829"/>
      <c r="AB46" s="829"/>
      <c r="AC46" s="829"/>
      <c r="AD46" s="829"/>
      <c r="AE46" s="829"/>
      <c r="AF46" s="829"/>
      <c r="AG46" s="829"/>
      <c r="AH46" s="829"/>
      <c r="AI46" s="829"/>
      <c r="AJ46" s="829"/>
      <c r="AK46" s="829"/>
      <c r="AL46" s="829"/>
      <c r="AM46" s="829"/>
      <c r="AN46" s="829"/>
      <c r="AO46" s="829"/>
      <c r="AP46" s="829"/>
      <c r="AQ46" s="829"/>
      <c r="AR46" s="829"/>
      <c r="AS46" s="829"/>
      <c r="AT46" s="829"/>
      <c r="AU46" s="829"/>
      <c r="AV46" s="829"/>
      <c r="AW46" s="829"/>
      <c r="AX46" s="829"/>
      <c r="AY46" s="829"/>
      <c r="AZ46" s="829"/>
      <c r="BA46" s="829"/>
      <c r="BB46" s="829"/>
      <c r="BC46" s="829"/>
      <c r="BD46" s="829"/>
      <c r="BE46" s="829"/>
      <c r="BF46" s="829"/>
      <c r="BG46" s="829"/>
      <c r="BH46" s="830"/>
      <c r="BI46" s="830"/>
      <c r="BJ46" s="830"/>
      <c r="BK46" s="830"/>
      <c r="BL46" s="830"/>
      <c r="BM46" s="830"/>
      <c r="BN46" s="830"/>
      <c r="BO46" s="830"/>
      <c r="BP46" s="830"/>
      <c r="BQ46" s="830"/>
      <c r="BR46" s="830"/>
      <c r="BS46" s="830"/>
      <c r="BT46" s="830"/>
      <c r="BU46" s="830"/>
      <c r="BV46" s="830"/>
      <c r="BW46" s="830"/>
      <c r="BX46" s="830"/>
      <c r="BY46" s="830"/>
      <c r="BZ46" s="830"/>
      <c r="CA46" s="830"/>
      <c r="CB46" s="830"/>
      <c r="CC46" s="830"/>
    </row>
    <row r="47" spans="1:81" s="928" customFormat="1" x14ac:dyDescent="0.3">
      <c r="A47" s="924"/>
      <c r="B47" s="925"/>
      <c r="C47" s="925"/>
      <c r="D47" s="925"/>
      <c r="E47" s="925"/>
      <c r="F47" s="925"/>
      <c r="G47" s="925"/>
      <c r="H47" s="925"/>
      <c r="I47" s="926"/>
      <c r="J47" s="926"/>
      <c r="K47" s="927"/>
      <c r="L47" s="827"/>
      <c r="M47" s="827"/>
      <c r="N47" s="827"/>
      <c r="O47" s="827"/>
      <c r="P47" s="828"/>
      <c r="Q47" s="829"/>
      <c r="R47" s="829"/>
      <c r="S47" s="829"/>
      <c r="T47" s="829"/>
      <c r="U47" s="829"/>
      <c r="V47" s="829"/>
      <c r="W47" s="829"/>
      <c r="X47" s="829"/>
      <c r="Y47" s="829"/>
      <c r="Z47" s="829"/>
      <c r="AA47" s="829"/>
      <c r="AB47" s="829"/>
      <c r="AC47" s="829"/>
      <c r="AD47" s="829"/>
      <c r="AE47" s="829"/>
      <c r="AF47" s="829"/>
      <c r="AG47" s="829"/>
      <c r="AH47" s="829"/>
      <c r="AI47" s="829"/>
      <c r="AJ47" s="829"/>
      <c r="AK47" s="829"/>
      <c r="AL47" s="829"/>
      <c r="AM47" s="829"/>
      <c r="AN47" s="829"/>
      <c r="AO47" s="829"/>
      <c r="AP47" s="829"/>
      <c r="AQ47" s="829"/>
      <c r="AR47" s="829"/>
      <c r="AS47" s="829"/>
      <c r="AT47" s="829"/>
      <c r="AU47" s="829"/>
      <c r="AV47" s="829"/>
      <c r="AW47" s="829"/>
      <c r="AX47" s="829"/>
      <c r="AY47" s="829"/>
      <c r="AZ47" s="829"/>
      <c r="BA47" s="829"/>
      <c r="BB47" s="829"/>
      <c r="BC47" s="829"/>
      <c r="BD47" s="829"/>
      <c r="BE47" s="829"/>
      <c r="BF47" s="829"/>
      <c r="BG47" s="829"/>
      <c r="BH47" s="830"/>
      <c r="BI47" s="830"/>
      <c r="BJ47" s="830"/>
      <c r="BK47" s="830"/>
      <c r="BL47" s="830"/>
      <c r="BM47" s="830"/>
      <c r="BN47" s="830"/>
      <c r="BO47" s="830"/>
      <c r="BP47" s="830"/>
      <c r="BQ47" s="830"/>
      <c r="BR47" s="830"/>
      <c r="BS47" s="830"/>
      <c r="BT47" s="830"/>
      <c r="BU47" s="830"/>
      <c r="BV47" s="830"/>
      <c r="BW47" s="830"/>
      <c r="BX47" s="830"/>
      <c r="BY47" s="830"/>
      <c r="BZ47" s="830"/>
      <c r="CA47" s="830"/>
      <c r="CB47" s="830"/>
      <c r="CC47" s="830"/>
    </row>
  </sheetData>
  <sheetProtection algorithmName="SHA-512" hashValue="hPPAI873SiTfTJ1zbKAp6Y2sSDTaZUL3DH9OQednnTMXaV+lWu4h+w3Z7M2qKv2yvqxltHuTyagRw3+eHi/lAg==" saltValue="G/3HnWX+VvI1lKvU0cSkQQ==" spinCount="100000" sheet="1" objects="1" scenarios="1"/>
  <mergeCells count="40">
    <mergeCell ref="B15:E15"/>
    <mergeCell ref="B14:E14"/>
    <mergeCell ref="B34:D34"/>
    <mergeCell ref="B33:D33"/>
    <mergeCell ref="B20:D20"/>
    <mergeCell ref="B24:E24"/>
    <mergeCell ref="B25:E25"/>
    <mergeCell ref="B29:D29"/>
    <mergeCell ref="B30:D30"/>
    <mergeCell ref="B8:G9"/>
    <mergeCell ref="B10:E10"/>
    <mergeCell ref="B12:E12"/>
    <mergeCell ref="I1:J1"/>
    <mergeCell ref="B1:H1"/>
    <mergeCell ref="B2:H2"/>
    <mergeCell ref="C4:E4"/>
    <mergeCell ref="F4:G5"/>
    <mergeCell ref="H4:H5"/>
    <mergeCell ref="C5:E5"/>
    <mergeCell ref="I2:I7"/>
    <mergeCell ref="J2:J7"/>
    <mergeCell ref="B6:H7"/>
    <mergeCell ref="J8:J9"/>
    <mergeCell ref="H8:H9"/>
    <mergeCell ref="B38:D38"/>
    <mergeCell ref="B11:E11"/>
    <mergeCell ref="B13:E13"/>
    <mergeCell ref="B46:D46"/>
    <mergeCell ref="B43:D43"/>
    <mergeCell ref="B44:D44"/>
    <mergeCell ref="B45:D45"/>
    <mergeCell ref="B39:D39"/>
    <mergeCell ref="B40:D40"/>
    <mergeCell ref="B41:D41"/>
    <mergeCell ref="B42:D42"/>
    <mergeCell ref="B37:D37"/>
    <mergeCell ref="B31:D31"/>
    <mergeCell ref="B32:D32"/>
    <mergeCell ref="B35:D35"/>
    <mergeCell ref="B36:D36"/>
  </mergeCells>
  <conditionalFormatting sqref="G16">
    <cfRule type="cellIs" dxfId="79" priority="74" operator="lessThan">
      <formula>1</formula>
    </cfRule>
  </conditionalFormatting>
  <conditionalFormatting sqref="G18">
    <cfRule type="cellIs" dxfId="78" priority="73" operator="lessThan">
      <formula>0</formula>
    </cfRule>
  </conditionalFormatting>
  <conditionalFormatting sqref="G19:G20">
    <cfRule type="cellIs" dxfId="77" priority="72" operator="lessThan">
      <formula>0.16</formula>
    </cfRule>
  </conditionalFormatting>
  <conditionalFormatting sqref="G25">
    <cfRule type="cellIs" dxfId="76" priority="71" operator="lessThan">
      <formula>1</formula>
    </cfRule>
  </conditionalFormatting>
  <conditionalFormatting sqref="G27">
    <cfRule type="cellIs" dxfId="75" priority="70" operator="lessThan">
      <formula>0</formula>
    </cfRule>
  </conditionalFormatting>
  <conditionalFormatting sqref="G28">
    <cfRule type="cellIs" dxfId="74" priority="69" operator="lessThan">
      <formula>0.16</formula>
    </cfRule>
  </conditionalFormatting>
  <conditionalFormatting sqref="G32">
    <cfRule type="cellIs" dxfId="73" priority="67" operator="lessThan">
      <formula>-0.03</formula>
    </cfRule>
  </conditionalFormatting>
  <conditionalFormatting sqref="G38">
    <cfRule type="cellIs" dxfId="72" priority="65" operator="equal">
      <formula>"Yes"</formula>
    </cfRule>
  </conditionalFormatting>
  <conditionalFormatting sqref="G42">
    <cfRule type="cellIs" dxfId="71" priority="64" operator="equal">
      <formula>"Yes"</formula>
    </cfRule>
  </conditionalFormatting>
  <conditionalFormatting sqref="G36">
    <cfRule type="cellIs" dxfId="70" priority="63" operator="equal">
      <formula>"Yes"</formula>
    </cfRule>
  </conditionalFormatting>
  <conditionalFormatting sqref="G45">
    <cfRule type="cellIs" dxfId="69" priority="62" operator="equal">
      <formula>"Yes"</formula>
    </cfRule>
  </conditionalFormatting>
  <conditionalFormatting sqref="G44">
    <cfRule type="cellIs" dxfId="68" priority="61" operator="equal">
      <formula>"Yes"</formula>
    </cfRule>
  </conditionalFormatting>
  <conditionalFormatting sqref="G34">
    <cfRule type="cellIs" dxfId="67" priority="58" operator="equal">
      <formula>"Decrease"</formula>
    </cfRule>
  </conditionalFormatting>
  <conditionalFormatting sqref="G20">
    <cfRule type="cellIs" dxfId="66" priority="6" operator="equal">
      <formula>$E$21="Yes"</formula>
    </cfRule>
    <cfRule type="expression" dxfId="65" priority="53">
      <formula>E20="Yes"</formula>
    </cfRule>
  </conditionalFormatting>
  <conditionalFormatting sqref="E36 G36">
    <cfRule type="containsText" dxfId="64" priority="52" operator="containsText" text="This question must be answered">
      <formula>NOT(ISERROR(SEARCH("This question must be answered",E36)))</formula>
    </cfRule>
  </conditionalFormatting>
  <conditionalFormatting sqref="E34 G34">
    <cfRule type="containsText" dxfId="63" priority="51" operator="containsText" text="This question must be answered">
      <formula>NOT(ISERROR(SEARCH("This question must be answered",E34)))</formula>
    </cfRule>
  </conditionalFormatting>
  <conditionalFormatting sqref="E32 G32">
    <cfRule type="containsText" dxfId="62" priority="50" operator="containsText" text="This question must be answered">
      <formula>NOT(ISERROR(SEARCH("This question must be answered",E32)))</formula>
    </cfRule>
  </conditionalFormatting>
  <conditionalFormatting sqref="E42 G42">
    <cfRule type="containsText" dxfId="61" priority="47" operator="containsText" text="This question must be answered">
      <formula>NOT(ISERROR(SEARCH("This question must be answered",E42)))</formula>
    </cfRule>
  </conditionalFormatting>
  <conditionalFormatting sqref="G46">
    <cfRule type="cellIs" dxfId="60" priority="45" operator="equal">
      <formula>"Yes"</formula>
    </cfRule>
  </conditionalFormatting>
  <conditionalFormatting sqref="G46">
    <cfRule type="containsText" dxfId="59" priority="44" operator="containsText" text="This question must be answered">
      <formula>NOT(ISERROR(SEARCH("This question must be answered",G46)))</formula>
    </cfRule>
  </conditionalFormatting>
  <conditionalFormatting sqref="G13">
    <cfRule type="containsText" dxfId="58" priority="43" operator="containsText" text="Operations">
      <formula>NOT(ISERROR(SEARCH("Operations",G13)))</formula>
    </cfRule>
  </conditionalFormatting>
  <conditionalFormatting sqref="G14">
    <cfRule type="cellIs" dxfId="57" priority="42" operator="lessThan">
      <formula>0</formula>
    </cfRule>
  </conditionalFormatting>
  <conditionalFormatting sqref="E39:E40">
    <cfRule type="containsText" dxfId="56" priority="41" operator="containsText" text="This question must be answered">
      <formula>NOT(ISERROR(SEARCH("This question must be answered",E39)))</formula>
    </cfRule>
  </conditionalFormatting>
  <conditionalFormatting sqref="G39:G40">
    <cfRule type="containsText" dxfId="55" priority="39" operator="containsText" text="No">
      <formula>NOT(ISERROR(SEARCH("No",G39)))</formula>
    </cfRule>
    <cfRule type="containsText" dxfId="54" priority="40" operator="containsText" text="This question must be answered">
      <formula>NOT(ISERROR(SEARCH("This question must be answered",G39)))</formula>
    </cfRule>
  </conditionalFormatting>
  <conditionalFormatting sqref="G11">
    <cfRule type="expression" dxfId="53" priority="30">
      <formula>$O$11=1</formula>
    </cfRule>
  </conditionalFormatting>
  <conditionalFormatting sqref="I9">
    <cfRule type="expression" dxfId="52" priority="137">
      <formula>IF($L$9&lt;0.25,)</formula>
    </cfRule>
  </conditionalFormatting>
  <conditionalFormatting sqref="C18">
    <cfRule type="cellIs" dxfId="51" priority="26" operator="equal">
      <formula>"Prior year data not submitted as of workbook published date."</formula>
    </cfRule>
  </conditionalFormatting>
  <conditionalFormatting sqref="D18">
    <cfRule type="cellIs" dxfId="50" priority="25" operator="equal">
      <formula>"Prior year data not submitted as of workbook published date."</formula>
    </cfRule>
  </conditionalFormatting>
  <conditionalFormatting sqref="L19:L21">
    <cfRule type="cellIs" dxfId="49" priority="24" operator="equal">
      <formula>"Priod year data not submitted as of workbook published date."</formula>
    </cfRule>
  </conditionalFormatting>
  <conditionalFormatting sqref="D19:D21">
    <cfRule type="cellIs" dxfId="48" priority="20" operator="equal">
      <formula>"Prior year data not submitted as of workbook published date."</formula>
    </cfRule>
  </conditionalFormatting>
  <conditionalFormatting sqref="C19:C21">
    <cfRule type="cellIs" dxfId="47" priority="19" operator="equal">
      <formula>"Prior year data not submitted as of workbook published date."</formula>
    </cfRule>
  </conditionalFormatting>
  <conditionalFormatting sqref="C27">
    <cfRule type="cellIs" dxfId="46" priority="18" operator="equal">
      <formula>"Prior year data not submitted as of workbook published date."</formula>
    </cfRule>
  </conditionalFormatting>
  <conditionalFormatting sqref="D27">
    <cfRule type="cellIs" dxfId="45" priority="17" operator="equal">
      <formula>"Prior year data not submitted as of workbook published date."</formula>
    </cfRule>
  </conditionalFormatting>
  <conditionalFormatting sqref="D28">
    <cfRule type="cellIs" dxfId="44" priority="13" operator="equal">
      <formula>"Prior year data not submitted as of  workbook published date."</formula>
    </cfRule>
  </conditionalFormatting>
  <conditionalFormatting sqref="C28">
    <cfRule type="cellIs" dxfId="43" priority="11" operator="equal">
      <formula>"Prior year data not submitted as of workbook published date."</formula>
    </cfRule>
  </conditionalFormatting>
  <conditionalFormatting sqref="F21">
    <cfRule type="expression" dxfId="42" priority="10">
      <formula>D21="Yes"</formula>
    </cfRule>
  </conditionalFormatting>
  <conditionalFormatting sqref="D21">
    <cfRule type="cellIs" dxfId="41" priority="9" operator="equal">
      <formula>"Prior year data not submitted as of workbook published date."</formula>
    </cfRule>
  </conditionalFormatting>
  <conditionalFormatting sqref="C21">
    <cfRule type="cellIs" dxfId="40" priority="8" operator="equal">
      <formula>"Prior year data not submitted as of workbook published date."</formula>
    </cfRule>
  </conditionalFormatting>
  <conditionalFormatting sqref="G21">
    <cfRule type="cellIs" dxfId="39" priority="4" operator="lessThan">
      <formula>0.5</formula>
    </cfRule>
  </conditionalFormatting>
  <conditionalFormatting sqref="M19">
    <cfRule type="cellIs" dxfId="38" priority="3" operator="equal">
      <formula>"Priod year data not submitted as of workbook published date."</formula>
    </cfRule>
  </conditionalFormatting>
  <conditionalFormatting sqref="G30">
    <cfRule type="cellIs" dxfId="37" priority="2" operator="equal">
      <formula>"Late"</formula>
    </cfRule>
  </conditionalFormatting>
  <conditionalFormatting sqref="G30">
    <cfRule type="containsText" dxfId="36" priority="1" operator="containsText" text="This question must be answered">
      <formula>NOT(ISERROR(SEARCH("This question must be answered",G30)))</formula>
    </cfRule>
  </conditionalFormatting>
  <pageMargins left="0.25" right="0.25" top="0.05" bottom="0.25" header="0.3" footer="0.25"/>
  <pageSetup scale="58" fitToHeight="0" orientation="landscape" r:id="rId1"/>
  <headerFooter>
    <oddFooter>&amp;C&amp;12&amp;P</oddFooter>
  </headerFooter>
  <rowBreaks count="5" manualBreakCount="5">
    <brk id="11" max="7" man="1"/>
    <brk id="14" max="7" man="1"/>
    <brk id="23" max="7" man="1"/>
    <brk id="28" max="7" man="1"/>
    <brk id="40"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289560</xdr:colOff>
                <xdr:row>7</xdr:row>
                <xdr:rowOff>99060</xdr:rowOff>
              </from>
              <to>
                <xdr:col>5</xdr:col>
                <xdr:colOff>1188720</xdr:colOff>
                <xdr:row>8</xdr:row>
                <xdr:rowOff>1531620</xdr:rowOff>
              </to>
            </anchor>
          </objectPr>
        </oleObject>
      </mc:Choice>
      <mc:Fallback>
        <oleObject progId="Excel.Sheet.12" shapeId="4812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topLeftCell="A28" workbookViewId="0">
      <selection activeCell="D10" sqref="D10"/>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402</v>
      </c>
      <c r="B1" s="180" t="s">
        <v>475</v>
      </c>
      <c r="C1" s="183" t="s">
        <v>465</v>
      </c>
      <c r="D1" s="184" t="s">
        <v>607</v>
      </c>
      <c r="E1" s="180" t="s">
        <v>1603</v>
      </c>
    </row>
    <row r="3" spans="1:11" ht="23.4" x14ac:dyDescent="0.45">
      <c r="A3" s="180">
        <v>50002</v>
      </c>
      <c r="B3" s="180" t="s">
        <v>1154</v>
      </c>
      <c r="C3" s="180">
        <v>50</v>
      </c>
      <c r="D3" s="155" t="s">
        <v>50</v>
      </c>
      <c r="E3" s="189" t="s">
        <v>625</v>
      </c>
    </row>
    <row r="4" spans="1:11" x14ac:dyDescent="0.3">
      <c r="A4" s="180">
        <v>50006</v>
      </c>
      <c r="B4" s="180" t="s">
        <v>477</v>
      </c>
      <c r="C4" s="180">
        <v>50</v>
      </c>
      <c r="D4" s="155" t="s">
        <v>50</v>
      </c>
    </row>
    <row r="5" spans="1:11" x14ac:dyDescent="0.3">
      <c r="A5" s="180">
        <v>50008</v>
      </c>
      <c r="B5" s="180" t="s">
        <v>1160</v>
      </c>
      <c r="C5" s="180">
        <v>50</v>
      </c>
      <c r="D5" s="155" t="s">
        <v>50</v>
      </c>
    </row>
    <row r="6" spans="1:11" x14ac:dyDescent="0.3">
      <c r="A6" s="180">
        <v>50013</v>
      </c>
      <c r="B6" s="527" t="s">
        <v>479</v>
      </c>
      <c r="C6" s="180">
        <v>50</v>
      </c>
      <c r="D6" s="155" t="s">
        <v>50</v>
      </c>
      <c r="K6" s="527"/>
    </row>
    <row r="7" spans="1:11" x14ac:dyDescent="0.3">
      <c r="A7" s="180">
        <v>50016</v>
      </c>
      <c r="B7" s="527" t="s">
        <v>816</v>
      </c>
      <c r="C7" s="180">
        <v>50</v>
      </c>
      <c r="D7" s="155" t="s">
        <v>50</v>
      </c>
      <c r="K7" s="527"/>
    </row>
    <row r="8" spans="1:11" x14ac:dyDescent="0.3">
      <c r="A8" s="180">
        <v>50017</v>
      </c>
      <c r="B8" s="180" t="s">
        <v>1170</v>
      </c>
      <c r="C8" s="180">
        <v>50</v>
      </c>
      <c r="D8" s="155" t="s">
        <v>50</v>
      </c>
    </row>
    <row r="9" spans="1:11" x14ac:dyDescent="0.3">
      <c r="A9" s="180">
        <v>50019</v>
      </c>
      <c r="B9" s="527" t="s">
        <v>817</v>
      </c>
      <c r="C9" s="180">
        <v>50</v>
      </c>
      <c r="D9" s="155" t="s">
        <v>50</v>
      </c>
      <c r="K9" s="527"/>
    </row>
    <row r="10" spans="1:11" x14ac:dyDescent="0.3">
      <c r="A10" s="180">
        <v>50504</v>
      </c>
      <c r="B10" s="180" t="s">
        <v>480</v>
      </c>
      <c r="C10" s="180">
        <v>50</v>
      </c>
      <c r="D10" s="155" t="s">
        <v>50</v>
      </c>
    </row>
    <row r="11" spans="1:11" x14ac:dyDescent="0.3">
      <c r="A11" s="180">
        <v>50021</v>
      </c>
      <c r="B11" s="180" t="s">
        <v>818</v>
      </c>
      <c r="C11" s="180">
        <v>50</v>
      </c>
      <c r="D11" s="155" t="s">
        <v>50</v>
      </c>
    </row>
    <row r="12" spans="1:11" x14ac:dyDescent="0.3">
      <c r="A12" s="180">
        <v>50024</v>
      </c>
      <c r="B12" s="527" t="s">
        <v>481</v>
      </c>
      <c r="C12" s="180">
        <v>50</v>
      </c>
      <c r="D12" s="155" t="s">
        <v>50</v>
      </c>
      <c r="K12" s="527"/>
    </row>
    <row r="13" spans="1:11" x14ac:dyDescent="0.3">
      <c r="A13" s="180">
        <v>50029</v>
      </c>
      <c r="B13" s="180" t="s">
        <v>482</v>
      </c>
      <c r="C13" s="180">
        <v>50</v>
      </c>
      <c r="D13" s="155" t="s">
        <v>50</v>
      </c>
    </row>
    <row r="14" spans="1:11" x14ac:dyDescent="0.3">
      <c r="A14" s="180">
        <v>50031</v>
      </c>
      <c r="B14" s="180" t="s">
        <v>819</v>
      </c>
      <c r="C14" s="180">
        <v>50</v>
      </c>
      <c r="D14" s="155" t="s">
        <v>50</v>
      </c>
    </row>
    <row r="15" spans="1:11" x14ac:dyDescent="0.3">
      <c r="A15" s="180">
        <v>50038</v>
      </c>
      <c r="B15" s="180" t="s">
        <v>486</v>
      </c>
      <c r="C15" s="180">
        <v>50</v>
      </c>
      <c r="D15" s="155" t="s">
        <v>50</v>
      </c>
    </row>
    <row r="16" spans="1:11" x14ac:dyDescent="0.3">
      <c r="A16" s="180">
        <v>50040</v>
      </c>
      <c r="B16" s="180" t="s">
        <v>1188</v>
      </c>
      <c r="C16" s="180">
        <v>50</v>
      </c>
      <c r="D16" s="155" t="s">
        <v>50</v>
      </c>
    </row>
    <row r="17" spans="1:11" x14ac:dyDescent="0.3">
      <c r="A17" s="180">
        <v>50506</v>
      </c>
      <c r="B17" s="180" t="s">
        <v>487</v>
      </c>
      <c r="C17" s="180">
        <v>50</v>
      </c>
      <c r="D17" s="155" t="s">
        <v>50</v>
      </c>
    </row>
    <row r="18" spans="1:11" x14ac:dyDescent="0.3">
      <c r="A18" s="180">
        <v>50045</v>
      </c>
      <c r="B18" s="180" t="s">
        <v>488</v>
      </c>
      <c r="C18" s="180">
        <v>50</v>
      </c>
      <c r="D18" s="155" t="s">
        <v>50</v>
      </c>
    </row>
    <row r="19" spans="1:11" x14ac:dyDescent="0.3">
      <c r="A19" s="180">
        <v>50050</v>
      </c>
      <c r="B19" s="527" t="s">
        <v>1197</v>
      </c>
      <c r="C19" s="180">
        <v>50</v>
      </c>
      <c r="D19" s="155" t="s">
        <v>50</v>
      </c>
      <c r="K19" s="527"/>
    </row>
    <row r="20" spans="1:11" x14ac:dyDescent="0.3">
      <c r="A20" s="180">
        <v>50055</v>
      </c>
      <c r="B20" s="180" t="s">
        <v>820</v>
      </c>
      <c r="C20" s="180">
        <v>50</v>
      </c>
      <c r="D20" s="155" t="s">
        <v>50</v>
      </c>
    </row>
    <row r="21" spans="1:11" x14ac:dyDescent="0.3">
      <c r="A21" s="180">
        <v>50062</v>
      </c>
      <c r="B21" s="180" t="s">
        <v>1210</v>
      </c>
      <c r="C21" s="180">
        <v>50</v>
      </c>
      <c r="D21" s="155" t="s">
        <v>50</v>
      </c>
    </row>
    <row r="22" spans="1:11" x14ac:dyDescent="0.3">
      <c r="A22" s="180">
        <v>50063</v>
      </c>
      <c r="B22" s="180" t="s">
        <v>1211</v>
      </c>
      <c r="C22" s="180">
        <v>50</v>
      </c>
      <c r="D22" s="155" t="s">
        <v>50</v>
      </c>
    </row>
    <row r="23" spans="1:11" x14ac:dyDescent="0.3">
      <c r="A23" s="180">
        <v>50467</v>
      </c>
      <c r="B23" s="180" t="s">
        <v>491</v>
      </c>
      <c r="C23" s="180">
        <v>50</v>
      </c>
      <c r="D23" s="155" t="s">
        <v>50</v>
      </c>
    </row>
    <row r="24" spans="1:11" x14ac:dyDescent="0.3">
      <c r="A24" s="180">
        <v>50510</v>
      </c>
      <c r="B24" s="180" t="s">
        <v>492</v>
      </c>
      <c r="C24" s="180">
        <v>50</v>
      </c>
      <c r="D24" s="155" t="s">
        <v>50</v>
      </c>
    </row>
    <row r="25" spans="1:11" x14ac:dyDescent="0.3">
      <c r="A25" s="180">
        <v>50078</v>
      </c>
      <c r="B25" s="180" t="s">
        <v>822</v>
      </c>
      <c r="C25" s="180">
        <v>50</v>
      </c>
      <c r="D25" s="155" t="s">
        <v>50</v>
      </c>
    </row>
    <row r="26" spans="1:11" x14ac:dyDescent="0.3">
      <c r="A26" s="180">
        <v>50468</v>
      </c>
      <c r="B26" s="527" t="s">
        <v>824</v>
      </c>
      <c r="C26" s="180">
        <v>50</v>
      </c>
      <c r="D26" s="155" t="s">
        <v>50</v>
      </c>
      <c r="K26" s="527"/>
    </row>
    <row r="27" spans="1:11" x14ac:dyDescent="0.3">
      <c r="A27" s="180">
        <v>50086</v>
      </c>
      <c r="B27" s="180" t="s">
        <v>494</v>
      </c>
      <c r="C27" s="180">
        <v>50</v>
      </c>
      <c r="D27" s="155" t="s">
        <v>50</v>
      </c>
    </row>
    <row r="28" spans="1:11" x14ac:dyDescent="0.3">
      <c r="A28" s="180">
        <v>50087</v>
      </c>
      <c r="B28" s="180" t="s">
        <v>495</v>
      </c>
      <c r="C28" s="180">
        <v>50</v>
      </c>
      <c r="D28" s="155" t="s">
        <v>50</v>
      </c>
    </row>
    <row r="29" spans="1:11" x14ac:dyDescent="0.3">
      <c r="A29" s="180">
        <v>50091</v>
      </c>
      <c r="B29" s="527" t="s">
        <v>825</v>
      </c>
      <c r="C29" s="180">
        <v>50</v>
      </c>
      <c r="D29" s="155" t="s">
        <v>50</v>
      </c>
      <c r="K29" s="527"/>
    </row>
    <row r="30" spans="1:11" x14ac:dyDescent="0.3">
      <c r="A30" s="180">
        <v>50511</v>
      </c>
      <c r="B30" s="180" t="s">
        <v>1235</v>
      </c>
      <c r="C30" s="180">
        <v>50</v>
      </c>
      <c r="D30" s="155" t="s">
        <v>50</v>
      </c>
    </row>
    <row r="31" spans="1:11" x14ac:dyDescent="0.3">
      <c r="A31" s="180">
        <v>50095</v>
      </c>
      <c r="B31" s="180" t="s">
        <v>1240</v>
      </c>
      <c r="C31" s="180">
        <v>50</v>
      </c>
      <c r="D31" s="155" t="s">
        <v>50</v>
      </c>
    </row>
    <row r="32" spans="1:11" x14ac:dyDescent="0.3">
      <c r="A32" s="180">
        <v>50098</v>
      </c>
      <c r="B32" s="180" t="s">
        <v>826</v>
      </c>
      <c r="C32" s="180">
        <v>50</v>
      </c>
      <c r="D32" s="155" t="s">
        <v>50</v>
      </c>
    </row>
    <row r="33" spans="1:11" x14ac:dyDescent="0.3">
      <c r="A33" s="180">
        <v>50106</v>
      </c>
      <c r="B33" s="180" t="s">
        <v>497</v>
      </c>
      <c r="C33" s="180">
        <v>50</v>
      </c>
      <c r="D33" s="155" t="s">
        <v>50</v>
      </c>
    </row>
    <row r="34" spans="1:11" x14ac:dyDescent="0.3">
      <c r="A34" s="180">
        <v>50461</v>
      </c>
      <c r="B34" s="180" t="s">
        <v>1254</v>
      </c>
      <c r="C34" s="180">
        <v>50</v>
      </c>
      <c r="D34" s="155" t="s">
        <v>50</v>
      </c>
    </row>
    <row r="35" spans="1:11" x14ac:dyDescent="0.3">
      <c r="A35" s="180">
        <v>50116</v>
      </c>
      <c r="B35" s="180" t="s">
        <v>828</v>
      </c>
      <c r="C35" s="180">
        <v>50</v>
      </c>
      <c r="D35" s="155" t="s">
        <v>50</v>
      </c>
    </row>
    <row r="36" spans="1:11" x14ac:dyDescent="0.3">
      <c r="A36" s="180">
        <v>50117</v>
      </c>
      <c r="B36" s="180" t="s">
        <v>1259</v>
      </c>
      <c r="C36" s="180">
        <v>50</v>
      </c>
      <c r="D36" s="155" t="s">
        <v>50</v>
      </c>
    </row>
    <row r="37" spans="1:11" x14ac:dyDescent="0.3">
      <c r="A37" s="180">
        <v>50121</v>
      </c>
      <c r="B37" s="527" t="s">
        <v>502</v>
      </c>
      <c r="C37" s="180">
        <v>50</v>
      </c>
      <c r="D37" s="155" t="s">
        <v>50</v>
      </c>
      <c r="K37" s="527"/>
    </row>
    <row r="38" spans="1:11" x14ac:dyDescent="0.3">
      <c r="A38" s="180">
        <v>50122</v>
      </c>
      <c r="B38" s="180" t="s">
        <v>503</v>
      </c>
      <c r="C38" s="180">
        <v>50</v>
      </c>
      <c r="D38" s="155" t="s">
        <v>50</v>
      </c>
    </row>
    <row r="39" spans="1:11" x14ac:dyDescent="0.3">
      <c r="A39" s="180">
        <v>50125</v>
      </c>
      <c r="B39" s="180" t="s">
        <v>504</v>
      </c>
      <c r="C39" s="180">
        <v>50</v>
      </c>
      <c r="D39" s="155" t="s">
        <v>50</v>
      </c>
    </row>
    <row r="40" spans="1:11" x14ac:dyDescent="0.3">
      <c r="A40" s="180">
        <v>50127</v>
      </c>
      <c r="B40" s="180" t="s">
        <v>830</v>
      </c>
      <c r="C40" s="180">
        <v>50</v>
      </c>
      <c r="D40" s="155" t="s">
        <v>50</v>
      </c>
    </row>
    <row r="41" spans="1:11" x14ac:dyDescent="0.3">
      <c r="A41" s="180">
        <v>50128</v>
      </c>
      <c r="B41" s="527" t="s">
        <v>506</v>
      </c>
      <c r="C41" s="180">
        <v>50</v>
      </c>
      <c r="D41" s="155" t="s">
        <v>50</v>
      </c>
      <c r="K41" s="527"/>
    </row>
    <row r="42" spans="1:11" x14ac:dyDescent="0.3">
      <c r="A42" s="180">
        <v>50129</v>
      </c>
      <c r="B42" s="180" t="s">
        <v>507</v>
      </c>
      <c r="C42" s="180">
        <v>50</v>
      </c>
      <c r="D42" s="155" t="s">
        <v>50</v>
      </c>
    </row>
    <row r="43" spans="1:11" x14ac:dyDescent="0.3">
      <c r="A43" s="180">
        <v>50130</v>
      </c>
      <c r="B43" s="180" t="s">
        <v>508</v>
      </c>
      <c r="C43" s="180">
        <v>50</v>
      </c>
      <c r="D43" s="155" t="s">
        <v>50</v>
      </c>
    </row>
    <row r="44" spans="1:11" x14ac:dyDescent="0.3">
      <c r="A44" s="180">
        <v>50570</v>
      </c>
      <c r="B44" s="180" t="s">
        <v>509</v>
      </c>
      <c r="C44" s="180">
        <v>50</v>
      </c>
      <c r="D44" s="155" t="s">
        <v>50</v>
      </c>
    </row>
    <row r="45" spans="1:11" x14ac:dyDescent="0.3">
      <c r="A45" s="180">
        <v>50137</v>
      </c>
      <c r="B45" s="180" t="s">
        <v>1275</v>
      </c>
      <c r="C45" s="180">
        <v>50</v>
      </c>
      <c r="D45" s="155" t="s">
        <v>50</v>
      </c>
    </row>
    <row r="46" spans="1:11" x14ac:dyDescent="0.3">
      <c r="A46" s="180">
        <v>50549</v>
      </c>
      <c r="B46" s="180" t="s">
        <v>1276</v>
      </c>
      <c r="C46" s="180">
        <v>50</v>
      </c>
      <c r="D46" s="155" t="s">
        <v>50</v>
      </c>
    </row>
    <row r="47" spans="1:11" x14ac:dyDescent="0.3">
      <c r="A47" s="180">
        <v>50141</v>
      </c>
      <c r="B47" s="180" t="s">
        <v>1280</v>
      </c>
      <c r="C47" s="180">
        <v>50</v>
      </c>
      <c r="D47" s="155" t="s">
        <v>50</v>
      </c>
    </row>
    <row r="48" spans="1:11" x14ac:dyDescent="0.3">
      <c r="A48" s="180">
        <v>50142</v>
      </c>
      <c r="B48" s="180" t="s">
        <v>511</v>
      </c>
      <c r="C48" s="180">
        <v>50</v>
      </c>
      <c r="D48" s="155" t="s">
        <v>50</v>
      </c>
    </row>
    <row r="49" spans="1:11" x14ac:dyDescent="0.3">
      <c r="A49" s="180">
        <v>50143</v>
      </c>
      <c r="B49" s="180" t="s">
        <v>512</v>
      </c>
      <c r="C49" s="180">
        <v>50</v>
      </c>
      <c r="D49" s="155" t="s">
        <v>50</v>
      </c>
    </row>
    <row r="50" spans="1:11" x14ac:dyDescent="0.3">
      <c r="A50" s="180">
        <v>50492</v>
      </c>
      <c r="B50" s="180" t="s">
        <v>1282</v>
      </c>
      <c r="C50" s="180">
        <v>50</v>
      </c>
      <c r="D50" s="155" t="s">
        <v>50</v>
      </c>
    </row>
    <row r="51" spans="1:11" x14ac:dyDescent="0.3">
      <c r="A51" s="180">
        <v>50148</v>
      </c>
      <c r="B51" s="180" t="s">
        <v>390</v>
      </c>
      <c r="C51" s="180">
        <v>50</v>
      </c>
      <c r="D51" s="155" t="s">
        <v>50</v>
      </c>
    </row>
    <row r="52" spans="1:11" x14ac:dyDescent="0.3">
      <c r="A52" s="180">
        <v>50151</v>
      </c>
      <c r="B52" s="180" t="s">
        <v>831</v>
      </c>
      <c r="C52" s="180">
        <v>50</v>
      </c>
      <c r="D52" s="155" t="s">
        <v>50</v>
      </c>
    </row>
    <row r="53" spans="1:11" x14ac:dyDescent="0.3">
      <c r="A53" s="180">
        <v>50153</v>
      </c>
      <c r="B53" s="180" t="s">
        <v>513</v>
      </c>
      <c r="C53" s="180">
        <v>50</v>
      </c>
      <c r="D53" s="155" t="s">
        <v>50</v>
      </c>
    </row>
    <row r="54" spans="1:11" x14ac:dyDescent="0.3">
      <c r="A54" s="180">
        <v>50154</v>
      </c>
      <c r="B54" s="527" t="s">
        <v>514</v>
      </c>
      <c r="C54" s="180">
        <v>50</v>
      </c>
      <c r="D54" s="155" t="s">
        <v>50</v>
      </c>
      <c r="K54" s="527"/>
    </row>
    <row r="55" spans="1:11" x14ac:dyDescent="0.3">
      <c r="A55" s="180">
        <v>50517</v>
      </c>
      <c r="B55" s="180" t="s">
        <v>832</v>
      </c>
      <c r="C55" s="180">
        <v>50</v>
      </c>
      <c r="D55" s="155" t="s">
        <v>50</v>
      </c>
    </row>
    <row r="56" spans="1:11" x14ac:dyDescent="0.3">
      <c r="A56" s="180">
        <v>50448</v>
      </c>
      <c r="B56" s="180" t="s">
        <v>515</v>
      </c>
      <c r="C56" s="180">
        <v>50</v>
      </c>
      <c r="D56" s="155" t="s">
        <v>50</v>
      </c>
    </row>
    <row r="57" spans="1:11" x14ac:dyDescent="0.3">
      <c r="A57" s="180">
        <v>50162</v>
      </c>
      <c r="B57" s="180" t="s">
        <v>1296</v>
      </c>
      <c r="C57" s="180">
        <v>50</v>
      </c>
      <c r="D57" s="155" t="s">
        <v>50</v>
      </c>
    </row>
    <row r="58" spans="1:11" x14ac:dyDescent="0.3">
      <c r="A58" s="180">
        <v>50163</v>
      </c>
      <c r="B58" s="180" t="s">
        <v>516</v>
      </c>
      <c r="C58" s="180">
        <v>50</v>
      </c>
      <c r="D58" s="155" t="s">
        <v>50</v>
      </c>
    </row>
    <row r="59" spans="1:11" x14ac:dyDescent="0.3">
      <c r="A59" s="180">
        <v>50166</v>
      </c>
      <c r="B59" s="180" t="s">
        <v>518</v>
      </c>
      <c r="C59" s="180">
        <v>50</v>
      </c>
      <c r="D59" s="155" t="s">
        <v>50</v>
      </c>
    </row>
    <row r="60" spans="1:11" x14ac:dyDescent="0.3">
      <c r="A60" s="180">
        <v>50171</v>
      </c>
      <c r="B60" s="527" t="s">
        <v>833</v>
      </c>
      <c r="C60" s="180">
        <v>50</v>
      </c>
      <c r="D60" s="155" t="s">
        <v>50</v>
      </c>
      <c r="K60" s="527"/>
    </row>
    <row r="61" spans="1:11" x14ac:dyDescent="0.3">
      <c r="A61" s="180">
        <v>50177</v>
      </c>
      <c r="B61" s="180" t="s">
        <v>835</v>
      </c>
      <c r="C61" s="180">
        <v>50</v>
      </c>
      <c r="D61" s="155" t="s">
        <v>50</v>
      </c>
    </row>
    <row r="62" spans="1:11" x14ac:dyDescent="0.3">
      <c r="A62" s="180">
        <v>50181</v>
      </c>
      <c r="B62" s="527" t="s">
        <v>1309</v>
      </c>
      <c r="C62" s="180">
        <v>50</v>
      </c>
      <c r="D62" s="155" t="s">
        <v>50</v>
      </c>
      <c r="K62" s="527"/>
    </row>
    <row r="63" spans="1:11" x14ac:dyDescent="0.3">
      <c r="A63" s="180">
        <v>50183</v>
      </c>
      <c r="B63" s="527" t="s">
        <v>520</v>
      </c>
      <c r="C63" s="180">
        <v>50</v>
      </c>
      <c r="D63" s="155" t="s">
        <v>50</v>
      </c>
      <c r="K63" s="527"/>
    </row>
    <row r="64" spans="1:11" x14ac:dyDescent="0.3">
      <c r="A64" s="180">
        <v>50188</v>
      </c>
      <c r="B64" s="180" t="s">
        <v>1314</v>
      </c>
      <c r="C64" s="180">
        <v>50</v>
      </c>
      <c r="D64" s="155" t="s">
        <v>50</v>
      </c>
    </row>
    <row r="65" spans="1:11" x14ac:dyDescent="0.3">
      <c r="A65" s="180">
        <v>50476</v>
      </c>
      <c r="B65" s="180" t="s">
        <v>436</v>
      </c>
      <c r="C65" s="180">
        <v>50</v>
      </c>
      <c r="D65" s="155" t="s">
        <v>50</v>
      </c>
    </row>
    <row r="66" spans="1:11" x14ac:dyDescent="0.3">
      <c r="A66" s="180">
        <v>50192</v>
      </c>
      <c r="B66" s="180" t="s">
        <v>437</v>
      </c>
      <c r="C66" s="180">
        <v>50</v>
      </c>
      <c r="D66" s="155" t="s">
        <v>50</v>
      </c>
    </row>
    <row r="67" spans="1:11" x14ac:dyDescent="0.3">
      <c r="A67" s="180">
        <v>50195</v>
      </c>
      <c r="B67" s="180" t="s">
        <v>1319</v>
      </c>
      <c r="C67" s="180">
        <v>50</v>
      </c>
      <c r="D67" s="155" t="s">
        <v>50</v>
      </c>
    </row>
    <row r="68" spans="1:11" x14ac:dyDescent="0.3">
      <c r="A68" s="180">
        <v>50198</v>
      </c>
      <c r="B68" s="180" t="s">
        <v>1323</v>
      </c>
      <c r="C68" s="180">
        <v>50</v>
      </c>
      <c r="D68" s="155" t="s">
        <v>50</v>
      </c>
    </row>
    <row r="69" spans="1:11" x14ac:dyDescent="0.3">
      <c r="A69" s="180">
        <v>50200</v>
      </c>
      <c r="B69" s="180" t="s">
        <v>1325</v>
      </c>
      <c r="C69" s="180">
        <v>50</v>
      </c>
      <c r="D69" s="155" t="s">
        <v>50</v>
      </c>
    </row>
    <row r="70" spans="1:11" x14ac:dyDescent="0.3">
      <c r="A70" s="180">
        <v>50518</v>
      </c>
      <c r="B70" s="180" t="s">
        <v>438</v>
      </c>
      <c r="C70" s="180">
        <v>50</v>
      </c>
      <c r="D70" s="155" t="s">
        <v>50</v>
      </c>
    </row>
    <row r="71" spans="1:11" x14ac:dyDescent="0.3">
      <c r="A71" s="180">
        <v>50211</v>
      </c>
      <c r="B71" s="180" t="s">
        <v>1339</v>
      </c>
      <c r="C71" s="180">
        <v>50</v>
      </c>
      <c r="D71" s="155" t="s">
        <v>50</v>
      </c>
    </row>
    <row r="72" spans="1:11" x14ac:dyDescent="0.3">
      <c r="A72" s="180">
        <v>50220</v>
      </c>
      <c r="B72" s="180" t="s">
        <v>1350</v>
      </c>
      <c r="C72" s="180">
        <v>50</v>
      </c>
      <c r="D72" s="155" t="s">
        <v>50</v>
      </c>
    </row>
    <row r="73" spans="1:11" x14ac:dyDescent="0.3">
      <c r="A73" s="180">
        <v>50222</v>
      </c>
      <c r="B73" s="180" t="s">
        <v>1353</v>
      </c>
      <c r="C73" s="180">
        <v>50</v>
      </c>
      <c r="D73" s="155" t="s">
        <v>50</v>
      </c>
    </row>
    <row r="74" spans="1:11" x14ac:dyDescent="0.3">
      <c r="A74" s="180">
        <v>50224</v>
      </c>
      <c r="B74" s="180" t="s">
        <v>1355</v>
      </c>
      <c r="C74" s="180">
        <v>50</v>
      </c>
      <c r="D74" s="155" t="s">
        <v>50</v>
      </c>
    </row>
    <row r="75" spans="1:11" x14ac:dyDescent="0.3">
      <c r="A75" s="180">
        <v>50227</v>
      </c>
      <c r="B75" s="180" t="s">
        <v>1358</v>
      </c>
      <c r="C75" s="180">
        <v>50</v>
      </c>
      <c r="D75" s="155" t="s">
        <v>50</v>
      </c>
    </row>
    <row r="76" spans="1:11" x14ac:dyDescent="0.3">
      <c r="A76" s="180">
        <v>50231</v>
      </c>
      <c r="B76" s="180" t="s">
        <v>439</v>
      </c>
      <c r="C76" s="180">
        <v>50</v>
      </c>
      <c r="D76" s="155" t="s">
        <v>50</v>
      </c>
    </row>
    <row r="77" spans="1:11" x14ac:dyDescent="0.3">
      <c r="A77" s="180">
        <v>50233</v>
      </c>
      <c r="B77" s="527" t="s">
        <v>440</v>
      </c>
      <c r="C77" s="180">
        <v>50</v>
      </c>
      <c r="D77" s="155" t="s">
        <v>50</v>
      </c>
      <c r="K77" s="527"/>
    </row>
    <row r="78" spans="1:11" x14ac:dyDescent="0.3">
      <c r="A78" s="180">
        <v>50235</v>
      </c>
      <c r="B78" s="180" t="s">
        <v>441</v>
      </c>
      <c r="C78" s="180">
        <v>50</v>
      </c>
      <c r="D78" s="155" t="s">
        <v>50</v>
      </c>
    </row>
    <row r="79" spans="1:11" x14ac:dyDescent="0.3">
      <c r="A79" s="180">
        <v>50236</v>
      </c>
      <c r="B79" s="527" t="s">
        <v>442</v>
      </c>
      <c r="C79" s="180">
        <v>50</v>
      </c>
      <c r="D79" s="155" t="s">
        <v>50</v>
      </c>
      <c r="K79" s="527"/>
    </row>
    <row r="80" spans="1:11" x14ac:dyDescent="0.3">
      <c r="A80" s="180">
        <v>50238</v>
      </c>
      <c r="B80" s="180" t="s">
        <v>1364</v>
      </c>
      <c r="C80" s="180">
        <v>50</v>
      </c>
      <c r="D80" s="155" t="s">
        <v>50</v>
      </c>
    </row>
    <row r="81" spans="1:11" x14ac:dyDescent="0.3">
      <c r="A81" s="180">
        <v>50239</v>
      </c>
      <c r="B81" s="527" t="s">
        <v>443</v>
      </c>
      <c r="C81" s="180">
        <v>50</v>
      </c>
      <c r="D81" s="155" t="s">
        <v>50</v>
      </c>
      <c r="K81" s="527"/>
    </row>
    <row r="82" spans="1:11" x14ac:dyDescent="0.3">
      <c r="A82" s="180">
        <v>50245</v>
      </c>
      <c r="B82" s="180" t="s">
        <v>1372</v>
      </c>
      <c r="C82" s="180">
        <v>50</v>
      </c>
      <c r="D82" s="155" t="s">
        <v>50</v>
      </c>
    </row>
    <row r="83" spans="1:11" x14ac:dyDescent="0.3">
      <c r="A83" s="180">
        <v>50249</v>
      </c>
      <c r="B83" s="180" t="s">
        <v>444</v>
      </c>
      <c r="C83" s="180">
        <v>50</v>
      </c>
      <c r="D83" s="155" t="s">
        <v>50</v>
      </c>
    </row>
    <row r="84" spans="1:11" x14ac:dyDescent="0.3">
      <c r="A84" s="180">
        <v>50454</v>
      </c>
      <c r="B84" s="180" t="s">
        <v>1381</v>
      </c>
      <c r="C84" s="180">
        <v>50</v>
      </c>
      <c r="D84" s="155" t="s">
        <v>50</v>
      </c>
    </row>
    <row r="85" spans="1:11" x14ac:dyDescent="0.3">
      <c r="A85" s="180">
        <v>50254</v>
      </c>
      <c r="B85" s="180" t="s">
        <v>836</v>
      </c>
      <c r="C85" s="180">
        <v>50</v>
      </c>
      <c r="D85" s="155" t="s">
        <v>50</v>
      </c>
    </row>
    <row r="86" spans="1:11" x14ac:dyDescent="0.3">
      <c r="A86" s="180">
        <v>50256</v>
      </c>
      <c r="B86" s="180" t="s">
        <v>1382</v>
      </c>
      <c r="C86" s="180">
        <v>50</v>
      </c>
      <c r="D86" s="155" t="s">
        <v>50</v>
      </c>
    </row>
    <row r="87" spans="1:11" x14ac:dyDescent="0.3">
      <c r="A87" s="180">
        <v>50257</v>
      </c>
      <c r="B87" s="180" t="s">
        <v>524</v>
      </c>
      <c r="C87" s="180">
        <v>50</v>
      </c>
      <c r="D87" s="155" t="s">
        <v>50</v>
      </c>
    </row>
    <row r="88" spans="1:11" x14ac:dyDescent="0.3">
      <c r="A88" s="180">
        <v>50260</v>
      </c>
      <c r="B88" s="180" t="s">
        <v>525</v>
      </c>
      <c r="C88" s="180">
        <v>50</v>
      </c>
      <c r="D88" s="155" t="s">
        <v>50</v>
      </c>
    </row>
    <row r="89" spans="1:11" x14ac:dyDescent="0.3">
      <c r="A89" s="180">
        <v>50265</v>
      </c>
      <c r="B89" s="180" t="s">
        <v>1397</v>
      </c>
      <c r="C89" s="180">
        <v>50</v>
      </c>
      <c r="D89" s="155" t="s">
        <v>50</v>
      </c>
    </row>
    <row r="90" spans="1:11" x14ac:dyDescent="0.3">
      <c r="A90" s="180">
        <v>50269</v>
      </c>
      <c r="B90" s="180" t="s">
        <v>526</v>
      </c>
      <c r="C90" s="180">
        <v>50</v>
      </c>
      <c r="D90" s="155" t="s">
        <v>50</v>
      </c>
    </row>
    <row r="91" spans="1:11" x14ac:dyDescent="0.3">
      <c r="A91" s="180">
        <v>50480</v>
      </c>
      <c r="B91" s="180" t="s">
        <v>527</v>
      </c>
      <c r="C91" s="180">
        <v>50</v>
      </c>
      <c r="D91" s="155" t="s">
        <v>50</v>
      </c>
    </row>
    <row r="92" spans="1:11" x14ac:dyDescent="0.3">
      <c r="A92" s="180">
        <v>50276</v>
      </c>
      <c r="B92" s="527" t="s">
        <v>1407</v>
      </c>
      <c r="C92" s="180">
        <v>50</v>
      </c>
      <c r="D92" s="155" t="s">
        <v>50</v>
      </c>
      <c r="K92" s="527"/>
    </row>
    <row r="93" spans="1:11" x14ac:dyDescent="0.3">
      <c r="A93" s="180">
        <v>50278</v>
      </c>
      <c r="B93" s="180" t="s">
        <v>528</v>
      </c>
      <c r="C93" s="180">
        <v>50</v>
      </c>
      <c r="D93" s="155" t="s">
        <v>50</v>
      </c>
    </row>
    <row r="94" spans="1:11" x14ac:dyDescent="0.3">
      <c r="A94" s="180">
        <v>50280</v>
      </c>
      <c r="B94" s="180" t="s">
        <v>529</v>
      </c>
      <c r="C94" s="180">
        <v>50</v>
      </c>
      <c r="D94" s="155" t="s">
        <v>50</v>
      </c>
    </row>
    <row r="95" spans="1:11" x14ac:dyDescent="0.3">
      <c r="A95" s="180">
        <v>50281</v>
      </c>
      <c r="B95" s="180" t="s">
        <v>530</v>
      </c>
      <c r="C95" s="180">
        <v>50</v>
      </c>
      <c r="D95" s="155" t="s">
        <v>50</v>
      </c>
    </row>
    <row r="96" spans="1:11" x14ac:dyDescent="0.3">
      <c r="A96" s="180">
        <v>50283</v>
      </c>
      <c r="B96" s="180" t="s">
        <v>533</v>
      </c>
      <c r="C96" s="180">
        <v>50</v>
      </c>
      <c r="D96" s="155" t="s">
        <v>50</v>
      </c>
    </row>
    <row r="97" spans="1:11" x14ac:dyDescent="0.3">
      <c r="A97" s="180">
        <v>50285</v>
      </c>
      <c r="B97" s="180" t="s">
        <v>534</v>
      </c>
      <c r="C97" s="180">
        <v>50</v>
      </c>
      <c r="D97" s="155" t="s">
        <v>50</v>
      </c>
    </row>
    <row r="98" spans="1:11" x14ac:dyDescent="0.3">
      <c r="A98" s="180">
        <v>50288</v>
      </c>
      <c r="B98" s="180" t="s">
        <v>1417</v>
      </c>
      <c r="C98" s="180">
        <v>50</v>
      </c>
      <c r="D98" s="155" t="s">
        <v>50</v>
      </c>
    </row>
    <row r="99" spans="1:11" x14ac:dyDescent="0.3">
      <c r="A99" s="180">
        <v>50291</v>
      </c>
      <c r="B99" s="180" t="s">
        <v>1421</v>
      </c>
      <c r="C99" s="180">
        <v>50</v>
      </c>
      <c r="D99" s="155" t="s">
        <v>50</v>
      </c>
    </row>
    <row r="100" spans="1:11" x14ac:dyDescent="0.3">
      <c r="A100" s="180">
        <v>50293</v>
      </c>
      <c r="B100" s="180" t="s">
        <v>1423</v>
      </c>
      <c r="C100" s="180">
        <v>50</v>
      </c>
      <c r="D100" s="155" t="s">
        <v>50</v>
      </c>
    </row>
    <row r="101" spans="1:11" x14ac:dyDescent="0.3">
      <c r="A101" s="180">
        <v>50296</v>
      </c>
      <c r="B101" s="180" t="s">
        <v>536</v>
      </c>
      <c r="C101" s="180">
        <v>50</v>
      </c>
      <c r="D101" s="155" t="s">
        <v>50</v>
      </c>
    </row>
    <row r="102" spans="1:11" x14ac:dyDescent="0.3">
      <c r="A102" s="180">
        <v>50297</v>
      </c>
      <c r="B102" s="180" t="s">
        <v>537</v>
      </c>
      <c r="C102" s="180">
        <v>50</v>
      </c>
      <c r="D102" s="155" t="s">
        <v>50</v>
      </c>
    </row>
    <row r="103" spans="1:11" x14ac:dyDescent="0.3">
      <c r="A103" s="180">
        <v>50301</v>
      </c>
      <c r="B103" s="180" t="s">
        <v>1432</v>
      </c>
      <c r="C103" s="180">
        <v>50</v>
      </c>
      <c r="D103" s="155" t="s">
        <v>50</v>
      </c>
    </row>
    <row r="104" spans="1:11" x14ac:dyDescent="0.3">
      <c r="A104" s="180">
        <v>50305</v>
      </c>
      <c r="B104" s="180" t="s">
        <v>840</v>
      </c>
      <c r="C104" s="180">
        <v>50</v>
      </c>
      <c r="D104" s="155" t="s">
        <v>50</v>
      </c>
    </row>
    <row r="105" spans="1:11" x14ac:dyDescent="0.3">
      <c r="A105" s="180">
        <v>50479</v>
      </c>
      <c r="B105" s="180" t="s">
        <v>538</v>
      </c>
      <c r="C105" s="180">
        <v>50</v>
      </c>
      <c r="D105" s="155" t="s">
        <v>50</v>
      </c>
    </row>
    <row r="106" spans="1:11" x14ac:dyDescent="0.3">
      <c r="A106" s="180">
        <v>50307</v>
      </c>
      <c r="B106" s="527" t="s">
        <v>539</v>
      </c>
      <c r="C106" s="180">
        <v>50</v>
      </c>
      <c r="D106" s="155" t="s">
        <v>50</v>
      </c>
      <c r="K106" s="527"/>
    </row>
    <row r="107" spans="1:11" x14ac:dyDescent="0.3">
      <c r="A107" s="180">
        <v>50308</v>
      </c>
      <c r="B107" s="180" t="s">
        <v>1438</v>
      </c>
      <c r="C107" s="180">
        <v>50</v>
      </c>
      <c r="D107" s="155" t="s">
        <v>50</v>
      </c>
    </row>
    <row r="108" spans="1:11" x14ac:dyDescent="0.3">
      <c r="A108" s="180">
        <v>50310</v>
      </c>
      <c r="B108" s="527" t="s">
        <v>540</v>
      </c>
      <c r="C108" s="180">
        <v>50</v>
      </c>
      <c r="D108" s="155" t="s">
        <v>50</v>
      </c>
      <c r="K108" s="527"/>
    </row>
    <row r="109" spans="1:11" x14ac:dyDescent="0.3">
      <c r="A109" s="180">
        <v>50311</v>
      </c>
      <c r="B109" s="527" t="s">
        <v>541</v>
      </c>
      <c r="C109" s="180">
        <v>50</v>
      </c>
      <c r="D109" s="155" t="s">
        <v>50</v>
      </c>
      <c r="K109" s="527"/>
    </row>
    <row r="110" spans="1:11" x14ac:dyDescent="0.3">
      <c r="A110" s="180">
        <v>50314</v>
      </c>
      <c r="B110" s="180" t="s">
        <v>542</v>
      </c>
      <c r="C110" s="180">
        <v>50</v>
      </c>
      <c r="D110" s="155" t="s">
        <v>50</v>
      </c>
    </row>
    <row r="111" spans="1:11" x14ac:dyDescent="0.3">
      <c r="A111" s="180">
        <v>50316</v>
      </c>
      <c r="B111" s="180" t="s">
        <v>543</v>
      </c>
      <c r="C111" s="180">
        <v>50</v>
      </c>
      <c r="D111" s="155" t="s">
        <v>50</v>
      </c>
    </row>
    <row r="112" spans="1:11" x14ac:dyDescent="0.3">
      <c r="A112" s="180">
        <v>50318</v>
      </c>
      <c r="B112" s="180" t="s">
        <v>544</v>
      </c>
      <c r="C112" s="180">
        <v>50</v>
      </c>
      <c r="D112" s="155" t="s">
        <v>50</v>
      </c>
    </row>
    <row r="113" spans="1:11" x14ac:dyDescent="0.3">
      <c r="A113" s="180">
        <v>50323</v>
      </c>
      <c r="B113" s="180" t="s">
        <v>545</v>
      </c>
      <c r="C113" s="180">
        <v>50</v>
      </c>
      <c r="D113" s="155" t="s">
        <v>50</v>
      </c>
    </row>
    <row r="114" spans="1:11" x14ac:dyDescent="0.3">
      <c r="A114" s="180">
        <v>50321</v>
      </c>
      <c r="B114" s="180" t="s">
        <v>841</v>
      </c>
      <c r="C114" s="180">
        <v>50</v>
      </c>
      <c r="D114" s="155" t="s">
        <v>50</v>
      </c>
    </row>
    <row r="115" spans="1:11" x14ac:dyDescent="0.3">
      <c r="A115" s="180">
        <v>50325</v>
      </c>
      <c r="B115" s="527" t="s">
        <v>546</v>
      </c>
      <c r="C115" s="180">
        <v>50</v>
      </c>
      <c r="D115" s="155" t="s">
        <v>50</v>
      </c>
      <c r="K115" s="527"/>
    </row>
    <row r="116" spans="1:11" x14ac:dyDescent="0.3">
      <c r="A116" s="180">
        <v>50327</v>
      </c>
      <c r="B116" s="180" t="s">
        <v>547</v>
      </c>
      <c r="C116" s="180">
        <v>50</v>
      </c>
      <c r="D116" s="155" t="s">
        <v>50</v>
      </c>
    </row>
    <row r="117" spans="1:11" x14ac:dyDescent="0.3">
      <c r="A117" s="180">
        <v>50332</v>
      </c>
      <c r="B117" s="180" t="s">
        <v>548</v>
      </c>
      <c r="C117" s="180">
        <v>50</v>
      </c>
      <c r="D117" s="155" t="s">
        <v>50</v>
      </c>
    </row>
    <row r="118" spans="1:11" x14ac:dyDescent="0.3">
      <c r="A118" s="180">
        <v>50335</v>
      </c>
      <c r="B118" s="180" t="s">
        <v>1457</v>
      </c>
      <c r="C118" s="180">
        <v>50</v>
      </c>
      <c r="D118" s="155" t="s">
        <v>50</v>
      </c>
    </row>
    <row r="119" spans="1:11" x14ac:dyDescent="0.3">
      <c r="A119" s="180">
        <v>50337</v>
      </c>
      <c r="B119" s="180" t="s">
        <v>844</v>
      </c>
      <c r="C119" s="180">
        <v>50</v>
      </c>
      <c r="D119" s="155" t="s">
        <v>50</v>
      </c>
    </row>
    <row r="120" spans="1:11" x14ac:dyDescent="0.3">
      <c r="A120" s="180">
        <v>50338</v>
      </c>
      <c r="B120" s="180" t="s">
        <v>845</v>
      </c>
      <c r="C120" s="180">
        <v>50</v>
      </c>
      <c r="D120" s="155" t="s">
        <v>50</v>
      </c>
    </row>
    <row r="121" spans="1:11" x14ac:dyDescent="0.3">
      <c r="A121" s="180">
        <v>50339</v>
      </c>
      <c r="B121" s="180" t="s">
        <v>1458</v>
      </c>
      <c r="C121" s="180">
        <v>50</v>
      </c>
      <c r="D121" s="155" t="s">
        <v>50</v>
      </c>
    </row>
    <row r="122" spans="1:11" x14ac:dyDescent="0.3">
      <c r="A122" s="180">
        <v>50348</v>
      </c>
      <c r="B122" s="180" t="s">
        <v>550</v>
      </c>
      <c r="C122" s="180">
        <v>50</v>
      </c>
      <c r="D122" s="155" t="s">
        <v>50</v>
      </c>
    </row>
    <row r="123" spans="1:11" x14ac:dyDescent="0.3">
      <c r="A123" s="180">
        <v>50355</v>
      </c>
      <c r="B123" s="527" t="s">
        <v>552</v>
      </c>
      <c r="C123" s="180">
        <v>50</v>
      </c>
      <c r="D123" s="155" t="s">
        <v>50</v>
      </c>
      <c r="K123" s="527"/>
    </row>
    <row r="124" spans="1:11" x14ac:dyDescent="0.3">
      <c r="A124" s="180">
        <v>50357</v>
      </c>
      <c r="B124" s="180" t="s">
        <v>847</v>
      </c>
      <c r="C124" s="180">
        <v>50</v>
      </c>
      <c r="D124" s="155" t="s">
        <v>50</v>
      </c>
    </row>
    <row r="125" spans="1:11" x14ac:dyDescent="0.3">
      <c r="A125" s="180">
        <v>50365</v>
      </c>
      <c r="B125" s="180" t="s">
        <v>1485</v>
      </c>
      <c r="C125" s="180">
        <v>50</v>
      </c>
      <c r="D125" s="155" t="s">
        <v>50</v>
      </c>
    </row>
    <row r="126" spans="1:11" x14ac:dyDescent="0.3">
      <c r="A126" s="180">
        <v>50366</v>
      </c>
      <c r="B126" s="180" t="s">
        <v>1486</v>
      </c>
      <c r="C126" s="180">
        <v>50</v>
      </c>
      <c r="D126" s="155" t="s">
        <v>50</v>
      </c>
    </row>
    <row r="127" spans="1:11" x14ac:dyDescent="0.3">
      <c r="A127" s="180">
        <v>50369</v>
      </c>
      <c r="B127" s="527" t="s">
        <v>1488</v>
      </c>
      <c r="C127" s="180">
        <v>50</v>
      </c>
      <c r="D127" s="155" t="s">
        <v>50</v>
      </c>
      <c r="K127" s="527"/>
    </row>
    <row r="128" spans="1:11" x14ac:dyDescent="0.3">
      <c r="A128" s="180">
        <v>50370</v>
      </c>
      <c r="B128" s="180" t="s">
        <v>554</v>
      </c>
      <c r="C128" s="180">
        <v>50</v>
      </c>
      <c r="D128" s="155" t="s">
        <v>50</v>
      </c>
    </row>
    <row r="129" spans="1:11" x14ac:dyDescent="0.3">
      <c r="A129" s="180">
        <v>50371</v>
      </c>
      <c r="B129" s="180" t="s">
        <v>1489</v>
      </c>
      <c r="C129" s="180">
        <v>50</v>
      </c>
      <c r="D129" s="155" t="s">
        <v>50</v>
      </c>
    </row>
    <row r="130" spans="1:11" x14ac:dyDescent="0.3">
      <c r="A130" s="180">
        <v>50343</v>
      </c>
      <c r="B130" s="180" t="s">
        <v>1057</v>
      </c>
      <c r="C130" s="180">
        <v>50</v>
      </c>
      <c r="D130" s="155" t="s">
        <v>50</v>
      </c>
    </row>
    <row r="131" spans="1:11" x14ac:dyDescent="0.3">
      <c r="A131" s="180">
        <v>50372</v>
      </c>
      <c r="B131" s="527" t="s">
        <v>1058</v>
      </c>
      <c r="C131" s="180">
        <v>50</v>
      </c>
      <c r="D131" s="155" t="s">
        <v>50</v>
      </c>
      <c r="K131" s="527"/>
    </row>
    <row r="132" spans="1:11" x14ac:dyDescent="0.3">
      <c r="A132" s="180">
        <v>50457</v>
      </c>
      <c r="B132" s="180" t="s">
        <v>1059</v>
      </c>
      <c r="C132" s="180">
        <v>50</v>
      </c>
      <c r="D132" s="155" t="s">
        <v>50</v>
      </c>
    </row>
    <row r="133" spans="1:11" x14ac:dyDescent="0.3">
      <c r="A133" s="180">
        <v>50375</v>
      </c>
      <c r="B133" s="527" t="s">
        <v>1061</v>
      </c>
      <c r="C133" s="180">
        <v>50</v>
      </c>
      <c r="D133" s="155" t="s">
        <v>50</v>
      </c>
      <c r="K133" s="527"/>
    </row>
    <row r="134" spans="1:11" x14ac:dyDescent="0.3">
      <c r="A134" s="180">
        <v>50376</v>
      </c>
      <c r="B134" s="527" t="s">
        <v>1062</v>
      </c>
      <c r="C134" s="180">
        <v>50</v>
      </c>
      <c r="D134" s="155" t="s">
        <v>50</v>
      </c>
      <c r="K134" s="527"/>
    </row>
    <row r="135" spans="1:11" x14ac:dyDescent="0.3">
      <c r="A135" s="180">
        <v>50380</v>
      </c>
      <c r="B135" s="180" t="s">
        <v>1067</v>
      </c>
      <c r="C135" s="180">
        <v>50</v>
      </c>
      <c r="D135" s="155" t="s">
        <v>50</v>
      </c>
    </row>
    <row r="136" spans="1:11" x14ac:dyDescent="0.3">
      <c r="A136" s="180">
        <v>50389</v>
      </c>
      <c r="B136" s="180" t="s">
        <v>555</v>
      </c>
      <c r="C136" s="180">
        <v>50</v>
      </c>
      <c r="D136" s="155" t="s">
        <v>50</v>
      </c>
    </row>
    <row r="137" spans="1:11" x14ac:dyDescent="0.3">
      <c r="A137" s="180">
        <v>50500</v>
      </c>
      <c r="B137" s="527" t="s">
        <v>556</v>
      </c>
      <c r="C137" s="180">
        <v>50</v>
      </c>
      <c r="D137" s="155" t="s">
        <v>50</v>
      </c>
      <c r="K137" s="527"/>
    </row>
    <row r="138" spans="1:11" x14ac:dyDescent="0.3">
      <c r="A138" s="180">
        <v>50544</v>
      </c>
      <c r="B138" s="527" t="s">
        <v>1083</v>
      </c>
      <c r="C138" s="180">
        <v>50</v>
      </c>
      <c r="D138" s="155" t="s">
        <v>50</v>
      </c>
      <c r="K138" s="527"/>
    </row>
    <row r="139" spans="1:11" x14ac:dyDescent="0.3">
      <c r="A139" s="180">
        <v>50396</v>
      </c>
      <c r="B139" s="180" t="s">
        <v>557</v>
      </c>
      <c r="C139" s="180">
        <v>50</v>
      </c>
      <c r="D139" s="155" t="s">
        <v>50</v>
      </c>
    </row>
    <row r="140" spans="1:11" x14ac:dyDescent="0.3">
      <c r="A140" s="180">
        <v>50397</v>
      </c>
      <c r="B140" s="527" t="s">
        <v>1086</v>
      </c>
      <c r="C140" s="180">
        <v>50</v>
      </c>
      <c r="D140" s="155" t="s">
        <v>50</v>
      </c>
      <c r="K140" s="527"/>
    </row>
    <row r="141" spans="1:11" x14ac:dyDescent="0.3">
      <c r="A141" s="180">
        <v>50399</v>
      </c>
      <c r="B141" s="180" t="s">
        <v>559</v>
      </c>
      <c r="C141" s="180">
        <v>50</v>
      </c>
      <c r="D141" s="155" t="s">
        <v>50</v>
      </c>
    </row>
    <row r="142" spans="1:11" x14ac:dyDescent="0.3">
      <c r="A142" s="180">
        <v>50403</v>
      </c>
      <c r="B142" s="180" t="s">
        <v>1092</v>
      </c>
      <c r="C142" s="180">
        <v>50</v>
      </c>
      <c r="D142" s="155" t="s">
        <v>50</v>
      </c>
    </row>
    <row r="143" spans="1:11" x14ac:dyDescent="0.3">
      <c r="A143" s="180">
        <v>50486</v>
      </c>
      <c r="B143" s="180" t="s">
        <v>853</v>
      </c>
      <c r="C143" s="180">
        <v>50</v>
      </c>
      <c r="D143" s="155" t="s">
        <v>50</v>
      </c>
    </row>
    <row r="144" spans="1:11" x14ac:dyDescent="0.3">
      <c r="A144" s="180">
        <v>50408</v>
      </c>
      <c r="B144" s="180" t="s">
        <v>1098</v>
      </c>
      <c r="C144" s="180">
        <v>50</v>
      </c>
      <c r="D144" s="155" t="s">
        <v>50</v>
      </c>
    </row>
    <row r="145" spans="1:11" x14ac:dyDescent="0.3">
      <c r="A145" s="180">
        <v>50409</v>
      </c>
      <c r="B145" s="180" t="s">
        <v>854</v>
      </c>
      <c r="C145" s="180">
        <v>50</v>
      </c>
      <c r="D145" s="155" t="s">
        <v>50</v>
      </c>
    </row>
    <row r="146" spans="1:11" x14ac:dyDescent="0.3">
      <c r="A146" s="180">
        <v>50420</v>
      </c>
      <c r="B146" s="180" t="s">
        <v>561</v>
      </c>
      <c r="C146" s="180">
        <v>50</v>
      </c>
      <c r="D146" s="155" t="s">
        <v>50</v>
      </c>
    </row>
    <row r="147" spans="1:11" x14ac:dyDescent="0.3">
      <c r="A147" s="180">
        <v>50421</v>
      </c>
      <c r="B147" s="180" t="s">
        <v>855</v>
      </c>
      <c r="C147" s="180">
        <v>50</v>
      </c>
      <c r="D147" s="155" t="s">
        <v>50</v>
      </c>
    </row>
    <row r="148" spans="1:11" x14ac:dyDescent="0.3">
      <c r="A148" s="180">
        <v>50423</v>
      </c>
      <c r="B148" s="180" t="s">
        <v>562</v>
      </c>
      <c r="C148" s="180">
        <v>50</v>
      </c>
      <c r="D148" s="155" t="s">
        <v>50</v>
      </c>
    </row>
    <row r="149" spans="1:11" x14ac:dyDescent="0.3">
      <c r="A149" s="180">
        <v>50428</v>
      </c>
      <c r="B149" s="180" t="s">
        <v>1120</v>
      </c>
      <c r="C149" s="180">
        <v>50</v>
      </c>
      <c r="D149" s="155" t="s">
        <v>50</v>
      </c>
    </row>
    <row r="150" spans="1:11" x14ac:dyDescent="0.3">
      <c r="A150" s="180">
        <v>50499</v>
      </c>
      <c r="B150" s="180" t="s">
        <v>857</v>
      </c>
      <c r="C150" s="180">
        <v>50</v>
      </c>
      <c r="D150" s="155" t="s">
        <v>50</v>
      </c>
    </row>
    <row r="151" spans="1:11" x14ac:dyDescent="0.3">
      <c r="A151" s="180">
        <v>5103</v>
      </c>
      <c r="B151" s="180" t="s">
        <v>478</v>
      </c>
      <c r="C151" s="180">
        <v>51</v>
      </c>
      <c r="D151" s="155" t="s">
        <v>50</v>
      </c>
    </row>
    <row r="152" spans="1:11" x14ac:dyDescent="0.3">
      <c r="A152" s="180">
        <v>5107</v>
      </c>
      <c r="B152" s="528" t="s">
        <v>484</v>
      </c>
      <c r="C152" s="180">
        <v>51</v>
      </c>
      <c r="D152" s="155" t="s">
        <v>50</v>
      </c>
      <c r="K152" s="528"/>
    </row>
    <row r="153" spans="1:11" x14ac:dyDescent="0.3">
      <c r="A153" s="180">
        <v>5116</v>
      </c>
      <c r="B153" s="528" t="s">
        <v>858</v>
      </c>
      <c r="C153" s="180">
        <v>51</v>
      </c>
      <c r="D153" s="155" t="s">
        <v>50</v>
      </c>
      <c r="K153" s="528"/>
    </row>
    <row r="154" spans="1:11" x14ac:dyDescent="0.3">
      <c r="A154" s="180">
        <v>5119</v>
      </c>
      <c r="B154" s="180" t="s">
        <v>859</v>
      </c>
      <c r="C154" s="180">
        <v>51</v>
      </c>
      <c r="D154" s="155" t="s">
        <v>50</v>
      </c>
    </row>
    <row r="155" spans="1:11" x14ac:dyDescent="0.3">
      <c r="A155" s="180">
        <v>5123</v>
      </c>
      <c r="B155" s="527" t="s">
        <v>860</v>
      </c>
      <c r="C155" s="180">
        <v>51</v>
      </c>
      <c r="D155" s="155" t="s">
        <v>50</v>
      </c>
      <c r="K155" s="527"/>
    </row>
    <row r="156" spans="1:11" x14ac:dyDescent="0.3">
      <c r="A156" s="180">
        <v>5132</v>
      </c>
      <c r="B156" s="180" t="s">
        <v>501</v>
      </c>
      <c r="C156" s="180">
        <v>51</v>
      </c>
      <c r="D156" s="155" t="s">
        <v>50</v>
      </c>
    </row>
    <row r="157" spans="1:11" x14ac:dyDescent="0.3">
      <c r="A157" s="180">
        <v>5147</v>
      </c>
      <c r="B157" s="180" t="s">
        <v>523</v>
      </c>
      <c r="C157" s="180">
        <v>51</v>
      </c>
      <c r="D157" s="155" t="s">
        <v>50</v>
      </c>
    </row>
    <row r="158" spans="1:11" x14ac:dyDescent="0.3">
      <c r="A158" s="180">
        <v>5157</v>
      </c>
      <c r="B158" s="527" t="s">
        <v>861</v>
      </c>
      <c r="C158" s="180">
        <v>51</v>
      </c>
      <c r="D158" s="155" t="s">
        <v>50</v>
      </c>
      <c r="K158" s="527"/>
    </row>
    <row r="159" spans="1:11" x14ac:dyDescent="0.3">
      <c r="A159" s="180">
        <v>5165</v>
      </c>
      <c r="B159" s="180" t="s">
        <v>532</v>
      </c>
      <c r="C159" s="180">
        <v>51</v>
      </c>
      <c r="D159" s="155" t="s">
        <v>50</v>
      </c>
    </row>
    <row r="160" spans="1:11" x14ac:dyDescent="0.3">
      <c r="A160" s="180">
        <v>5170</v>
      </c>
      <c r="B160" s="527" t="s">
        <v>535</v>
      </c>
      <c r="C160" s="180">
        <v>51</v>
      </c>
      <c r="D160" s="155" t="s">
        <v>50</v>
      </c>
      <c r="K160" s="527"/>
    </row>
    <row r="161" spans="1:4" x14ac:dyDescent="0.3">
      <c r="A161" s="180">
        <v>5182</v>
      </c>
      <c r="B161" s="180" t="s">
        <v>549</v>
      </c>
      <c r="C161" s="180">
        <v>51</v>
      </c>
      <c r="D161" s="714" t="s">
        <v>50</v>
      </c>
    </row>
    <row r="162" spans="1:4" x14ac:dyDescent="0.3">
      <c r="A162" s="180">
        <v>5188</v>
      </c>
      <c r="B162" s="180" t="s">
        <v>558</v>
      </c>
      <c r="C162" s="180">
        <v>51</v>
      </c>
      <c r="D162" s="714" t="s">
        <v>50</v>
      </c>
    </row>
    <row r="163" spans="1:4" x14ac:dyDescent="0.3">
      <c r="A163" s="180">
        <v>591706</v>
      </c>
      <c r="B163" s="180" t="s">
        <v>862</v>
      </c>
      <c r="C163" s="180">
        <v>59</v>
      </c>
      <c r="D163" s="714" t="s">
        <v>50</v>
      </c>
    </row>
    <row r="164" spans="1:4" x14ac:dyDescent="0.3">
      <c r="A164" s="180">
        <v>591604</v>
      </c>
      <c r="B164" s="180" t="s">
        <v>493</v>
      </c>
      <c r="C164" s="180">
        <v>59</v>
      </c>
      <c r="D164" s="714" t="s">
        <v>50</v>
      </c>
    </row>
    <row r="165" spans="1:4" x14ac:dyDescent="0.3">
      <c r="A165" s="180">
        <v>591632</v>
      </c>
      <c r="B165" s="180" t="s">
        <v>505</v>
      </c>
      <c r="C165" s="180">
        <v>59</v>
      </c>
      <c r="D165" s="714" t="s">
        <v>50</v>
      </c>
    </row>
    <row r="166" spans="1:4" x14ac:dyDescent="0.3">
      <c r="A166" s="180">
        <v>591633</v>
      </c>
      <c r="B166" s="180" t="s">
        <v>863</v>
      </c>
      <c r="C166" s="180">
        <v>59</v>
      </c>
      <c r="D166" s="714" t="s">
        <v>50</v>
      </c>
    </row>
    <row r="167" spans="1:4" x14ac:dyDescent="0.3">
      <c r="A167" s="180">
        <v>591627</v>
      </c>
      <c r="B167" s="180" t="s">
        <v>1601</v>
      </c>
      <c r="C167" s="180">
        <v>59</v>
      </c>
      <c r="D167" s="714" t="s">
        <v>50</v>
      </c>
    </row>
    <row r="168" spans="1:4" x14ac:dyDescent="0.3">
      <c r="A168" s="180">
        <v>591629</v>
      </c>
      <c r="B168" s="180" t="s">
        <v>1602</v>
      </c>
      <c r="C168" s="180">
        <v>59</v>
      </c>
      <c r="D168" s="714" t="s">
        <v>50</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filterMode="1"/>
  <dimension ref="A1:M109"/>
  <sheetViews>
    <sheetView workbookViewId="0">
      <selection activeCell="E117" sqref="E117"/>
    </sheetView>
  </sheetViews>
  <sheetFormatPr defaultRowHeight="14.4" x14ac:dyDescent="0.3"/>
  <cols>
    <col min="1" max="1" width="20.6640625" style="613" customWidth="1"/>
    <col min="2" max="2" width="24.6640625" style="613" customWidth="1"/>
    <col min="3" max="3" width="11.33203125" style="808" customWidth="1"/>
    <col min="4" max="4" width="12.109375" style="614" customWidth="1"/>
    <col min="5" max="5" width="14.33203125" style="614" customWidth="1"/>
    <col min="6" max="6" width="3.44140625" style="613" customWidth="1"/>
    <col min="7" max="7" width="17.33203125" style="613" customWidth="1"/>
    <col min="8" max="8" width="2.109375" style="613" customWidth="1"/>
    <col min="9" max="9" width="7.5546875" style="808" customWidth="1"/>
    <col min="10" max="10" width="12.109375" style="614" customWidth="1"/>
    <col min="11" max="11" width="14.33203125" style="614" customWidth="1"/>
    <col min="12" max="251" width="8.88671875" style="613"/>
    <col min="252" max="252" width="15.88671875" style="613" customWidth="1"/>
    <col min="253" max="253" width="2.109375" style="613" customWidth="1"/>
    <col min="254" max="254" width="7.5546875" style="613" customWidth="1"/>
    <col min="255" max="255" width="12.109375" style="613" customWidth="1"/>
    <col min="256" max="256" width="14.33203125" style="613" customWidth="1"/>
    <col min="257" max="257" width="3.44140625" style="613" customWidth="1"/>
    <col min="258" max="258" width="17.33203125" style="613" customWidth="1"/>
    <col min="259" max="259" width="2.109375" style="613" customWidth="1"/>
    <col min="260" max="260" width="7.5546875" style="613" customWidth="1"/>
    <col min="261" max="261" width="12.109375" style="613" customWidth="1"/>
    <col min="262" max="262" width="14.33203125" style="613" customWidth="1"/>
    <col min="263" max="263" width="42.5546875" style="613" customWidth="1"/>
    <col min="264" max="507" width="8.88671875" style="613"/>
    <col min="508" max="508" width="15.88671875" style="613" customWidth="1"/>
    <col min="509" max="509" width="2.109375" style="613" customWidth="1"/>
    <col min="510" max="510" width="7.5546875" style="613" customWidth="1"/>
    <col min="511" max="511" width="12.109375" style="613" customWidth="1"/>
    <col min="512" max="512" width="14.33203125" style="613" customWidth="1"/>
    <col min="513" max="513" width="3.44140625" style="613" customWidth="1"/>
    <col min="514" max="514" width="17.33203125" style="613" customWidth="1"/>
    <col min="515" max="515" width="2.109375" style="613" customWidth="1"/>
    <col min="516" max="516" width="7.5546875" style="613" customWidth="1"/>
    <col min="517" max="517" width="12.109375" style="613" customWidth="1"/>
    <col min="518" max="518" width="14.33203125" style="613" customWidth="1"/>
    <col min="519" max="519" width="42.5546875" style="613" customWidth="1"/>
    <col min="520" max="763" width="8.88671875" style="613"/>
    <col min="764" max="764" width="15.88671875" style="613" customWidth="1"/>
    <col min="765" max="765" width="2.109375" style="613" customWidth="1"/>
    <col min="766" max="766" width="7.5546875" style="613" customWidth="1"/>
    <col min="767" max="767" width="12.109375" style="613" customWidth="1"/>
    <col min="768" max="768" width="14.33203125" style="613" customWidth="1"/>
    <col min="769" max="769" width="3.44140625" style="613" customWidth="1"/>
    <col min="770" max="770" width="17.33203125" style="613" customWidth="1"/>
    <col min="771" max="771" width="2.109375" style="613" customWidth="1"/>
    <col min="772" max="772" width="7.5546875" style="613" customWidth="1"/>
    <col min="773" max="773" width="12.109375" style="613" customWidth="1"/>
    <col min="774" max="774" width="14.33203125" style="613" customWidth="1"/>
    <col min="775" max="775" width="42.5546875" style="613" customWidth="1"/>
    <col min="776" max="1019" width="8.88671875" style="613"/>
    <col min="1020" max="1020" width="15.88671875" style="613" customWidth="1"/>
    <col min="1021" max="1021" width="2.109375" style="613" customWidth="1"/>
    <col min="1022" max="1022" width="7.5546875" style="613" customWidth="1"/>
    <col min="1023" max="1023" width="12.109375" style="613" customWidth="1"/>
    <col min="1024" max="1024" width="14.33203125" style="613" customWidth="1"/>
    <col min="1025" max="1025" width="3.44140625" style="613" customWidth="1"/>
    <col min="1026" max="1026" width="17.33203125" style="613" customWidth="1"/>
    <col min="1027" max="1027" width="2.109375" style="613" customWidth="1"/>
    <col min="1028" max="1028" width="7.5546875" style="613" customWidth="1"/>
    <col min="1029" max="1029" width="12.109375" style="613" customWidth="1"/>
    <col min="1030" max="1030" width="14.33203125" style="613" customWidth="1"/>
    <col min="1031" max="1031" width="42.5546875" style="613" customWidth="1"/>
    <col min="1032" max="1275" width="8.88671875" style="613"/>
    <col min="1276" max="1276" width="15.88671875" style="613" customWidth="1"/>
    <col min="1277" max="1277" width="2.109375" style="613" customWidth="1"/>
    <col min="1278" max="1278" width="7.5546875" style="613" customWidth="1"/>
    <col min="1279" max="1279" width="12.109375" style="613" customWidth="1"/>
    <col min="1280" max="1280" width="14.33203125" style="613" customWidth="1"/>
    <col min="1281" max="1281" width="3.44140625" style="613" customWidth="1"/>
    <col min="1282" max="1282" width="17.33203125" style="613" customWidth="1"/>
    <col min="1283" max="1283" width="2.109375" style="613" customWidth="1"/>
    <col min="1284" max="1284" width="7.5546875" style="613" customWidth="1"/>
    <col min="1285" max="1285" width="12.109375" style="613" customWidth="1"/>
    <col min="1286" max="1286" width="14.33203125" style="613" customWidth="1"/>
    <col min="1287" max="1287" width="42.5546875" style="613" customWidth="1"/>
    <col min="1288" max="1531" width="8.88671875" style="613"/>
    <col min="1532" max="1532" width="15.88671875" style="613" customWidth="1"/>
    <col min="1533" max="1533" width="2.109375" style="613" customWidth="1"/>
    <col min="1534" max="1534" width="7.5546875" style="613" customWidth="1"/>
    <col min="1535" max="1535" width="12.109375" style="613" customWidth="1"/>
    <col min="1536" max="1536" width="14.33203125" style="613" customWidth="1"/>
    <col min="1537" max="1537" width="3.44140625" style="613" customWidth="1"/>
    <col min="1538" max="1538" width="17.33203125" style="613" customWidth="1"/>
    <col min="1539" max="1539" width="2.109375" style="613" customWidth="1"/>
    <col min="1540" max="1540" width="7.5546875" style="613" customWidth="1"/>
    <col min="1541" max="1541" width="12.109375" style="613" customWidth="1"/>
    <col min="1542" max="1542" width="14.33203125" style="613" customWidth="1"/>
    <col min="1543" max="1543" width="42.5546875" style="613" customWidth="1"/>
    <col min="1544" max="1787" width="8.88671875" style="613"/>
    <col min="1788" max="1788" width="15.88671875" style="613" customWidth="1"/>
    <col min="1789" max="1789" width="2.109375" style="613" customWidth="1"/>
    <col min="1790" max="1790" width="7.5546875" style="613" customWidth="1"/>
    <col min="1791" max="1791" width="12.109375" style="613" customWidth="1"/>
    <col min="1792" max="1792" width="14.33203125" style="613" customWidth="1"/>
    <col min="1793" max="1793" width="3.44140625" style="613" customWidth="1"/>
    <col min="1794" max="1794" width="17.33203125" style="613" customWidth="1"/>
    <col min="1795" max="1795" width="2.109375" style="613" customWidth="1"/>
    <col min="1796" max="1796" width="7.5546875" style="613" customWidth="1"/>
    <col min="1797" max="1797" width="12.109375" style="613" customWidth="1"/>
    <col min="1798" max="1798" width="14.33203125" style="613" customWidth="1"/>
    <col min="1799" max="1799" width="42.5546875" style="613" customWidth="1"/>
    <col min="1800" max="2043" width="8.88671875" style="613"/>
    <col min="2044" max="2044" width="15.88671875" style="613" customWidth="1"/>
    <col min="2045" max="2045" width="2.109375" style="613" customWidth="1"/>
    <col min="2046" max="2046" width="7.5546875" style="613" customWidth="1"/>
    <col min="2047" max="2047" width="12.109375" style="613" customWidth="1"/>
    <col min="2048" max="2048" width="14.33203125" style="613" customWidth="1"/>
    <col min="2049" max="2049" width="3.44140625" style="613" customWidth="1"/>
    <col min="2050" max="2050" width="17.33203125" style="613" customWidth="1"/>
    <col min="2051" max="2051" width="2.109375" style="613" customWidth="1"/>
    <col min="2052" max="2052" width="7.5546875" style="613" customWidth="1"/>
    <col min="2053" max="2053" width="12.109375" style="613" customWidth="1"/>
    <col min="2054" max="2054" width="14.33203125" style="613" customWidth="1"/>
    <col min="2055" max="2055" width="42.5546875" style="613" customWidth="1"/>
    <col min="2056" max="2299" width="8.88671875" style="613"/>
    <col min="2300" max="2300" width="15.88671875" style="613" customWidth="1"/>
    <col min="2301" max="2301" width="2.109375" style="613" customWidth="1"/>
    <col min="2302" max="2302" width="7.5546875" style="613" customWidth="1"/>
    <col min="2303" max="2303" width="12.109375" style="613" customWidth="1"/>
    <col min="2304" max="2304" width="14.33203125" style="613" customWidth="1"/>
    <col min="2305" max="2305" width="3.44140625" style="613" customWidth="1"/>
    <col min="2306" max="2306" width="17.33203125" style="613" customWidth="1"/>
    <col min="2307" max="2307" width="2.109375" style="613" customWidth="1"/>
    <col min="2308" max="2308" width="7.5546875" style="613" customWidth="1"/>
    <col min="2309" max="2309" width="12.109375" style="613" customWidth="1"/>
    <col min="2310" max="2310" width="14.33203125" style="613" customWidth="1"/>
    <col min="2311" max="2311" width="42.5546875" style="613" customWidth="1"/>
    <col min="2312" max="2555" width="8.88671875" style="613"/>
    <col min="2556" max="2556" width="15.88671875" style="613" customWidth="1"/>
    <col min="2557" max="2557" width="2.109375" style="613" customWidth="1"/>
    <col min="2558" max="2558" width="7.5546875" style="613" customWidth="1"/>
    <col min="2559" max="2559" width="12.109375" style="613" customWidth="1"/>
    <col min="2560" max="2560" width="14.33203125" style="613" customWidth="1"/>
    <col min="2561" max="2561" width="3.44140625" style="613" customWidth="1"/>
    <col min="2562" max="2562" width="17.33203125" style="613" customWidth="1"/>
    <col min="2563" max="2563" width="2.109375" style="613" customWidth="1"/>
    <col min="2564" max="2564" width="7.5546875" style="613" customWidth="1"/>
    <col min="2565" max="2565" width="12.109375" style="613" customWidth="1"/>
    <col min="2566" max="2566" width="14.33203125" style="613" customWidth="1"/>
    <col min="2567" max="2567" width="42.5546875" style="613" customWidth="1"/>
    <col min="2568" max="2811" width="8.88671875" style="613"/>
    <col min="2812" max="2812" width="15.88671875" style="613" customWidth="1"/>
    <col min="2813" max="2813" width="2.109375" style="613" customWidth="1"/>
    <col min="2814" max="2814" width="7.5546875" style="613" customWidth="1"/>
    <col min="2815" max="2815" width="12.109375" style="613" customWidth="1"/>
    <col min="2816" max="2816" width="14.33203125" style="613" customWidth="1"/>
    <col min="2817" max="2817" width="3.44140625" style="613" customWidth="1"/>
    <col min="2818" max="2818" width="17.33203125" style="613" customWidth="1"/>
    <col min="2819" max="2819" width="2.109375" style="613" customWidth="1"/>
    <col min="2820" max="2820" width="7.5546875" style="613" customWidth="1"/>
    <col min="2821" max="2821" width="12.109375" style="613" customWidth="1"/>
    <col min="2822" max="2822" width="14.33203125" style="613" customWidth="1"/>
    <col min="2823" max="2823" width="42.5546875" style="613" customWidth="1"/>
    <col min="2824" max="3067" width="8.88671875" style="613"/>
    <col min="3068" max="3068" width="15.88671875" style="613" customWidth="1"/>
    <col min="3069" max="3069" width="2.109375" style="613" customWidth="1"/>
    <col min="3070" max="3070" width="7.5546875" style="613" customWidth="1"/>
    <col min="3071" max="3071" width="12.109375" style="613" customWidth="1"/>
    <col min="3072" max="3072" width="14.33203125" style="613" customWidth="1"/>
    <col min="3073" max="3073" width="3.44140625" style="613" customWidth="1"/>
    <col min="3074" max="3074" width="17.33203125" style="613" customWidth="1"/>
    <col min="3075" max="3075" width="2.109375" style="613" customWidth="1"/>
    <col min="3076" max="3076" width="7.5546875" style="613" customWidth="1"/>
    <col min="3077" max="3077" width="12.109375" style="613" customWidth="1"/>
    <col min="3078" max="3078" width="14.33203125" style="613" customWidth="1"/>
    <col min="3079" max="3079" width="42.5546875" style="613" customWidth="1"/>
    <col min="3080" max="3323" width="8.88671875" style="613"/>
    <col min="3324" max="3324" width="15.88671875" style="613" customWidth="1"/>
    <col min="3325" max="3325" width="2.109375" style="613" customWidth="1"/>
    <col min="3326" max="3326" width="7.5546875" style="613" customWidth="1"/>
    <col min="3327" max="3327" width="12.109375" style="613" customWidth="1"/>
    <col min="3328" max="3328" width="14.33203125" style="613" customWidth="1"/>
    <col min="3329" max="3329" width="3.44140625" style="613" customWidth="1"/>
    <col min="3330" max="3330" width="17.33203125" style="613" customWidth="1"/>
    <col min="3331" max="3331" width="2.109375" style="613" customWidth="1"/>
    <col min="3332" max="3332" width="7.5546875" style="613" customWidth="1"/>
    <col min="3333" max="3333" width="12.109375" style="613" customWidth="1"/>
    <col min="3334" max="3334" width="14.33203125" style="613" customWidth="1"/>
    <col min="3335" max="3335" width="42.5546875" style="613" customWidth="1"/>
    <col min="3336" max="3579" width="8.88671875" style="613"/>
    <col min="3580" max="3580" width="15.88671875" style="613" customWidth="1"/>
    <col min="3581" max="3581" width="2.109375" style="613" customWidth="1"/>
    <col min="3582" max="3582" width="7.5546875" style="613" customWidth="1"/>
    <col min="3583" max="3583" width="12.109375" style="613" customWidth="1"/>
    <col min="3584" max="3584" width="14.33203125" style="613" customWidth="1"/>
    <col min="3585" max="3585" width="3.44140625" style="613" customWidth="1"/>
    <col min="3586" max="3586" width="17.33203125" style="613" customWidth="1"/>
    <col min="3587" max="3587" width="2.109375" style="613" customWidth="1"/>
    <col min="3588" max="3588" width="7.5546875" style="613" customWidth="1"/>
    <col min="3589" max="3589" width="12.109375" style="613" customWidth="1"/>
    <col min="3590" max="3590" width="14.33203125" style="613" customWidth="1"/>
    <col min="3591" max="3591" width="42.5546875" style="613" customWidth="1"/>
    <col min="3592" max="3835" width="8.88671875" style="613"/>
    <col min="3836" max="3836" width="15.88671875" style="613" customWidth="1"/>
    <col min="3837" max="3837" width="2.109375" style="613" customWidth="1"/>
    <col min="3838" max="3838" width="7.5546875" style="613" customWidth="1"/>
    <col min="3839" max="3839" width="12.109375" style="613" customWidth="1"/>
    <col min="3840" max="3840" width="14.33203125" style="613" customWidth="1"/>
    <col min="3841" max="3841" width="3.44140625" style="613" customWidth="1"/>
    <col min="3842" max="3842" width="17.33203125" style="613" customWidth="1"/>
    <col min="3843" max="3843" width="2.109375" style="613" customWidth="1"/>
    <col min="3844" max="3844" width="7.5546875" style="613" customWidth="1"/>
    <col min="3845" max="3845" width="12.109375" style="613" customWidth="1"/>
    <col min="3846" max="3846" width="14.33203125" style="613" customWidth="1"/>
    <col min="3847" max="3847" width="42.5546875" style="613" customWidth="1"/>
    <col min="3848" max="4091" width="8.88671875" style="613"/>
    <col min="4092" max="4092" width="15.88671875" style="613" customWidth="1"/>
    <col min="4093" max="4093" width="2.109375" style="613" customWidth="1"/>
    <col min="4094" max="4094" width="7.5546875" style="613" customWidth="1"/>
    <col min="4095" max="4095" width="12.109375" style="613" customWidth="1"/>
    <col min="4096" max="4096" width="14.33203125" style="613" customWidth="1"/>
    <col min="4097" max="4097" width="3.44140625" style="613" customWidth="1"/>
    <col min="4098" max="4098" width="17.33203125" style="613" customWidth="1"/>
    <col min="4099" max="4099" width="2.109375" style="613" customWidth="1"/>
    <col min="4100" max="4100" width="7.5546875" style="613" customWidth="1"/>
    <col min="4101" max="4101" width="12.109375" style="613" customWidth="1"/>
    <col min="4102" max="4102" width="14.33203125" style="613" customWidth="1"/>
    <col min="4103" max="4103" width="42.5546875" style="613" customWidth="1"/>
    <col min="4104" max="4347" width="8.88671875" style="613"/>
    <col min="4348" max="4348" width="15.88671875" style="613" customWidth="1"/>
    <col min="4349" max="4349" width="2.109375" style="613" customWidth="1"/>
    <col min="4350" max="4350" width="7.5546875" style="613" customWidth="1"/>
    <col min="4351" max="4351" width="12.109375" style="613" customWidth="1"/>
    <col min="4352" max="4352" width="14.33203125" style="613" customWidth="1"/>
    <col min="4353" max="4353" width="3.44140625" style="613" customWidth="1"/>
    <col min="4354" max="4354" width="17.33203125" style="613" customWidth="1"/>
    <col min="4355" max="4355" width="2.109375" style="613" customWidth="1"/>
    <col min="4356" max="4356" width="7.5546875" style="613" customWidth="1"/>
    <col min="4357" max="4357" width="12.109375" style="613" customWidth="1"/>
    <col min="4358" max="4358" width="14.33203125" style="613" customWidth="1"/>
    <col min="4359" max="4359" width="42.5546875" style="613" customWidth="1"/>
    <col min="4360" max="4603" width="8.88671875" style="613"/>
    <col min="4604" max="4604" width="15.88671875" style="613" customWidth="1"/>
    <col min="4605" max="4605" width="2.109375" style="613" customWidth="1"/>
    <col min="4606" max="4606" width="7.5546875" style="613" customWidth="1"/>
    <col min="4607" max="4607" width="12.109375" style="613" customWidth="1"/>
    <col min="4608" max="4608" width="14.33203125" style="613" customWidth="1"/>
    <col min="4609" max="4609" width="3.44140625" style="613" customWidth="1"/>
    <col min="4610" max="4610" width="17.33203125" style="613" customWidth="1"/>
    <col min="4611" max="4611" width="2.109375" style="613" customWidth="1"/>
    <col min="4612" max="4612" width="7.5546875" style="613" customWidth="1"/>
    <col min="4613" max="4613" width="12.109375" style="613" customWidth="1"/>
    <col min="4614" max="4614" width="14.33203125" style="613" customWidth="1"/>
    <col min="4615" max="4615" width="42.5546875" style="613" customWidth="1"/>
    <col min="4616" max="4859" width="8.88671875" style="613"/>
    <col min="4860" max="4860" width="15.88671875" style="613" customWidth="1"/>
    <col min="4861" max="4861" width="2.109375" style="613" customWidth="1"/>
    <col min="4862" max="4862" width="7.5546875" style="613" customWidth="1"/>
    <col min="4863" max="4863" width="12.109375" style="613" customWidth="1"/>
    <col min="4864" max="4864" width="14.33203125" style="613" customWidth="1"/>
    <col min="4865" max="4865" width="3.44140625" style="613" customWidth="1"/>
    <col min="4866" max="4866" width="17.33203125" style="613" customWidth="1"/>
    <col min="4867" max="4867" width="2.109375" style="613" customWidth="1"/>
    <col min="4868" max="4868" width="7.5546875" style="613" customWidth="1"/>
    <col min="4869" max="4869" width="12.109375" style="613" customWidth="1"/>
    <col min="4870" max="4870" width="14.33203125" style="613" customWidth="1"/>
    <col min="4871" max="4871" width="42.5546875" style="613" customWidth="1"/>
    <col min="4872" max="5115" width="8.88671875" style="613"/>
    <col min="5116" max="5116" width="15.88671875" style="613" customWidth="1"/>
    <col min="5117" max="5117" width="2.109375" style="613" customWidth="1"/>
    <col min="5118" max="5118" width="7.5546875" style="613" customWidth="1"/>
    <col min="5119" max="5119" width="12.109375" style="613" customWidth="1"/>
    <col min="5120" max="5120" width="14.33203125" style="613" customWidth="1"/>
    <col min="5121" max="5121" width="3.44140625" style="613" customWidth="1"/>
    <col min="5122" max="5122" width="17.33203125" style="613" customWidth="1"/>
    <col min="5123" max="5123" width="2.109375" style="613" customWidth="1"/>
    <col min="5124" max="5124" width="7.5546875" style="613" customWidth="1"/>
    <col min="5125" max="5125" width="12.109375" style="613" customWidth="1"/>
    <col min="5126" max="5126" width="14.33203125" style="613" customWidth="1"/>
    <col min="5127" max="5127" width="42.5546875" style="613" customWidth="1"/>
    <col min="5128" max="5371" width="8.88671875" style="613"/>
    <col min="5372" max="5372" width="15.88671875" style="613" customWidth="1"/>
    <col min="5373" max="5373" width="2.109375" style="613" customWidth="1"/>
    <col min="5374" max="5374" width="7.5546875" style="613" customWidth="1"/>
    <col min="5375" max="5375" width="12.109375" style="613" customWidth="1"/>
    <col min="5376" max="5376" width="14.33203125" style="613" customWidth="1"/>
    <col min="5377" max="5377" width="3.44140625" style="613" customWidth="1"/>
    <col min="5378" max="5378" width="17.33203125" style="613" customWidth="1"/>
    <col min="5379" max="5379" width="2.109375" style="613" customWidth="1"/>
    <col min="5380" max="5380" width="7.5546875" style="613" customWidth="1"/>
    <col min="5381" max="5381" width="12.109375" style="613" customWidth="1"/>
    <col min="5382" max="5382" width="14.33203125" style="613" customWidth="1"/>
    <col min="5383" max="5383" width="42.5546875" style="613" customWidth="1"/>
    <col min="5384" max="5627" width="8.88671875" style="613"/>
    <col min="5628" max="5628" width="15.88671875" style="613" customWidth="1"/>
    <col min="5629" max="5629" width="2.109375" style="613" customWidth="1"/>
    <col min="5630" max="5630" width="7.5546875" style="613" customWidth="1"/>
    <col min="5631" max="5631" width="12.109375" style="613" customWidth="1"/>
    <col min="5632" max="5632" width="14.33203125" style="613" customWidth="1"/>
    <col min="5633" max="5633" width="3.44140625" style="613" customWidth="1"/>
    <col min="5634" max="5634" width="17.33203125" style="613" customWidth="1"/>
    <col min="5635" max="5635" width="2.109375" style="613" customWidth="1"/>
    <col min="5636" max="5636" width="7.5546875" style="613" customWidth="1"/>
    <col min="5637" max="5637" width="12.109375" style="613" customWidth="1"/>
    <col min="5638" max="5638" width="14.33203125" style="613" customWidth="1"/>
    <col min="5639" max="5639" width="42.5546875" style="613" customWidth="1"/>
    <col min="5640" max="5883" width="8.88671875" style="613"/>
    <col min="5884" max="5884" width="15.88671875" style="613" customWidth="1"/>
    <col min="5885" max="5885" width="2.109375" style="613" customWidth="1"/>
    <col min="5886" max="5886" width="7.5546875" style="613" customWidth="1"/>
    <col min="5887" max="5887" width="12.109375" style="613" customWidth="1"/>
    <col min="5888" max="5888" width="14.33203125" style="613" customWidth="1"/>
    <col min="5889" max="5889" width="3.44140625" style="613" customWidth="1"/>
    <col min="5890" max="5890" width="17.33203125" style="613" customWidth="1"/>
    <col min="5891" max="5891" width="2.109375" style="613" customWidth="1"/>
    <col min="5892" max="5892" width="7.5546875" style="613" customWidth="1"/>
    <col min="5893" max="5893" width="12.109375" style="613" customWidth="1"/>
    <col min="5894" max="5894" width="14.33203125" style="613" customWidth="1"/>
    <col min="5895" max="5895" width="42.5546875" style="613" customWidth="1"/>
    <col min="5896" max="6139" width="8.88671875" style="613"/>
    <col min="6140" max="6140" width="15.88671875" style="613" customWidth="1"/>
    <col min="6141" max="6141" width="2.109375" style="613" customWidth="1"/>
    <col min="6142" max="6142" width="7.5546875" style="613" customWidth="1"/>
    <col min="6143" max="6143" width="12.109375" style="613" customWidth="1"/>
    <col min="6144" max="6144" width="14.33203125" style="613" customWidth="1"/>
    <col min="6145" max="6145" width="3.44140625" style="613" customWidth="1"/>
    <col min="6146" max="6146" width="17.33203125" style="613" customWidth="1"/>
    <col min="6147" max="6147" width="2.109375" style="613" customWidth="1"/>
    <col min="6148" max="6148" width="7.5546875" style="613" customWidth="1"/>
    <col min="6149" max="6149" width="12.109375" style="613" customWidth="1"/>
    <col min="6150" max="6150" width="14.33203125" style="613" customWidth="1"/>
    <col min="6151" max="6151" width="42.5546875" style="613" customWidth="1"/>
    <col min="6152" max="6395" width="8.88671875" style="613"/>
    <col min="6396" max="6396" width="15.88671875" style="613" customWidth="1"/>
    <col min="6397" max="6397" width="2.109375" style="613" customWidth="1"/>
    <col min="6398" max="6398" width="7.5546875" style="613" customWidth="1"/>
    <col min="6399" max="6399" width="12.109375" style="613" customWidth="1"/>
    <col min="6400" max="6400" width="14.33203125" style="613" customWidth="1"/>
    <col min="6401" max="6401" width="3.44140625" style="613" customWidth="1"/>
    <col min="6402" max="6402" width="17.33203125" style="613" customWidth="1"/>
    <col min="6403" max="6403" width="2.109375" style="613" customWidth="1"/>
    <col min="6404" max="6404" width="7.5546875" style="613" customWidth="1"/>
    <col min="6405" max="6405" width="12.109375" style="613" customWidth="1"/>
    <col min="6406" max="6406" width="14.33203125" style="613" customWidth="1"/>
    <col min="6407" max="6407" width="42.5546875" style="613" customWidth="1"/>
    <col min="6408" max="6651" width="8.88671875" style="613"/>
    <col min="6652" max="6652" width="15.88671875" style="613" customWidth="1"/>
    <col min="6653" max="6653" width="2.109375" style="613" customWidth="1"/>
    <col min="6654" max="6654" width="7.5546875" style="613" customWidth="1"/>
    <col min="6655" max="6655" width="12.109375" style="613" customWidth="1"/>
    <col min="6656" max="6656" width="14.33203125" style="613" customWidth="1"/>
    <col min="6657" max="6657" width="3.44140625" style="613" customWidth="1"/>
    <col min="6658" max="6658" width="17.33203125" style="613" customWidth="1"/>
    <col min="6659" max="6659" width="2.109375" style="613" customWidth="1"/>
    <col min="6660" max="6660" width="7.5546875" style="613" customWidth="1"/>
    <col min="6661" max="6661" width="12.109375" style="613" customWidth="1"/>
    <col min="6662" max="6662" width="14.33203125" style="613" customWidth="1"/>
    <col min="6663" max="6663" width="42.5546875" style="613" customWidth="1"/>
    <col min="6664" max="6907" width="8.88671875" style="613"/>
    <col min="6908" max="6908" width="15.88671875" style="613" customWidth="1"/>
    <col min="6909" max="6909" width="2.109375" style="613" customWidth="1"/>
    <col min="6910" max="6910" width="7.5546875" style="613" customWidth="1"/>
    <col min="6911" max="6911" width="12.109375" style="613" customWidth="1"/>
    <col min="6912" max="6912" width="14.33203125" style="613" customWidth="1"/>
    <col min="6913" max="6913" width="3.44140625" style="613" customWidth="1"/>
    <col min="6914" max="6914" width="17.33203125" style="613" customWidth="1"/>
    <col min="6915" max="6915" width="2.109375" style="613" customWidth="1"/>
    <col min="6916" max="6916" width="7.5546875" style="613" customWidth="1"/>
    <col min="6917" max="6917" width="12.109375" style="613" customWidth="1"/>
    <col min="6918" max="6918" width="14.33203125" style="613" customWidth="1"/>
    <col min="6919" max="6919" width="42.5546875" style="613" customWidth="1"/>
    <col min="6920" max="7163" width="8.88671875" style="613"/>
    <col min="7164" max="7164" width="15.88671875" style="613" customWidth="1"/>
    <col min="7165" max="7165" width="2.109375" style="613" customWidth="1"/>
    <col min="7166" max="7166" width="7.5546875" style="613" customWidth="1"/>
    <col min="7167" max="7167" width="12.109375" style="613" customWidth="1"/>
    <col min="7168" max="7168" width="14.33203125" style="613" customWidth="1"/>
    <col min="7169" max="7169" width="3.44140625" style="613" customWidth="1"/>
    <col min="7170" max="7170" width="17.33203125" style="613" customWidth="1"/>
    <col min="7171" max="7171" width="2.109375" style="613" customWidth="1"/>
    <col min="7172" max="7172" width="7.5546875" style="613" customWidth="1"/>
    <col min="7173" max="7173" width="12.109375" style="613" customWidth="1"/>
    <col min="7174" max="7174" width="14.33203125" style="613" customWidth="1"/>
    <col min="7175" max="7175" width="42.5546875" style="613" customWidth="1"/>
    <col min="7176" max="7419" width="8.88671875" style="613"/>
    <col min="7420" max="7420" width="15.88671875" style="613" customWidth="1"/>
    <col min="7421" max="7421" width="2.109375" style="613" customWidth="1"/>
    <col min="7422" max="7422" width="7.5546875" style="613" customWidth="1"/>
    <col min="7423" max="7423" width="12.109375" style="613" customWidth="1"/>
    <col min="7424" max="7424" width="14.33203125" style="613" customWidth="1"/>
    <col min="7425" max="7425" width="3.44140625" style="613" customWidth="1"/>
    <col min="7426" max="7426" width="17.33203125" style="613" customWidth="1"/>
    <col min="7427" max="7427" width="2.109375" style="613" customWidth="1"/>
    <col min="7428" max="7428" width="7.5546875" style="613" customWidth="1"/>
    <col min="7429" max="7429" width="12.109375" style="613" customWidth="1"/>
    <col min="7430" max="7430" width="14.33203125" style="613" customWidth="1"/>
    <col min="7431" max="7431" width="42.5546875" style="613" customWidth="1"/>
    <col min="7432" max="7675" width="8.88671875" style="613"/>
    <col min="7676" max="7676" width="15.88671875" style="613" customWidth="1"/>
    <col min="7677" max="7677" width="2.109375" style="613" customWidth="1"/>
    <col min="7678" max="7678" width="7.5546875" style="613" customWidth="1"/>
    <col min="7679" max="7679" width="12.109375" style="613" customWidth="1"/>
    <col min="7680" max="7680" width="14.33203125" style="613" customWidth="1"/>
    <col min="7681" max="7681" width="3.44140625" style="613" customWidth="1"/>
    <col min="7682" max="7682" width="17.33203125" style="613" customWidth="1"/>
    <col min="7683" max="7683" width="2.109375" style="613" customWidth="1"/>
    <col min="7684" max="7684" width="7.5546875" style="613" customWidth="1"/>
    <col min="7685" max="7685" width="12.109375" style="613" customWidth="1"/>
    <col min="7686" max="7686" width="14.33203125" style="613" customWidth="1"/>
    <col min="7687" max="7687" width="42.5546875" style="613" customWidth="1"/>
    <col min="7688" max="7931" width="8.88671875" style="613"/>
    <col min="7932" max="7932" width="15.88671875" style="613" customWidth="1"/>
    <col min="7933" max="7933" width="2.109375" style="613" customWidth="1"/>
    <col min="7934" max="7934" width="7.5546875" style="613" customWidth="1"/>
    <col min="7935" max="7935" width="12.109375" style="613" customWidth="1"/>
    <col min="7936" max="7936" width="14.33203125" style="613" customWidth="1"/>
    <col min="7937" max="7937" width="3.44140625" style="613" customWidth="1"/>
    <col min="7938" max="7938" width="17.33203125" style="613" customWidth="1"/>
    <col min="7939" max="7939" width="2.109375" style="613" customWidth="1"/>
    <col min="7940" max="7940" width="7.5546875" style="613" customWidth="1"/>
    <col min="7941" max="7941" width="12.109375" style="613" customWidth="1"/>
    <col min="7942" max="7942" width="14.33203125" style="613" customWidth="1"/>
    <col min="7943" max="7943" width="42.5546875" style="613" customWidth="1"/>
    <col min="7944" max="8187" width="8.88671875" style="613"/>
    <col min="8188" max="8188" width="15.88671875" style="613" customWidth="1"/>
    <col min="8189" max="8189" width="2.109375" style="613" customWidth="1"/>
    <col min="8190" max="8190" width="7.5546875" style="613" customWidth="1"/>
    <col min="8191" max="8191" width="12.109375" style="613" customWidth="1"/>
    <col min="8192" max="8192" width="14.33203125" style="613" customWidth="1"/>
    <col min="8193" max="8193" width="3.44140625" style="613" customWidth="1"/>
    <col min="8194" max="8194" width="17.33203125" style="613" customWidth="1"/>
    <col min="8195" max="8195" width="2.109375" style="613" customWidth="1"/>
    <col min="8196" max="8196" width="7.5546875" style="613" customWidth="1"/>
    <col min="8197" max="8197" width="12.109375" style="613" customWidth="1"/>
    <col min="8198" max="8198" width="14.33203125" style="613" customWidth="1"/>
    <col min="8199" max="8199" width="42.5546875" style="613" customWidth="1"/>
    <col min="8200" max="8443" width="8.88671875" style="613"/>
    <col min="8444" max="8444" width="15.88671875" style="613" customWidth="1"/>
    <col min="8445" max="8445" width="2.109375" style="613" customWidth="1"/>
    <col min="8446" max="8446" width="7.5546875" style="613" customWidth="1"/>
    <col min="8447" max="8447" width="12.109375" style="613" customWidth="1"/>
    <col min="8448" max="8448" width="14.33203125" style="613" customWidth="1"/>
    <col min="8449" max="8449" width="3.44140625" style="613" customWidth="1"/>
    <col min="8450" max="8450" width="17.33203125" style="613" customWidth="1"/>
    <col min="8451" max="8451" width="2.109375" style="613" customWidth="1"/>
    <col min="8452" max="8452" width="7.5546875" style="613" customWidth="1"/>
    <col min="8453" max="8453" width="12.109375" style="613" customWidth="1"/>
    <col min="8454" max="8454" width="14.33203125" style="613" customWidth="1"/>
    <col min="8455" max="8455" width="42.5546875" style="613" customWidth="1"/>
    <col min="8456" max="8699" width="8.88671875" style="613"/>
    <col min="8700" max="8700" width="15.88671875" style="613" customWidth="1"/>
    <col min="8701" max="8701" width="2.109375" style="613" customWidth="1"/>
    <col min="8702" max="8702" width="7.5546875" style="613" customWidth="1"/>
    <col min="8703" max="8703" width="12.109375" style="613" customWidth="1"/>
    <col min="8704" max="8704" width="14.33203125" style="613" customWidth="1"/>
    <col min="8705" max="8705" width="3.44140625" style="613" customWidth="1"/>
    <col min="8706" max="8706" width="17.33203125" style="613" customWidth="1"/>
    <col min="8707" max="8707" width="2.109375" style="613" customWidth="1"/>
    <col min="8708" max="8708" width="7.5546875" style="613" customWidth="1"/>
    <col min="8709" max="8709" width="12.109375" style="613" customWidth="1"/>
    <col min="8710" max="8710" width="14.33203125" style="613" customWidth="1"/>
    <col min="8711" max="8711" width="42.5546875" style="613" customWidth="1"/>
    <col min="8712" max="8955" width="8.88671875" style="613"/>
    <col min="8956" max="8956" width="15.88671875" style="613" customWidth="1"/>
    <col min="8957" max="8957" width="2.109375" style="613" customWidth="1"/>
    <col min="8958" max="8958" width="7.5546875" style="613" customWidth="1"/>
    <col min="8959" max="8959" width="12.109375" style="613" customWidth="1"/>
    <col min="8960" max="8960" width="14.33203125" style="613" customWidth="1"/>
    <col min="8961" max="8961" width="3.44140625" style="613" customWidth="1"/>
    <col min="8962" max="8962" width="17.33203125" style="613" customWidth="1"/>
    <col min="8963" max="8963" width="2.109375" style="613" customWidth="1"/>
    <col min="8964" max="8964" width="7.5546875" style="613" customWidth="1"/>
    <col min="8965" max="8965" width="12.109375" style="613" customWidth="1"/>
    <col min="8966" max="8966" width="14.33203125" style="613" customWidth="1"/>
    <col min="8967" max="8967" width="42.5546875" style="613" customWidth="1"/>
    <col min="8968" max="9211" width="8.88671875" style="613"/>
    <col min="9212" max="9212" width="15.88671875" style="613" customWidth="1"/>
    <col min="9213" max="9213" width="2.109375" style="613" customWidth="1"/>
    <col min="9214" max="9214" width="7.5546875" style="613" customWidth="1"/>
    <col min="9215" max="9215" width="12.109375" style="613" customWidth="1"/>
    <col min="9216" max="9216" width="14.33203125" style="613" customWidth="1"/>
    <col min="9217" max="9217" width="3.44140625" style="613" customWidth="1"/>
    <col min="9218" max="9218" width="17.33203125" style="613" customWidth="1"/>
    <col min="9219" max="9219" width="2.109375" style="613" customWidth="1"/>
    <col min="9220" max="9220" width="7.5546875" style="613" customWidth="1"/>
    <col min="9221" max="9221" width="12.109375" style="613" customWidth="1"/>
    <col min="9222" max="9222" width="14.33203125" style="613" customWidth="1"/>
    <col min="9223" max="9223" width="42.5546875" style="613" customWidth="1"/>
    <col min="9224" max="9467" width="8.88671875" style="613"/>
    <col min="9468" max="9468" width="15.88671875" style="613" customWidth="1"/>
    <col min="9469" max="9469" width="2.109375" style="613" customWidth="1"/>
    <col min="9470" max="9470" width="7.5546875" style="613" customWidth="1"/>
    <col min="9471" max="9471" width="12.109375" style="613" customWidth="1"/>
    <col min="9472" max="9472" width="14.33203125" style="613" customWidth="1"/>
    <col min="9473" max="9473" width="3.44140625" style="613" customWidth="1"/>
    <col min="9474" max="9474" width="17.33203125" style="613" customWidth="1"/>
    <col min="9475" max="9475" width="2.109375" style="613" customWidth="1"/>
    <col min="9476" max="9476" width="7.5546875" style="613" customWidth="1"/>
    <col min="9477" max="9477" width="12.109375" style="613" customWidth="1"/>
    <col min="9478" max="9478" width="14.33203125" style="613" customWidth="1"/>
    <col min="9479" max="9479" width="42.5546875" style="613" customWidth="1"/>
    <col min="9480" max="9723" width="8.88671875" style="613"/>
    <col min="9724" max="9724" width="15.88671875" style="613" customWidth="1"/>
    <col min="9725" max="9725" width="2.109375" style="613" customWidth="1"/>
    <col min="9726" max="9726" width="7.5546875" style="613" customWidth="1"/>
    <col min="9727" max="9727" width="12.109375" style="613" customWidth="1"/>
    <col min="9728" max="9728" width="14.33203125" style="613" customWidth="1"/>
    <col min="9729" max="9729" width="3.44140625" style="613" customWidth="1"/>
    <col min="9730" max="9730" width="17.33203125" style="613" customWidth="1"/>
    <col min="9731" max="9731" width="2.109375" style="613" customWidth="1"/>
    <col min="9732" max="9732" width="7.5546875" style="613" customWidth="1"/>
    <col min="9733" max="9733" width="12.109375" style="613" customWidth="1"/>
    <col min="9734" max="9734" width="14.33203125" style="613" customWidth="1"/>
    <col min="9735" max="9735" width="42.5546875" style="613" customWidth="1"/>
    <col min="9736" max="9979" width="8.88671875" style="613"/>
    <col min="9980" max="9980" width="15.88671875" style="613" customWidth="1"/>
    <col min="9981" max="9981" width="2.109375" style="613" customWidth="1"/>
    <col min="9982" max="9982" width="7.5546875" style="613" customWidth="1"/>
    <col min="9983" max="9983" width="12.109375" style="613" customWidth="1"/>
    <col min="9984" max="9984" width="14.33203125" style="613" customWidth="1"/>
    <col min="9985" max="9985" width="3.44140625" style="613" customWidth="1"/>
    <col min="9986" max="9986" width="17.33203125" style="613" customWidth="1"/>
    <col min="9987" max="9987" width="2.109375" style="613" customWidth="1"/>
    <col min="9988" max="9988" width="7.5546875" style="613" customWidth="1"/>
    <col min="9989" max="9989" width="12.109375" style="613" customWidth="1"/>
    <col min="9990" max="9990" width="14.33203125" style="613" customWidth="1"/>
    <col min="9991" max="9991" width="42.5546875" style="613" customWidth="1"/>
    <col min="9992" max="10235" width="8.88671875" style="613"/>
    <col min="10236" max="10236" width="15.88671875" style="613" customWidth="1"/>
    <col min="10237" max="10237" width="2.109375" style="613" customWidth="1"/>
    <col min="10238" max="10238" width="7.5546875" style="613" customWidth="1"/>
    <col min="10239" max="10239" width="12.109375" style="613" customWidth="1"/>
    <col min="10240" max="10240" width="14.33203125" style="613" customWidth="1"/>
    <col min="10241" max="10241" width="3.44140625" style="613" customWidth="1"/>
    <col min="10242" max="10242" width="17.33203125" style="613" customWidth="1"/>
    <col min="10243" max="10243" width="2.109375" style="613" customWidth="1"/>
    <col min="10244" max="10244" width="7.5546875" style="613" customWidth="1"/>
    <col min="10245" max="10245" width="12.109375" style="613" customWidth="1"/>
    <col min="10246" max="10246" width="14.33203125" style="613" customWidth="1"/>
    <col min="10247" max="10247" width="42.5546875" style="613" customWidth="1"/>
    <col min="10248" max="10491" width="8.88671875" style="613"/>
    <col min="10492" max="10492" width="15.88671875" style="613" customWidth="1"/>
    <col min="10493" max="10493" width="2.109375" style="613" customWidth="1"/>
    <col min="10494" max="10494" width="7.5546875" style="613" customWidth="1"/>
    <col min="10495" max="10495" width="12.109375" style="613" customWidth="1"/>
    <col min="10496" max="10496" width="14.33203125" style="613" customWidth="1"/>
    <col min="10497" max="10497" width="3.44140625" style="613" customWidth="1"/>
    <col min="10498" max="10498" width="17.33203125" style="613" customWidth="1"/>
    <col min="10499" max="10499" width="2.109375" style="613" customWidth="1"/>
    <col min="10500" max="10500" width="7.5546875" style="613" customWidth="1"/>
    <col min="10501" max="10501" width="12.109375" style="613" customWidth="1"/>
    <col min="10502" max="10502" width="14.33203125" style="613" customWidth="1"/>
    <col min="10503" max="10503" width="42.5546875" style="613" customWidth="1"/>
    <col min="10504" max="10747" width="8.88671875" style="613"/>
    <col min="10748" max="10748" width="15.88671875" style="613" customWidth="1"/>
    <col min="10749" max="10749" width="2.109375" style="613" customWidth="1"/>
    <col min="10750" max="10750" width="7.5546875" style="613" customWidth="1"/>
    <col min="10751" max="10751" width="12.109375" style="613" customWidth="1"/>
    <col min="10752" max="10752" width="14.33203125" style="613" customWidth="1"/>
    <col min="10753" max="10753" width="3.44140625" style="613" customWidth="1"/>
    <col min="10754" max="10754" width="17.33203125" style="613" customWidth="1"/>
    <col min="10755" max="10755" width="2.109375" style="613" customWidth="1"/>
    <col min="10756" max="10756" width="7.5546875" style="613" customWidth="1"/>
    <col min="10757" max="10757" width="12.109375" style="613" customWidth="1"/>
    <col min="10758" max="10758" width="14.33203125" style="613" customWidth="1"/>
    <col min="10759" max="10759" width="42.5546875" style="613" customWidth="1"/>
    <col min="10760" max="11003" width="8.88671875" style="613"/>
    <col min="11004" max="11004" width="15.88671875" style="613" customWidth="1"/>
    <col min="11005" max="11005" width="2.109375" style="613" customWidth="1"/>
    <col min="11006" max="11006" width="7.5546875" style="613" customWidth="1"/>
    <col min="11007" max="11007" width="12.109375" style="613" customWidth="1"/>
    <col min="11008" max="11008" width="14.33203125" style="613" customWidth="1"/>
    <col min="11009" max="11009" width="3.44140625" style="613" customWidth="1"/>
    <col min="11010" max="11010" width="17.33203125" style="613" customWidth="1"/>
    <col min="11011" max="11011" width="2.109375" style="613" customWidth="1"/>
    <col min="11012" max="11012" width="7.5546875" style="613" customWidth="1"/>
    <col min="11013" max="11013" width="12.109375" style="613" customWidth="1"/>
    <col min="11014" max="11014" width="14.33203125" style="613" customWidth="1"/>
    <col min="11015" max="11015" width="42.5546875" style="613" customWidth="1"/>
    <col min="11016" max="11259" width="8.88671875" style="613"/>
    <col min="11260" max="11260" width="15.88671875" style="613" customWidth="1"/>
    <col min="11261" max="11261" width="2.109375" style="613" customWidth="1"/>
    <col min="11262" max="11262" width="7.5546875" style="613" customWidth="1"/>
    <col min="11263" max="11263" width="12.109375" style="613" customWidth="1"/>
    <col min="11264" max="11264" width="14.33203125" style="613" customWidth="1"/>
    <col min="11265" max="11265" width="3.44140625" style="613" customWidth="1"/>
    <col min="11266" max="11266" width="17.33203125" style="613" customWidth="1"/>
    <col min="11267" max="11267" width="2.109375" style="613" customWidth="1"/>
    <col min="11268" max="11268" width="7.5546875" style="613" customWidth="1"/>
    <col min="11269" max="11269" width="12.109375" style="613" customWidth="1"/>
    <col min="11270" max="11270" width="14.33203125" style="613" customWidth="1"/>
    <col min="11271" max="11271" width="42.5546875" style="613" customWidth="1"/>
    <col min="11272" max="11515" width="8.88671875" style="613"/>
    <col min="11516" max="11516" width="15.88671875" style="613" customWidth="1"/>
    <col min="11517" max="11517" width="2.109375" style="613" customWidth="1"/>
    <col min="11518" max="11518" width="7.5546875" style="613" customWidth="1"/>
    <col min="11519" max="11519" width="12.109375" style="613" customWidth="1"/>
    <col min="11520" max="11520" width="14.33203125" style="613" customWidth="1"/>
    <col min="11521" max="11521" width="3.44140625" style="613" customWidth="1"/>
    <col min="11522" max="11522" width="17.33203125" style="613" customWidth="1"/>
    <col min="11523" max="11523" width="2.109375" style="613" customWidth="1"/>
    <col min="11524" max="11524" width="7.5546875" style="613" customWidth="1"/>
    <col min="11525" max="11525" width="12.109375" style="613" customWidth="1"/>
    <col min="11526" max="11526" width="14.33203125" style="613" customWidth="1"/>
    <col min="11527" max="11527" width="42.5546875" style="613" customWidth="1"/>
    <col min="11528" max="11771" width="8.88671875" style="613"/>
    <col min="11772" max="11772" width="15.88671875" style="613" customWidth="1"/>
    <col min="11773" max="11773" width="2.109375" style="613" customWidth="1"/>
    <col min="11774" max="11774" width="7.5546875" style="613" customWidth="1"/>
    <col min="11775" max="11775" width="12.109375" style="613" customWidth="1"/>
    <col min="11776" max="11776" width="14.33203125" style="613" customWidth="1"/>
    <col min="11777" max="11777" width="3.44140625" style="613" customWidth="1"/>
    <col min="11778" max="11778" width="17.33203125" style="613" customWidth="1"/>
    <col min="11779" max="11779" width="2.109375" style="613" customWidth="1"/>
    <col min="11780" max="11780" width="7.5546875" style="613" customWidth="1"/>
    <col min="11781" max="11781" width="12.109375" style="613" customWidth="1"/>
    <col min="11782" max="11782" width="14.33203125" style="613" customWidth="1"/>
    <col min="11783" max="11783" width="42.5546875" style="613" customWidth="1"/>
    <col min="11784" max="12027" width="8.88671875" style="613"/>
    <col min="12028" max="12028" width="15.88671875" style="613" customWidth="1"/>
    <col min="12029" max="12029" width="2.109375" style="613" customWidth="1"/>
    <col min="12030" max="12030" width="7.5546875" style="613" customWidth="1"/>
    <col min="12031" max="12031" width="12.109375" style="613" customWidth="1"/>
    <col min="12032" max="12032" width="14.33203125" style="613" customWidth="1"/>
    <col min="12033" max="12033" width="3.44140625" style="613" customWidth="1"/>
    <col min="12034" max="12034" width="17.33203125" style="613" customWidth="1"/>
    <col min="12035" max="12035" width="2.109375" style="613" customWidth="1"/>
    <col min="12036" max="12036" width="7.5546875" style="613" customWidth="1"/>
    <col min="12037" max="12037" width="12.109375" style="613" customWidth="1"/>
    <col min="12038" max="12038" width="14.33203125" style="613" customWidth="1"/>
    <col min="12039" max="12039" width="42.5546875" style="613" customWidth="1"/>
    <col min="12040" max="12283" width="8.88671875" style="613"/>
    <col min="12284" max="12284" width="15.88671875" style="613" customWidth="1"/>
    <col min="12285" max="12285" width="2.109375" style="613" customWidth="1"/>
    <col min="12286" max="12286" width="7.5546875" style="613" customWidth="1"/>
    <col min="12287" max="12287" width="12.109375" style="613" customWidth="1"/>
    <col min="12288" max="12288" width="14.33203125" style="613" customWidth="1"/>
    <col min="12289" max="12289" width="3.44140625" style="613" customWidth="1"/>
    <col min="12290" max="12290" width="17.33203125" style="613" customWidth="1"/>
    <col min="12291" max="12291" width="2.109375" style="613" customWidth="1"/>
    <col min="12292" max="12292" width="7.5546875" style="613" customWidth="1"/>
    <col min="12293" max="12293" width="12.109375" style="613" customWidth="1"/>
    <col min="12294" max="12294" width="14.33203125" style="613" customWidth="1"/>
    <col min="12295" max="12295" width="42.5546875" style="613" customWidth="1"/>
    <col min="12296" max="12539" width="8.88671875" style="613"/>
    <col min="12540" max="12540" width="15.88671875" style="613" customWidth="1"/>
    <col min="12541" max="12541" width="2.109375" style="613" customWidth="1"/>
    <col min="12542" max="12542" width="7.5546875" style="613" customWidth="1"/>
    <col min="12543" max="12543" width="12.109375" style="613" customWidth="1"/>
    <col min="12544" max="12544" width="14.33203125" style="613" customWidth="1"/>
    <col min="12545" max="12545" width="3.44140625" style="613" customWidth="1"/>
    <col min="12546" max="12546" width="17.33203125" style="613" customWidth="1"/>
    <col min="12547" max="12547" width="2.109375" style="613" customWidth="1"/>
    <col min="12548" max="12548" width="7.5546875" style="613" customWidth="1"/>
    <col min="12549" max="12549" width="12.109375" style="613" customWidth="1"/>
    <col min="12550" max="12550" width="14.33203125" style="613" customWidth="1"/>
    <col min="12551" max="12551" width="42.5546875" style="613" customWidth="1"/>
    <col min="12552" max="12795" width="8.88671875" style="613"/>
    <col min="12796" max="12796" width="15.88671875" style="613" customWidth="1"/>
    <col min="12797" max="12797" width="2.109375" style="613" customWidth="1"/>
    <col min="12798" max="12798" width="7.5546875" style="613" customWidth="1"/>
    <col min="12799" max="12799" width="12.109375" style="613" customWidth="1"/>
    <col min="12800" max="12800" width="14.33203125" style="613" customWidth="1"/>
    <col min="12801" max="12801" width="3.44140625" style="613" customWidth="1"/>
    <col min="12802" max="12802" width="17.33203125" style="613" customWidth="1"/>
    <col min="12803" max="12803" width="2.109375" style="613" customWidth="1"/>
    <col min="12804" max="12804" width="7.5546875" style="613" customWidth="1"/>
    <col min="12805" max="12805" width="12.109375" style="613" customWidth="1"/>
    <col min="12806" max="12806" width="14.33203125" style="613" customWidth="1"/>
    <col min="12807" max="12807" width="42.5546875" style="613" customWidth="1"/>
    <col min="12808" max="13051" width="8.88671875" style="613"/>
    <col min="13052" max="13052" width="15.88671875" style="613" customWidth="1"/>
    <col min="13053" max="13053" width="2.109375" style="613" customWidth="1"/>
    <col min="13054" max="13054" width="7.5546875" style="613" customWidth="1"/>
    <col min="13055" max="13055" width="12.109375" style="613" customWidth="1"/>
    <col min="13056" max="13056" width="14.33203125" style="613" customWidth="1"/>
    <col min="13057" max="13057" width="3.44140625" style="613" customWidth="1"/>
    <col min="13058" max="13058" width="17.33203125" style="613" customWidth="1"/>
    <col min="13059" max="13059" width="2.109375" style="613" customWidth="1"/>
    <col min="13060" max="13060" width="7.5546875" style="613" customWidth="1"/>
    <col min="13061" max="13061" width="12.109375" style="613" customWidth="1"/>
    <col min="13062" max="13062" width="14.33203125" style="613" customWidth="1"/>
    <col min="13063" max="13063" width="42.5546875" style="613" customWidth="1"/>
    <col min="13064" max="13307" width="8.88671875" style="613"/>
    <col min="13308" max="13308" width="15.88671875" style="613" customWidth="1"/>
    <col min="13309" max="13309" width="2.109375" style="613" customWidth="1"/>
    <col min="13310" max="13310" width="7.5546875" style="613" customWidth="1"/>
    <col min="13311" max="13311" width="12.109375" style="613" customWidth="1"/>
    <col min="13312" max="13312" width="14.33203125" style="613" customWidth="1"/>
    <col min="13313" max="13313" width="3.44140625" style="613" customWidth="1"/>
    <col min="13314" max="13314" width="17.33203125" style="613" customWidth="1"/>
    <col min="13315" max="13315" width="2.109375" style="613" customWidth="1"/>
    <col min="13316" max="13316" width="7.5546875" style="613" customWidth="1"/>
    <col min="13317" max="13317" width="12.109375" style="613" customWidth="1"/>
    <col min="13318" max="13318" width="14.33203125" style="613" customWidth="1"/>
    <col min="13319" max="13319" width="42.5546875" style="613" customWidth="1"/>
    <col min="13320" max="13563" width="8.88671875" style="613"/>
    <col min="13564" max="13564" width="15.88671875" style="613" customWidth="1"/>
    <col min="13565" max="13565" width="2.109375" style="613" customWidth="1"/>
    <col min="13566" max="13566" width="7.5546875" style="613" customWidth="1"/>
    <col min="13567" max="13567" width="12.109375" style="613" customWidth="1"/>
    <col min="13568" max="13568" width="14.33203125" style="613" customWidth="1"/>
    <col min="13569" max="13569" width="3.44140625" style="613" customWidth="1"/>
    <col min="13570" max="13570" width="17.33203125" style="613" customWidth="1"/>
    <col min="13571" max="13571" width="2.109375" style="613" customWidth="1"/>
    <col min="13572" max="13572" width="7.5546875" style="613" customWidth="1"/>
    <col min="13573" max="13573" width="12.109375" style="613" customWidth="1"/>
    <col min="13574" max="13574" width="14.33203125" style="613" customWidth="1"/>
    <col min="13575" max="13575" width="42.5546875" style="613" customWidth="1"/>
    <col min="13576" max="13819" width="8.88671875" style="613"/>
    <col min="13820" max="13820" width="15.88671875" style="613" customWidth="1"/>
    <col min="13821" max="13821" width="2.109375" style="613" customWidth="1"/>
    <col min="13822" max="13822" width="7.5546875" style="613" customWidth="1"/>
    <col min="13823" max="13823" width="12.109375" style="613" customWidth="1"/>
    <col min="13824" max="13824" width="14.33203125" style="613" customWidth="1"/>
    <col min="13825" max="13825" width="3.44140625" style="613" customWidth="1"/>
    <col min="13826" max="13826" width="17.33203125" style="613" customWidth="1"/>
    <col min="13827" max="13827" width="2.109375" style="613" customWidth="1"/>
    <col min="13828" max="13828" width="7.5546875" style="613" customWidth="1"/>
    <col min="13829" max="13829" width="12.109375" style="613" customWidth="1"/>
    <col min="13830" max="13830" width="14.33203125" style="613" customWidth="1"/>
    <col min="13831" max="13831" width="42.5546875" style="613" customWidth="1"/>
    <col min="13832" max="14075" width="8.88671875" style="613"/>
    <col min="14076" max="14076" width="15.88671875" style="613" customWidth="1"/>
    <col min="14077" max="14077" width="2.109375" style="613" customWidth="1"/>
    <col min="14078" max="14078" width="7.5546875" style="613" customWidth="1"/>
    <col min="14079" max="14079" width="12.109375" style="613" customWidth="1"/>
    <col min="14080" max="14080" width="14.33203125" style="613" customWidth="1"/>
    <col min="14081" max="14081" width="3.44140625" style="613" customWidth="1"/>
    <col min="14082" max="14082" width="17.33203125" style="613" customWidth="1"/>
    <col min="14083" max="14083" width="2.109375" style="613" customWidth="1"/>
    <col min="14084" max="14084" width="7.5546875" style="613" customWidth="1"/>
    <col min="14085" max="14085" width="12.109375" style="613" customWidth="1"/>
    <col min="14086" max="14086" width="14.33203125" style="613" customWidth="1"/>
    <col min="14087" max="14087" width="42.5546875" style="613" customWidth="1"/>
    <col min="14088" max="14331" width="8.88671875" style="613"/>
    <col min="14332" max="14332" width="15.88671875" style="613" customWidth="1"/>
    <col min="14333" max="14333" width="2.109375" style="613" customWidth="1"/>
    <col min="14334" max="14334" width="7.5546875" style="613" customWidth="1"/>
    <col min="14335" max="14335" width="12.109375" style="613" customWidth="1"/>
    <col min="14336" max="14336" width="14.33203125" style="613" customWidth="1"/>
    <col min="14337" max="14337" width="3.44140625" style="613" customWidth="1"/>
    <col min="14338" max="14338" width="17.33203125" style="613" customWidth="1"/>
    <col min="14339" max="14339" width="2.109375" style="613" customWidth="1"/>
    <col min="14340" max="14340" width="7.5546875" style="613" customWidth="1"/>
    <col min="14341" max="14341" width="12.109375" style="613" customWidth="1"/>
    <col min="14342" max="14342" width="14.33203125" style="613" customWidth="1"/>
    <col min="14343" max="14343" width="42.5546875" style="613" customWidth="1"/>
    <col min="14344" max="14587" width="8.88671875" style="613"/>
    <col min="14588" max="14588" width="15.88671875" style="613" customWidth="1"/>
    <col min="14589" max="14589" width="2.109375" style="613" customWidth="1"/>
    <col min="14590" max="14590" width="7.5546875" style="613" customWidth="1"/>
    <col min="14591" max="14591" width="12.109375" style="613" customWidth="1"/>
    <col min="14592" max="14592" width="14.33203125" style="613" customWidth="1"/>
    <col min="14593" max="14593" width="3.44140625" style="613" customWidth="1"/>
    <col min="14594" max="14594" width="17.33203125" style="613" customWidth="1"/>
    <col min="14595" max="14595" width="2.109375" style="613" customWidth="1"/>
    <col min="14596" max="14596" width="7.5546875" style="613" customWidth="1"/>
    <col min="14597" max="14597" width="12.109375" style="613" customWidth="1"/>
    <col min="14598" max="14598" width="14.33203125" style="613" customWidth="1"/>
    <col min="14599" max="14599" width="42.5546875" style="613" customWidth="1"/>
    <col min="14600" max="14843" width="8.88671875" style="613"/>
    <col min="14844" max="14844" width="15.88671875" style="613" customWidth="1"/>
    <col min="14845" max="14845" width="2.109375" style="613" customWidth="1"/>
    <col min="14846" max="14846" width="7.5546875" style="613" customWidth="1"/>
    <col min="14847" max="14847" width="12.109375" style="613" customWidth="1"/>
    <col min="14848" max="14848" width="14.33203125" style="613" customWidth="1"/>
    <col min="14849" max="14849" width="3.44140625" style="613" customWidth="1"/>
    <col min="14850" max="14850" width="17.33203125" style="613" customWidth="1"/>
    <col min="14851" max="14851" width="2.109375" style="613" customWidth="1"/>
    <col min="14852" max="14852" width="7.5546875" style="613" customWidth="1"/>
    <col min="14853" max="14853" width="12.109375" style="613" customWidth="1"/>
    <col min="14854" max="14854" width="14.33203125" style="613" customWidth="1"/>
    <col min="14855" max="14855" width="42.5546875" style="613" customWidth="1"/>
    <col min="14856" max="15099" width="8.88671875" style="613"/>
    <col min="15100" max="15100" width="15.88671875" style="613" customWidth="1"/>
    <col min="15101" max="15101" width="2.109375" style="613" customWidth="1"/>
    <col min="15102" max="15102" width="7.5546875" style="613" customWidth="1"/>
    <col min="15103" max="15103" width="12.109375" style="613" customWidth="1"/>
    <col min="15104" max="15104" width="14.33203125" style="613" customWidth="1"/>
    <col min="15105" max="15105" width="3.44140625" style="613" customWidth="1"/>
    <col min="15106" max="15106" width="17.33203125" style="613" customWidth="1"/>
    <col min="15107" max="15107" width="2.109375" style="613" customWidth="1"/>
    <col min="15108" max="15108" width="7.5546875" style="613" customWidth="1"/>
    <col min="15109" max="15109" width="12.109375" style="613" customWidth="1"/>
    <col min="15110" max="15110" width="14.33203125" style="613" customWidth="1"/>
    <col min="15111" max="15111" width="42.5546875" style="613" customWidth="1"/>
    <col min="15112" max="15355" width="8.88671875" style="613"/>
    <col min="15356" max="15356" width="15.88671875" style="613" customWidth="1"/>
    <col min="15357" max="15357" width="2.109375" style="613" customWidth="1"/>
    <col min="15358" max="15358" width="7.5546875" style="613" customWidth="1"/>
    <col min="15359" max="15359" width="12.109375" style="613" customWidth="1"/>
    <col min="15360" max="15360" width="14.33203125" style="613" customWidth="1"/>
    <col min="15361" max="15361" width="3.44140625" style="613" customWidth="1"/>
    <col min="15362" max="15362" width="17.33203125" style="613" customWidth="1"/>
    <col min="15363" max="15363" width="2.109375" style="613" customWidth="1"/>
    <col min="15364" max="15364" width="7.5546875" style="613" customWidth="1"/>
    <col min="15365" max="15365" width="12.109375" style="613" customWidth="1"/>
    <col min="15366" max="15366" width="14.33203125" style="613" customWidth="1"/>
    <col min="15367" max="15367" width="42.5546875" style="613" customWidth="1"/>
    <col min="15368" max="15611" width="8.88671875" style="613"/>
    <col min="15612" max="15612" width="15.88671875" style="613" customWidth="1"/>
    <col min="15613" max="15613" width="2.109375" style="613" customWidth="1"/>
    <col min="15614" max="15614" width="7.5546875" style="613" customWidth="1"/>
    <col min="15615" max="15615" width="12.109375" style="613" customWidth="1"/>
    <col min="15616" max="15616" width="14.33203125" style="613" customWidth="1"/>
    <col min="15617" max="15617" width="3.44140625" style="613" customWidth="1"/>
    <col min="15618" max="15618" width="17.33203125" style="613" customWidth="1"/>
    <col min="15619" max="15619" width="2.109375" style="613" customWidth="1"/>
    <col min="15620" max="15620" width="7.5546875" style="613" customWidth="1"/>
    <col min="15621" max="15621" width="12.109375" style="613" customWidth="1"/>
    <col min="15622" max="15622" width="14.33203125" style="613" customWidth="1"/>
    <col min="15623" max="15623" width="42.5546875" style="613" customWidth="1"/>
    <col min="15624" max="15867" width="8.88671875" style="613"/>
    <col min="15868" max="15868" width="15.88671875" style="613" customWidth="1"/>
    <col min="15869" max="15869" width="2.109375" style="613" customWidth="1"/>
    <col min="15870" max="15870" width="7.5546875" style="613" customWidth="1"/>
    <col min="15871" max="15871" width="12.109375" style="613" customWidth="1"/>
    <col min="15872" max="15872" width="14.33203125" style="613" customWidth="1"/>
    <col min="15873" max="15873" width="3.44140625" style="613" customWidth="1"/>
    <col min="15874" max="15874" width="17.33203125" style="613" customWidth="1"/>
    <col min="15875" max="15875" width="2.109375" style="613" customWidth="1"/>
    <col min="15876" max="15876" width="7.5546875" style="613" customWidth="1"/>
    <col min="15877" max="15877" width="12.109375" style="613" customWidth="1"/>
    <col min="15878" max="15878" width="14.33203125" style="613" customWidth="1"/>
    <col min="15879" max="15879" width="42.5546875" style="613" customWidth="1"/>
    <col min="15880" max="16123" width="8.88671875" style="613"/>
    <col min="16124" max="16124" width="15.88671875" style="613" customWidth="1"/>
    <col min="16125" max="16125" width="2.109375" style="613" customWidth="1"/>
    <col min="16126" max="16126" width="7.5546875" style="613" customWidth="1"/>
    <col min="16127" max="16127" width="12.109375" style="613" customWidth="1"/>
    <col min="16128" max="16128" width="14.33203125" style="613" customWidth="1"/>
    <col min="16129" max="16129" width="3.44140625" style="613" customWidth="1"/>
    <col min="16130" max="16130" width="17.33203125" style="613" customWidth="1"/>
    <col min="16131" max="16131" width="2.109375" style="613" customWidth="1"/>
    <col min="16132" max="16132" width="7.5546875" style="613" customWidth="1"/>
    <col min="16133" max="16133" width="12.109375" style="613" customWidth="1"/>
    <col min="16134" max="16134" width="14.33203125" style="613" customWidth="1"/>
    <col min="16135" max="16135" width="42.5546875" style="613" customWidth="1"/>
    <col min="16136" max="16384" width="8.88671875" style="613"/>
  </cols>
  <sheetData>
    <row r="1" spans="1:13" x14ac:dyDescent="0.3">
      <c r="A1" s="804" t="s">
        <v>1723</v>
      </c>
      <c r="B1" s="804"/>
      <c r="C1" s="804"/>
      <c r="D1" s="804"/>
      <c r="E1" s="804"/>
      <c r="F1" s="804"/>
      <c r="G1" s="804"/>
      <c r="H1" s="804"/>
      <c r="I1" s="804"/>
      <c r="J1" s="804"/>
      <c r="K1" s="804"/>
      <c r="L1" s="804"/>
      <c r="M1" s="804"/>
    </row>
    <row r="2" spans="1:13" x14ac:dyDescent="0.3">
      <c r="A2" s="804" t="s">
        <v>615</v>
      </c>
      <c r="B2" s="804"/>
      <c r="C2" s="804"/>
      <c r="D2" s="804"/>
      <c r="E2" s="804"/>
      <c r="F2" s="804"/>
      <c r="G2" s="804"/>
      <c r="H2" s="804"/>
      <c r="I2" s="804"/>
      <c r="J2" s="804"/>
      <c r="K2" s="804"/>
      <c r="L2" s="804"/>
      <c r="M2" s="804"/>
    </row>
    <row r="3" spans="1:13" x14ac:dyDescent="0.3">
      <c r="A3" s="804" t="s">
        <v>616</v>
      </c>
      <c r="B3" s="804"/>
      <c r="C3" s="804"/>
      <c r="D3" s="804"/>
      <c r="E3" s="804"/>
      <c r="F3" s="804"/>
      <c r="G3" s="804"/>
      <c r="H3" s="804"/>
      <c r="I3" s="804"/>
      <c r="J3" s="804"/>
      <c r="K3" s="804"/>
      <c r="L3" s="804"/>
    </row>
    <row r="4" spans="1:13" x14ac:dyDescent="0.3">
      <c r="A4" s="804"/>
      <c r="B4" s="804"/>
      <c r="C4" s="805"/>
      <c r="D4" s="806"/>
      <c r="E4" s="806"/>
      <c r="F4" s="804"/>
      <c r="G4" s="180"/>
      <c r="H4" s="180"/>
      <c r="I4" s="180"/>
      <c r="J4" s="180"/>
      <c r="K4" s="180"/>
      <c r="L4" s="180"/>
    </row>
    <row r="5" spans="1:13" x14ac:dyDescent="0.3">
      <c r="A5" s="804"/>
      <c r="B5" s="804"/>
      <c r="C5" s="805"/>
      <c r="D5" s="806" t="s">
        <v>617</v>
      </c>
      <c r="E5" s="806" t="s">
        <v>618</v>
      </c>
      <c r="F5" s="804"/>
      <c r="G5" s="180"/>
      <c r="H5" s="180"/>
      <c r="I5" s="180"/>
      <c r="J5" s="180"/>
      <c r="K5" s="180"/>
      <c r="L5" s="180"/>
      <c r="M5" s="804"/>
    </row>
    <row r="6" spans="1:13" x14ac:dyDescent="0.3">
      <c r="A6" s="804"/>
      <c r="B6" s="804"/>
      <c r="C6" s="805" t="s">
        <v>619</v>
      </c>
      <c r="D6" s="806" t="s">
        <v>620</v>
      </c>
      <c r="E6" s="806" t="s">
        <v>621</v>
      </c>
      <c r="F6" s="804"/>
      <c r="G6" s="180"/>
      <c r="H6" s="180"/>
      <c r="I6" s="180"/>
      <c r="J6" s="180"/>
      <c r="K6" s="180"/>
      <c r="L6" s="180"/>
      <c r="M6" s="804"/>
    </row>
    <row r="7" spans="1:13" x14ac:dyDescent="0.3">
      <c r="A7" s="804" t="s">
        <v>622</v>
      </c>
      <c r="B7" s="804"/>
      <c r="C7" s="805" t="s">
        <v>623</v>
      </c>
      <c r="D7" s="806" t="s">
        <v>624</v>
      </c>
      <c r="E7" s="806" t="s">
        <v>624</v>
      </c>
      <c r="F7" s="804"/>
      <c r="G7" s="180"/>
      <c r="H7" s="180"/>
      <c r="I7" s="180"/>
      <c r="J7" s="180"/>
      <c r="K7" s="180"/>
      <c r="L7" s="180"/>
      <c r="M7" s="804"/>
    </row>
    <row r="8" spans="1:13" hidden="1" x14ac:dyDescent="0.3">
      <c r="A8" s="804" t="s">
        <v>1753</v>
      </c>
      <c r="B8" s="804" t="s">
        <v>1754</v>
      </c>
      <c r="C8" s="807">
        <v>0.66</v>
      </c>
      <c r="D8" s="806">
        <v>2017</v>
      </c>
      <c r="E8" s="806">
        <v>2023</v>
      </c>
      <c r="F8" s="804"/>
      <c r="G8" s="180"/>
      <c r="H8" s="180"/>
      <c r="I8" s="180"/>
      <c r="J8" s="180"/>
      <c r="K8" s="180"/>
      <c r="L8" s="180"/>
    </row>
    <row r="9" spans="1:13" hidden="1" x14ac:dyDescent="0.3">
      <c r="A9" s="804" t="s">
        <v>1755</v>
      </c>
      <c r="B9" s="804" t="s">
        <v>1756</v>
      </c>
      <c r="C9" s="807">
        <v>0.79</v>
      </c>
      <c r="D9" s="806">
        <v>2015</v>
      </c>
      <c r="E9" s="806">
        <v>2023</v>
      </c>
      <c r="F9" s="804"/>
      <c r="G9" s="180"/>
      <c r="H9" s="180"/>
      <c r="I9" s="180"/>
      <c r="J9" s="180"/>
      <c r="K9" s="180"/>
      <c r="L9" s="180"/>
    </row>
    <row r="10" spans="1:13" hidden="1" x14ac:dyDescent="0.3">
      <c r="A10" s="804" t="s">
        <v>1757</v>
      </c>
      <c r="B10" s="804" t="s">
        <v>1758</v>
      </c>
      <c r="C10" s="807">
        <v>0.59699999999999998</v>
      </c>
      <c r="D10" s="806">
        <v>2021</v>
      </c>
      <c r="E10" s="806">
        <v>2027</v>
      </c>
      <c r="F10" s="804"/>
      <c r="G10" s="180"/>
      <c r="H10" s="180"/>
      <c r="I10" s="180"/>
      <c r="J10" s="180"/>
      <c r="K10" s="180"/>
      <c r="L10" s="180"/>
      <c r="M10" s="804"/>
    </row>
    <row r="11" spans="1:13" hidden="1" x14ac:dyDescent="0.3">
      <c r="A11" s="804" t="s">
        <v>1759</v>
      </c>
      <c r="B11" s="804" t="s">
        <v>478</v>
      </c>
      <c r="C11" s="807">
        <v>0.77700000000000002</v>
      </c>
      <c r="D11" s="806">
        <v>2018</v>
      </c>
      <c r="E11" s="806">
        <v>2026</v>
      </c>
      <c r="F11" s="804"/>
      <c r="G11" s="180"/>
      <c r="H11" s="180"/>
      <c r="I11" s="180"/>
      <c r="J11" s="180"/>
      <c r="K11" s="180"/>
      <c r="L11" s="180"/>
      <c r="M11" s="804"/>
    </row>
    <row r="12" spans="1:13" hidden="1" x14ac:dyDescent="0.3">
      <c r="A12" s="804" t="s">
        <v>1760</v>
      </c>
      <c r="B12" s="804" t="s">
        <v>1761</v>
      </c>
      <c r="C12" s="807">
        <v>0.51</v>
      </c>
      <c r="D12" s="806">
        <v>2019</v>
      </c>
      <c r="E12" s="806">
        <v>2023</v>
      </c>
      <c r="F12" s="804"/>
      <c r="G12" s="180"/>
      <c r="H12" s="180"/>
      <c r="I12" s="180"/>
      <c r="J12" s="180"/>
      <c r="K12" s="180"/>
      <c r="L12" s="180"/>
      <c r="M12" s="804"/>
    </row>
    <row r="13" spans="1:13" hidden="1" x14ac:dyDescent="0.3">
      <c r="A13" s="804" t="s">
        <v>1762</v>
      </c>
      <c r="B13" s="804" t="s">
        <v>1763</v>
      </c>
      <c r="C13" s="807">
        <v>0.55000000000000004</v>
      </c>
      <c r="D13" s="806">
        <v>2018</v>
      </c>
      <c r="E13" s="806">
        <v>2022</v>
      </c>
      <c r="F13" s="804"/>
      <c r="G13" s="180"/>
      <c r="H13" s="180"/>
      <c r="I13" s="180"/>
      <c r="J13" s="180"/>
      <c r="K13" s="180"/>
      <c r="L13" s="180"/>
      <c r="M13" s="804"/>
    </row>
    <row r="14" spans="1:13" hidden="1" x14ac:dyDescent="0.3">
      <c r="A14" s="804" t="s">
        <v>1764</v>
      </c>
      <c r="B14" s="804" t="s">
        <v>1765</v>
      </c>
      <c r="C14" s="807">
        <v>0.625</v>
      </c>
      <c r="D14" s="806">
        <v>2018</v>
      </c>
      <c r="E14" s="806">
        <v>2026</v>
      </c>
      <c r="F14" s="804"/>
      <c r="G14" s="180"/>
      <c r="H14" s="180"/>
      <c r="I14" s="180"/>
      <c r="J14" s="180"/>
      <c r="K14" s="180"/>
      <c r="L14" s="180"/>
      <c r="M14" s="804"/>
    </row>
    <row r="15" spans="1:13" hidden="1" x14ac:dyDescent="0.3">
      <c r="A15" s="804" t="s">
        <v>1766</v>
      </c>
      <c r="B15" s="804" t="s">
        <v>484</v>
      </c>
      <c r="C15" s="807">
        <v>0.86499999999999999</v>
      </c>
      <c r="D15" s="806">
        <v>2020</v>
      </c>
      <c r="E15" s="806">
        <v>2028</v>
      </c>
      <c r="F15" s="804"/>
      <c r="G15" s="180"/>
      <c r="H15" s="180"/>
      <c r="I15" s="180"/>
      <c r="J15" s="180"/>
      <c r="K15" s="180"/>
      <c r="L15" s="180"/>
      <c r="M15" s="804"/>
    </row>
    <row r="16" spans="1:13" hidden="1" x14ac:dyDescent="0.3">
      <c r="A16" s="804" t="s">
        <v>1767</v>
      </c>
      <c r="B16" s="804" t="s">
        <v>1768</v>
      </c>
      <c r="C16" s="807">
        <v>0.82</v>
      </c>
      <c r="D16" s="806">
        <v>2015</v>
      </c>
      <c r="E16" s="806">
        <v>2022</v>
      </c>
      <c r="F16" s="804"/>
      <c r="G16" s="180"/>
      <c r="H16" s="180"/>
      <c r="I16" s="180"/>
      <c r="J16" s="180"/>
      <c r="K16" s="180"/>
      <c r="L16" s="180"/>
      <c r="M16" s="804"/>
    </row>
    <row r="17" spans="1:13" hidden="1" x14ac:dyDescent="0.3">
      <c r="A17" s="804" t="s">
        <v>1769</v>
      </c>
      <c r="B17" s="804" t="s">
        <v>1770</v>
      </c>
      <c r="C17" s="807">
        <v>0.48499999999999999</v>
      </c>
      <c r="D17" s="806">
        <v>2019</v>
      </c>
      <c r="E17" s="806">
        <v>2023</v>
      </c>
      <c r="F17" s="804"/>
      <c r="G17" s="180"/>
      <c r="H17" s="180"/>
      <c r="I17" s="180"/>
      <c r="J17" s="180"/>
      <c r="K17" s="180"/>
      <c r="L17" s="180"/>
      <c r="M17" s="804"/>
    </row>
    <row r="18" spans="1:13" hidden="1" x14ac:dyDescent="0.3">
      <c r="A18" s="804" t="s">
        <v>1771</v>
      </c>
      <c r="B18" s="804" t="s">
        <v>1772</v>
      </c>
      <c r="C18" s="807">
        <v>0.48799999999999999</v>
      </c>
      <c r="D18" s="806">
        <v>2021</v>
      </c>
      <c r="E18" s="806">
        <v>2025</v>
      </c>
      <c r="F18" s="804"/>
      <c r="G18" s="180"/>
      <c r="H18" s="180"/>
      <c r="I18" s="180"/>
      <c r="J18" s="180"/>
      <c r="K18" s="180"/>
      <c r="L18" s="180"/>
      <c r="M18" s="804"/>
    </row>
    <row r="19" spans="1:13" hidden="1" x14ac:dyDescent="0.3">
      <c r="A19" s="804" t="s">
        <v>1773</v>
      </c>
      <c r="B19" s="804" t="s">
        <v>1774</v>
      </c>
      <c r="C19" s="807">
        <v>0.69499999999999995</v>
      </c>
      <c r="D19" s="806">
        <v>2019</v>
      </c>
      <c r="E19" s="806">
        <v>2023</v>
      </c>
      <c r="F19" s="804"/>
      <c r="G19" s="180"/>
      <c r="H19" s="180"/>
      <c r="I19" s="180"/>
      <c r="J19" s="180"/>
      <c r="K19" s="180"/>
      <c r="L19" s="180"/>
      <c r="M19" s="804"/>
    </row>
    <row r="20" spans="1:13" x14ac:dyDescent="0.3">
      <c r="A20" s="804" t="s">
        <v>1724</v>
      </c>
      <c r="B20" s="804" t="s">
        <v>1725</v>
      </c>
      <c r="C20" s="807">
        <v>0.74</v>
      </c>
      <c r="D20" s="806">
        <v>2020</v>
      </c>
      <c r="E20" s="806">
        <v>2024</v>
      </c>
      <c r="F20" s="804"/>
      <c r="G20" s="180"/>
      <c r="H20" s="180"/>
      <c r="I20" s="180"/>
      <c r="J20" s="180"/>
      <c r="K20" s="180"/>
      <c r="L20" s="180"/>
      <c r="M20" s="804"/>
    </row>
    <row r="21" spans="1:13" hidden="1" x14ac:dyDescent="0.3">
      <c r="A21" s="804" t="s">
        <v>1775</v>
      </c>
      <c r="B21" s="804" t="s">
        <v>1776</v>
      </c>
      <c r="C21" s="807">
        <v>0.63</v>
      </c>
      <c r="D21" s="806">
        <v>2021</v>
      </c>
      <c r="E21" s="806">
        <v>2029</v>
      </c>
      <c r="F21" s="804"/>
      <c r="G21" s="180"/>
      <c r="H21" s="180"/>
      <c r="I21" s="180"/>
      <c r="J21" s="180"/>
      <c r="K21" s="180"/>
      <c r="L21" s="180"/>
      <c r="M21" s="804"/>
    </row>
    <row r="22" spans="1:13" hidden="1" x14ac:dyDescent="0.3">
      <c r="A22" s="804" t="s">
        <v>1777</v>
      </c>
      <c r="B22" s="804" t="s">
        <v>1778</v>
      </c>
      <c r="C22" s="807">
        <v>0.87</v>
      </c>
      <c r="D22" s="806">
        <v>2015</v>
      </c>
      <c r="E22" s="806">
        <v>2023</v>
      </c>
      <c r="F22" s="804"/>
      <c r="G22" s="180"/>
      <c r="H22" s="180"/>
      <c r="I22" s="180"/>
      <c r="J22" s="180"/>
      <c r="K22" s="180"/>
      <c r="L22" s="180"/>
      <c r="M22" s="804"/>
    </row>
    <row r="23" spans="1:13" x14ac:dyDescent="0.3">
      <c r="A23" s="804" t="s">
        <v>1726</v>
      </c>
      <c r="B23" s="804" t="s">
        <v>1727</v>
      </c>
      <c r="C23" s="807">
        <v>0.33</v>
      </c>
      <c r="D23" s="806">
        <v>2020</v>
      </c>
      <c r="E23" s="806">
        <v>2024</v>
      </c>
      <c r="F23" s="804"/>
      <c r="G23" s="180"/>
      <c r="H23" s="180"/>
      <c r="I23" s="180"/>
      <c r="J23" s="180"/>
      <c r="K23" s="180"/>
      <c r="L23" s="180"/>
      <c r="M23" s="804"/>
    </row>
    <row r="24" spans="1:13" hidden="1" x14ac:dyDescent="0.3">
      <c r="A24" s="804" t="s">
        <v>1779</v>
      </c>
      <c r="B24" s="804" t="s">
        <v>858</v>
      </c>
      <c r="C24" s="807">
        <v>0.73499999999999999</v>
      </c>
      <c r="D24" s="806">
        <v>2016</v>
      </c>
      <c r="E24" s="806">
        <v>2023</v>
      </c>
      <c r="F24" s="804"/>
      <c r="G24" s="180"/>
      <c r="H24" s="180"/>
      <c r="I24" s="180"/>
      <c r="J24" s="180"/>
      <c r="K24" s="180"/>
      <c r="L24" s="180"/>
      <c r="M24" s="804"/>
    </row>
    <row r="25" spans="1:13" hidden="1" x14ac:dyDescent="0.3">
      <c r="A25" s="804" t="s">
        <v>1780</v>
      </c>
      <c r="B25" s="804" t="s">
        <v>1781</v>
      </c>
      <c r="C25" s="807">
        <v>0.57499999999999996</v>
      </c>
      <c r="D25" s="806">
        <v>2019</v>
      </c>
      <c r="E25" s="806">
        <v>2023</v>
      </c>
      <c r="F25" s="804"/>
      <c r="G25" s="180"/>
      <c r="H25" s="180"/>
      <c r="I25" s="180"/>
      <c r="J25" s="180"/>
      <c r="K25" s="180"/>
      <c r="L25" s="180"/>
      <c r="M25" s="804"/>
    </row>
    <row r="26" spans="1:13" hidden="1" x14ac:dyDescent="0.3">
      <c r="A26" s="804" t="s">
        <v>1782</v>
      </c>
      <c r="B26" s="804" t="s">
        <v>1783</v>
      </c>
      <c r="C26" s="807">
        <v>0.66500000000000004</v>
      </c>
      <c r="D26" s="806">
        <v>2021</v>
      </c>
      <c r="E26" s="806">
        <v>2025</v>
      </c>
      <c r="F26" s="804"/>
      <c r="G26" s="180"/>
      <c r="H26" s="180"/>
      <c r="I26" s="180"/>
      <c r="J26" s="180"/>
      <c r="K26" s="180"/>
      <c r="L26" s="180"/>
      <c r="M26" s="804"/>
    </row>
    <row r="27" spans="1:13" hidden="1" x14ac:dyDescent="0.3">
      <c r="A27" s="804" t="s">
        <v>1784</v>
      </c>
      <c r="B27" s="804" t="s">
        <v>859</v>
      </c>
      <c r="C27" s="807">
        <v>0.5</v>
      </c>
      <c r="D27" s="806">
        <v>2020</v>
      </c>
      <c r="E27" s="806">
        <v>2028</v>
      </c>
      <c r="F27" s="804"/>
      <c r="G27" s="180"/>
      <c r="H27" s="180"/>
      <c r="I27" s="180"/>
      <c r="J27" s="180"/>
      <c r="K27" s="180"/>
      <c r="L27" s="180"/>
      <c r="M27" s="804"/>
    </row>
    <row r="28" spans="1:13" hidden="1" x14ac:dyDescent="0.3">
      <c r="A28" s="804" t="s">
        <v>1785</v>
      </c>
      <c r="B28" s="804" t="s">
        <v>1786</v>
      </c>
      <c r="C28" s="807">
        <v>0.755</v>
      </c>
      <c r="D28" s="806">
        <v>2014</v>
      </c>
      <c r="E28" s="806">
        <v>2022</v>
      </c>
      <c r="G28" s="180"/>
      <c r="H28" s="180"/>
      <c r="I28" s="180"/>
      <c r="J28" s="180"/>
      <c r="K28" s="180"/>
      <c r="L28" s="180"/>
      <c r="M28" s="804"/>
    </row>
    <row r="29" spans="1:13" hidden="1" x14ac:dyDescent="0.3">
      <c r="A29" s="804" t="s">
        <v>1787</v>
      </c>
      <c r="B29" s="804" t="s">
        <v>1788</v>
      </c>
      <c r="C29" s="807">
        <v>0.43</v>
      </c>
      <c r="D29" s="806">
        <v>2018</v>
      </c>
      <c r="E29" s="806">
        <v>2026</v>
      </c>
      <c r="G29" s="180"/>
      <c r="H29" s="180"/>
      <c r="I29" s="180"/>
      <c r="J29" s="180"/>
      <c r="K29" s="180"/>
      <c r="L29" s="180"/>
      <c r="M29" s="804"/>
    </row>
    <row r="30" spans="1:13" hidden="1" x14ac:dyDescent="0.3">
      <c r="A30" s="804" t="s">
        <v>1789</v>
      </c>
      <c r="B30" s="804" t="s">
        <v>1790</v>
      </c>
      <c r="C30" s="807">
        <v>0.6875</v>
      </c>
      <c r="D30" s="806">
        <v>2021</v>
      </c>
      <c r="E30" s="806">
        <v>2025</v>
      </c>
      <c r="F30" s="804"/>
      <c r="G30" s="180"/>
      <c r="H30" s="180"/>
      <c r="I30" s="180"/>
      <c r="J30" s="180"/>
      <c r="K30" s="180"/>
      <c r="L30" s="180"/>
      <c r="M30" s="804"/>
    </row>
    <row r="31" spans="1:13" hidden="1" x14ac:dyDescent="0.3">
      <c r="A31" s="804" t="s">
        <v>1791</v>
      </c>
      <c r="B31" s="804" t="s">
        <v>860</v>
      </c>
      <c r="C31" s="807">
        <v>0.80500000000000005</v>
      </c>
      <c r="D31" s="806">
        <v>2021</v>
      </c>
      <c r="E31" s="806">
        <v>2029</v>
      </c>
      <c r="F31" s="804"/>
      <c r="G31" s="180"/>
      <c r="H31" s="180"/>
      <c r="I31" s="180"/>
      <c r="J31" s="180"/>
      <c r="K31" s="180"/>
      <c r="L31" s="180"/>
      <c r="M31" s="804"/>
    </row>
    <row r="32" spans="1:13" hidden="1" x14ac:dyDescent="0.3">
      <c r="A32" s="804" t="s">
        <v>1792</v>
      </c>
      <c r="B32" s="804" t="s">
        <v>1793</v>
      </c>
      <c r="C32" s="807">
        <v>0.56000000000000005</v>
      </c>
      <c r="D32" s="806">
        <v>2016</v>
      </c>
      <c r="E32" s="806">
        <v>2023</v>
      </c>
      <c r="F32" s="804"/>
      <c r="G32" s="180"/>
      <c r="H32" s="180"/>
      <c r="I32" s="180"/>
      <c r="J32" s="180"/>
      <c r="K32" s="180"/>
      <c r="L32" s="180"/>
      <c r="M32" s="804"/>
    </row>
    <row r="33" spans="1:13" hidden="1" x14ac:dyDescent="0.3">
      <c r="A33" s="804" t="s">
        <v>1794</v>
      </c>
      <c r="B33" s="804" t="s">
        <v>1795</v>
      </c>
      <c r="C33" s="807">
        <v>0.79900000000000004</v>
      </c>
      <c r="D33" s="806">
        <v>2017</v>
      </c>
      <c r="E33" s="806">
        <v>2025</v>
      </c>
      <c r="F33" s="804"/>
      <c r="G33" s="180"/>
      <c r="H33" s="180"/>
      <c r="I33" s="180"/>
      <c r="J33" s="180"/>
      <c r="K33" s="180"/>
      <c r="L33" s="180"/>
      <c r="M33" s="804"/>
    </row>
    <row r="34" spans="1:13" hidden="1" x14ac:dyDescent="0.3">
      <c r="A34" s="804" t="s">
        <v>1796</v>
      </c>
      <c r="B34" s="804" t="s">
        <v>1797</v>
      </c>
      <c r="C34" s="807">
        <v>0.46</v>
      </c>
      <c r="D34" s="806">
        <v>2021</v>
      </c>
      <c r="E34" s="806">
        <v>2029</v>
      </c>
      <c r="F34" s="804"/>
      <c r="G34" s="180"/>
      <c r="H34" s="180"/>
      <c r="I34" s="180"/>
      <c r="J34" s="180"/>
      <c r="K34" s="180"/>
      <c r="L34" s="180"/>
      <c r="M34" s="804"/>
    </row>
    <row r="35" spans="1:13" hidden="1" x14ac:dyDescent="0.3">
      <c r="A35" s="804" t="s">
        <v>1798</v>
      </c>
      <c r="B35" s="804" t="s">
        <v>1799</v>
      </c>
      <c r="C35" s="807">
        <v>0.40050000000000002</v>
      </c>
      <c r="D35" s="806">
        <v>2020</v>
      </c>
      <c r="E35" s="806">
        <v>2025</v>
      </c>
      <c r="F35" s="804"/>
      <c r="G35" s="180"/>
      <c r="H35" s="180"/>
      <c r="I35" s="180"/>
      <c r="J35" s="180"/>
      <c r="K35" s="180"/>
      <c r="L35" s="180"/>
      <c r="M35" s="804"/>
    </row>
    <row r="36" spans="1:13" hidden="1" x14ac:dyDescent="0.3">
      <c r="A36" s="804" t="s">
        <v>1800</v>
      </c>
      <c r="B36" s="804" t="s">
        <v>1801</v>
      </c>
      <c r="C36" s="807">
        <v>0.54</v>
      </c>
      <c r="D36" s="806">
        <v>2021</v>
      </c>
      <c r="E36" s="806">
        <v>2027</v>
      </c>
      <c r="F36" s="804"/>
      <c r="G36" s="180"/>
      <c r="H36" s="180"/>
      <c r="I36" s="180"/>
      <c r="J36" s="180"/>
      <c r="K36" s="180"/>
      <c r="L36" s="180"/>
      <c r="M36" s="804"/>
    </row>
    <row r="37" spans="1:13" hidden="1" x14ac:dyDescent="0.3">
      <c r="A37" s="804" t="s">
        <v>1802</v>
      </c>
      <c r="B37" s="804" t="s">
        <v>1803</v>
      </c>
      <c r="C37" s="807">
        <v>0.73299999999999998</v>
      </c>
      <c r="D37" s="806">
        <v>2021</v>
      </c>
      <c r="E37" s="806">
        <v>2025</v>
      </c>
      <c r="F37" s="804"/>
      <c r="G37" s="180"/>
      <c r="H37" s="180"/>
      <c r="I37" s="180"/>
      <c r="J37" s="180"/>
      <c r="K37" s="180"/>
      <c r="L37" s="180"/>
      <c r="M37" s="804"/>
    </row>
    <row r="38" spans="1:13" hidden="1" x14ac:dyDescent="0.3">
      <c r="A38" s="804" t="s">
        <v>1804</v>
      </c>
      <c r="B38" s="804" t="s">
        <v>1805</v>
      </c>
      <c r="C38" s="807">
        <v>0.73499999999999999</v>
      </c>
      <c r="D38" s="806">
        <v>2017</v>
      </c>
      <c r="E38" s="806">
        <v>2022</v>
      </c>
      <c r="F38" s="804"/>
      <c r="G38" s="180"/>
      <c r="H38" s="180"/>
      <c r="I38" s="180"/>
      <c r="J38" s="180"/>
      <c r="K38" s="180"/>
      <c r="L38" s="180"/>
      <c r="M38" s="804"/>
    </row>
    <row r="39" spans="1:13" hidden="1" x14ac:dyDescent="0.3">
      <c r="A39" s="804" t="s">
        <v>1806</v>
      </c>
      <c r="B39" s="804" t="s">
        <v>1807</v>
      </c>
      <c r="C39" s="807">
        <v>0.72219999999999995</v>
      </c>
      <c r="D39" s="806">
        <v>2019</v>
      </c>
      <c r="E39" s="806">
        <v>2026</v>
      </c>
      <c r="F39" s="804"/>
      <c r="G39" s="180"/>
      <c r="H39" s="180"/>
      <c r="I39" s="180"/>
      <c r="J39" s="180"/>
      <c r="K39" s="180"/>
      <c r="L39" s="180"/>
      <c r="M39" s="804"/>
    </row>
    <row r="40" spans="1:13" x14ac:dyDescent="0.3">
      <c r="A40" s="804" t="s">
        <v>1728</v>
      </c>
      <c r="B40" s="804" t="s">
        <v>501</v>
      </c>
      <c r="C40" s="807">
        <v>0.95</v>
      </c>
      <c r="D40" s="806">
        <v>2017</v>
      </c>
      <c r="E40" s="806">
        <v>2024</v>
      </c>
      <c r="F40" s="804"/>
      <c r="G40" s="180"/>
      <c r="H40" s="180"/>
      <c r="I40" s="180"/>
      <c r="J40" s="180"/>
      <c r="K40" s="180"/>
      <c r="L40" s="180"/>
      <c r="M40" s="804"/>
    </row>
    <row r="41" spans="1:13" hidden="1" x14ac:dyDescent="0.3">
      <c r="A41" s="804" t="s">
        <v>1808</v>
      </c>
      <c r="B41" s="804" t="s">
        <v>1809</v>
      </c>
      <c r="C41" s="807">
        <v>0.67779999999999996</v>
      </c>
      <c r="D41" s="806">
        <v>2021</v>
      </c>
      <c r="E41" s="806">
        <v>2025</v>
      </c>
      <c r="F41" s="804"/>
      <c r="G41" s="180"/>
      <c r="H41" s="180"/>
      <c r="I41" s="180"/>
      <c r="J41" s="180"/>
      <c r="K41" s="180"/>
      <c r="L41" s="180"/>
      <c r="M41" s="804"/>
    </row>
    <row r="42" spans="1:13" x14ac:dyDescent="0.3">
      <c r="A42" s="804" t="s">
        <v>1729</v>
      </c>
      <c r="B42" s="804" t="s">
        <v>1730</v>
      </c>
      <c r="C42" s="807">
        <v>0.79500000000000004</v>
      </c>
      <c r="D42" s="806">
        <v>2018</v>
      </c>
      <c r="E42" s="806">
        <v>2024</v>
      </c>
      <c r="F42" s="804"/>
      <c r="G42" s="180"/>
      <c r="H42" s="180"/>
      <c r="I42" s="180"/>
      <c r="J42" s="180"/>
      <c r="K42" s="180"/>
      <c r="L42" s="180"/>
      <c r="M42" s="804"/>
    </row>
    <row r="43" spans="1:13" hidden="1" x14ac:dyDescent="0.3">
      <c r="A43" s="804" t="s">
        <v>1810</v>
      </c>
      <c r="B43" s="804" t="s">
        <v>1811</v>
      </c>
      <c r="C43" s="807">
        <v>0.83</v>
      </c>
      <c r="D43" s="806">
        <v>2019</v>
      </c>
      <c r="E43" s="806">
        <v>2023</v>
      </c>
      <c r="F43" s="804"/>
      <c r="G43" s="180"/>
      <c r="H43" s="180"/>
      <c r="I43" s="180"/>
      <c r="J43" s="180"/>
      <c r="K43" s="180"/>
      <c r="L43" s="180"/>
      <c r="M43" s="804"/>
    </row>
    <row r="44" spans="1:13" hidden="1" x14ac:dyDescent="0.3">
      <c r="A44" s="804" t="s">
        <v>1812</v>
      </c>
      <c r="B44" s="804" t="s">
        <v>1813</v>
      </c>
      <c r="C44" s="807">
        <v>0.79</v>
      </c>
      <c r="D44" s="806">
        <v>2017</v>
      </c>
      <c r="E44" s="806">
        <v>2025</v>
      </c>
      <c r="F44" s="804"/>
      <c r="G44" s="180"/>
      <c r="H44" s="180"/>
      <c r="I44" s="180"/>
      <c r="J44" s="180"/>
      <c r="K44" s="180"/>
      <c r="L44" s="180"/>
      <c r="M44" s="804"/>
    </row>
    <row r="45" spans="1:13" hidden="1" x14ac:dyDescent="0.3">
      <c r="A45" s="804" t="s">
        <v>1814</v>
      </c>
      <c r="B45" s="804" t="s">
        <v>1815</v>
      </c>
      <c r="C45" s="807">
        <v>0.65</v>
      </c>
      <c r="D45" s="806">
        <v>2019</v>
      </c>
      <c r="E45" s="806">
        <v>2023</v>
      </c>
      <c r="F45" s="804"/>
      <c r="G45" s="180"/>
      <c r="H45" s="180"/>
      <c r="I45" s="180"/>
      <c r="J45" s="180"/>
      <c r="K45" s="180"/>
      <c r="L45" s="180"/>
      <c r="M45" s="804"/>
    </row>
    <row r="46" spans="1:13" x14ac:dyDescent="0.3">
      <c r="A46" s="804" t="s">
        <v>1731</v>
      </c>
      <c r="B46" s="804" t="s">
        <v>1732</v>
      </c>
      <c r="C46" s="807">
        <v>0.84</v>
      </c>
      <c r="D46" s="806">
        <v>2018</v>
      </c>
      <c r="E46" s="806">
        <v>2024</v>
      </c>
      <c r="F46" s="804"/>
      <c r="G46" s="180"/>
      <c r="H46" s="180"/>
      <c r="I46" s="180"/>
      <c r="J46" s="180"/>
      <c r="K46" s="180"/>
      <c r="L46" s="180"/>
      <c r="M46" s="804"/>
    </row>
    <row r="47" spans="1:13" hidden="1" x14ac:dyDescent="0.3">
      <c r="A47" s="804" t="s">
        <v>1816</v>
      </c>
      <c r="B47" s="804" t="s">
        <v>1817</v>
      </c>
      <c r="C47" s="807">
        <v>0.78600000000000003</v>
      </c>
      <c r="D47" s="806">
        <v>2021</v>
      </c>
      <c r="E47" s="806">
        <v>2029</v>
      </c>
      <c r="F47" s="804"/>
      <c r="G47" s="180"/>
      <c r="H47" s="180"/>
      <c r="I47" s="180"/>
      <c r="J47" s="180"/>
      <c r="K47" s="180"/>
      <c r="L47" s="180"/>
      <c r="M47" s="804"/>
    </row>
    <row r="48" spans="1:13" hidden="1" x14ac:dyDescent="0.3">
      <c r="A48" s="804" t="s">
        <v>1818</v>
      </c>
      <c r="B48" s="804" t="s">
        <v>1819</v>
      </c>
      <c r="C48" s="807">
        <v>0.73050000000000004</v>
      </c>
      <c r="D48" s="806">
        <v>2017</v>
      </c>
      <c r="E48" s="806">
        <v>2022</v>
      </c>
      <c r="F48" s="804"/>
      <c r="G48" s="180"/>
      <c r="H48" s="180"/>
      <c r="I48" s="180"/>
      <c r="J48" s="180"/>
      <c r="K48" s="180"/>
      <c r="L48" s="180"/>
      <c r="M48" s="804"/>
    </row>
    <row r="49" spans="1:13" x14ac:dyDescent="0.3">
      <c r="A49" s="804" t="s">
        <v>1733</v>
      </c>
      <c r="B49" s="804" t="s">
        <v>1734</v>
      </c>
      <c r="C49" s="807">
        <v>0.76</v>
      </c>
      <c r="D49" s="806">
        <v>2020</v>
      </c>
      <c r="E49" s="806">
        <v>2024</v>
      </c>
      <c r="F49" s="804"/>
      <c r="G49" s="180"/>
      <c r="H49" s="180"/>
      <c r="I49" s="180"/>
      <c r="J49" s="180"/>
      <c r="K49" s="180"/>
      <c r="L49" s="180"/>
      <c r="M49" s="804"/>
    </row>
    <row r="50" spans="1:13" hidden="1" x14ac:dyDescent="0.3">
      <c r="A50" s="804" t="s">
        <v>1820</v>
      </c>
      <c r="B50" s="804" t="s">
        <v>1821</v>
      </c>
      <c r="C50" s="807">
        <v>0.75</v>
      </c>
      <c r="D50" s="806">
        <v>2017</v>
      </c>
      <c r="E50" s="806">
        <v>2022</v>
      </c>
      <c r="F50" s="804"/>
      <c r="G50" s="180"/>
      <c r="H50" s="180"/>
      <c r="I50" s="180"/>
      <c r="J50" s="180"/>
      <c r="K50" s="180"/>
      <c r="L50" s="180"/>
      <c r="M50" s="804"/>
    </row>
    <row r="51" spans="1:13" hidden="1" x14ac:dyDescent="0.3">
      <c r="A51" s="804" t="s">
        <v>1822</v>
      </c>
      <c r="B51" s="804" t="s">
        <v>1823</v>
      </c>
      <c r="C51" s="807">
        <v>0.53500000000000003</v>
      </c>
      <c r="D51" s="806">
        <v>2021</v>
      </c>
      <c r="E51" s="806">
        <v>2025</v>
      </c>
      <c r="F51" s="804"/>
      <c r="G51" s="180"/>
      <c r="H51" s="180"/>
      <c r="I51" s="180"/>
      <c r="J51" s="180"/>
      <c r="K51" s="180"/>
      <c r="L51" s="180"/>
      <c r="M51" s="804"/>
    </row>
    <row r="52" spans="1:13" hidden="1" x14ac:dyDescent="0.3">
      <c r="A52" s="804" t="s">
        <v>1824</v>
      </c>
      <c r="B52" s="804" t="s">
        <v>1825</v>
      </c>
      <c r="C52" s="807">
        <v>0.56100000000000005</v>
      </c>
      <c r="D52" s="806">
        <v>2019</v>
      </c>
      <c r="E52" s="806">
        <v>2023</v>
      </c>
      <c r="F52" s="804"/>
      <c r="G52" s="180"/>
      <c r="H52" s="180"/>
      <c r="I52" s="180"/>
      <c r="J52" s="180"/>
      <c r="K52" s="180"/>
      <c r="L52" s="180"/>
      <c r="M52" s="804"/>
    </row>
    <row r="53" spans="1:13" hidden="1" x14ac:dyDescent="0.3">
      <c r="A53" s="804" t="s">
        <v>1826</v>
      </c>
      <c r="B53" s="804" t="s">
        <v>1827</v>
      </c>
      <c r="C53" s="807">
        <v>0.84</v>
      </c>
      <c r="D53" s="806">
        <v>2019</v>
      </c>
      <c r="E53" s="806">
        <v>2027</v>
      </c>
      <c r="F53" s="804"/>
      <c r="G53" s="180"/>
      <c r="H53" s="180"/>
      <c r="I53" s="180"/>
      <c r="J53" s="180"/>
      <c r="K53" s="180"/>
      <c r="L53" s="180"/>
      <c r="M53" s="804"/>
    </row>
    <row r="54" spans="1:13" hidden="1" x14ac:dyDescent="0.3">
      <c r="A54" s="804" t="s">
        <v>1828</v>
      </c>
      <c r="B54" s="804" t="s">
        <v>1829</v>
      </c>
      <c r="C54" s="807">
        <v>0.75</v>
      </c>
      <c r="D54" s="806">
        <v>2014</v>
      </c>
      <c r="E54" s="806">
        <v>2022</v>
      </c>
      <c r="F54" s="804"/>
      <c r="G54" s="180"/>
      <c r="H54" s="180"/>
      <c r="I54" s="180"/>
      <c r="J54" s="180"/>
      <c r="K54" s="180"/>
      <c r="L54" s="180"/>
      <c r="M54" s="804"/>
    </row>
    <row r="55" spans="1:13" hidden="1" x14ac:dyDescent="0.3">
      <c r="A55" s="804" t="s">
        <v>1830</v>
      </c>
      <c r="B55" s="804" t="s">
        <v>523</v>
      </c>
      <c r="C55" s="807">
        <v>0.79500000000000004</v>
      </c>
      <c r="D55" s="806">
        <v>2017</v>
      </c>
      <c r="E55" s="806">
        <v>2023</v>
      </c>
      <c r="F55" s="804"/>
      <c r="G55" s="180"/>
      <c r="H55" s="180"/>
      <c r="I55" s="180"/>
      <c r="J55" s="180"/>
      <c r="K55" s="180"/>
      <c r="L55" s="180"/>
      <c r="M55" s="804"/>
    </row>
    <row r="56" spans="1:13" hidden="1" x14ac:dyDescent="0.3">
      <c r="A56" s="804" t="s">
        <v>1831</v>
      </c>
      <c r="B56" s="804" t="s">
        <v>1832</v>
      </c>
      <c r="C56" s="807">
        <v>0.53749999999999998</v>
      </c>
      <c r="D56" s="806">
        <v>2019</v>
      </c>
      <c r="E56" s="806">
        <v>2023</v>
      </c>
      <c r="F56" s="804"/>
      <c r="G56" s="180"/>
      <c r="H56" s="180"/>
      <c r="I56" s="180"/>
      <c r="J56" s="180"/>
      <c r="K56" s="180"/>
      <c r="L56" s="180"/>
      <c r="M56" s="804"/>
    </row>
    <row r="57" spans="1:13" hidden="1" x14ac:dyDescent="0.3">
      <c r="A57" s="804" t="s">
        <v>1833</v>
      </c>
      <c r="B57" s="804" t="s">
        <v>1834</v>
      </c>
      <c r="C57" s="807">
        <v>0.36</v>
      </c>
      <c r="D57" s="806">
        <v>2021</v>
      </c>
      <c r="E57" s="806">
        <v>2025</v>
      </c>
      <c r="F57" s="804"/>
      <c r="G57" s="180"/>
      <c r="H57" s="180"/>
      <c r="I57" s="180"/>
      <c r="J57" s="180"/>
      <c r="K57" s="180"/>
      <c r="L57" s="180"/>
      <c r="M57" s="804"/>
    </row>
    <row r="58" spans="1:13" hidden="1" x14ac:dyDescent="0.3">
      <c r="A58" s="804" t="s">
        <v>1835</v>
      </c>
      <c r="B58" s="804" t="s">
        <v>1836</v>
      </c>
      <c r="C58" s="805">
        <v>0.73</v>
      </c>
      <c r="D58" s="806">
        <v>2019</v>
      </c>
      <c r="E58" s="806">
        <v>2025</v>
      </c>
      <c r="F58" s="804"/>
      <c r="G58" s="180"/>
      <c r="H58" s="180"/>
      <c r="I58" s="180"/>
      <c r="J58" s="180"/>
      <c r="K58" s="180"/>
      <c r="L58" s="180"/>
      <c r="M58" s="804"/>
    </row>
    <row r="59" spans="1:13" hidden="1" x14ac:dyDescent="0.3">
      <c r="A59" s="804" t="s">
        <v>1837</v>
      </c>
      <c r="B59" s="804" t="s">
        <v>1838</v>
      </c>
      <c r="C59" s="805">
        <v>0.75</v>
      </c>
      <c r="D59" s="806">
        <v>2014</v>
      </c>
      <c r="E59" s="806">
        <v>2022</v>
      </c>
      <c r="F59" s="804"/>
      <c r="G59" s="180"/>
      <c r="H59" s="180"/>
      <c r="I59" s="180"/>
      <c r="J59" s="180"/>
      <c r="K59" s="180"/>
      <c r="L59" s="180"/>
      <c r="M59" s="804"/>
    </row>
    <row r="60" spans="1:13" hidden="1" x14ac:dyDescent="0.3">
      <c r="A60" s="804" t="s">
        <v>1839</v>
      </c>
      <c r="B60" s="804" t="s">
        <v>1840</v>
      </c>
      <c r="C60" s="805">
        <v>0.76</v>
      </c>
      <c r="D60" s="806">
        <v>2019</v>
      </c>
      <c r="E60" s="806">
        <v>2023</v>
      </c>
      <c r="F60" s="804"/>
      <c r="G60" s="180"/>
      <c r="H60" s="180"/>
      <c r="I60" s="180"/>
      <c r="J60" s="180"/>
      <c r="K60" s="180"/>
      <c r="L60" s="180"/>
      <c r="M60" s="804"/>
    </row>
    <row r="61" spans="1:13" hidden="1" x14ac:dyDescent="0.3">
      <c r="A61" s="804" t="s">
        <v>1841</v>
      </c>
      <c r="B61" s="804" t="s">
        <v>1842</v>
      </c>
      <c r="C61" s="805">
        <v>0.84499999999999997</v>
      </c>
      <c r="D61" s="806">
        <v>2017</v>
      </c>
      <c r="E61" s="806">
        <v>2025</v>
      </c>
      <c r="F61" s="804"/>
      <c r="G61" s="180"/>
      <c r="H61" s="180"/>
      <c r="I61" s="180"/>
      <c r="J61" s="180"/>
      <c r="K61" s="180"/>
      <c r="L61" s="180"/>
      <c r="M61" s="804"/>
    </row>
    <row r="62" spans="1:13" hidden="1" x14ac:dyDescent="0.3">
      <c r="A62" s="804" t="s">
        <v>1843</v>
      </c>
      <c r="B62" s="804" t="s">
        <v>1844</v>
      </c>
      <c r="C62" s="805">
        <v>0.61899999999999999</v>
      </c>
      <c r="D62" s="806">
        <v>2019</v>
      </c>
      <c r="E62" s="806">
        <v>2023</v>
      </c>
      <c r="F62" s="804"/>
      <c r="G62" s="180"/>
      <c r="H62" s="180"/>
      <c r="I62" s="180"/>
      <c r="J62" s="180"/>
      <c r="K62" s="180"/>
      <c r="L62" s="180"/>
      <c r="M62" s="804"/>
    </row>
    <row r="63" spans="1:13" hidden="1" x14ac:dyDescent="0.3">
      <c r="A63" s="804" t="s">
        <v>1845</v>
      </c>
      <c r="B63" s="804" t="s">
        <v>1846</v>
      </c>
      <c r="C63" s="805">
        <v>0.4</v>
      </c>
      <c r="D63" s="806">
        <v>2019</v>
      </c>
      <c r="E63" s="806">
        <v>2023</v>
      </c>
      <c r="F63" s="804"/>
      <c r="G63" s="180"/>
      <c r="H63" s="180"/>
      <c r="I63" s="180"/>
      <c r="J63" s="180"/>
      <c r="K63" s="180"/>
      <c r="L63" s="180"/>
      <c r="M63" s="804"/>
    </row>
    <row r="64" spans="1:13" hidden="1" x14ac:dyDescent="0.3">
      <c r="A64" s="804" t="s">
        <v>1847</v>
      </c>
      <c r="B64" s="804" t="s">
        <v>1848</v>
      </c>
      <c r="C64" s="805">
        <v>0.5</v>
      </c>
      <c r="D64" s="806">
        <v>2020</v>
      </c>
      <c r="E64" s="806">
        <v>2028</v>
      </c>
      <c r="F64" s="804"/>
      <c r="G64" s="180"/>
      <c r="H64" s="180"/>
      <c r="I64" s="180"/>
      <c r="J64" s="180"/>
      <c r="K64" s="180"/>
      <c r="L64" s="180"/>
      <c r="M64" s="804"/>
    </row>
    <row r="65" spans="1:13" hidden="1" x14ac:dyDescent="0.3">
      <c r="A65" s="804" t="s">
        <v>1849</v>
      </c>
      <c r="B65" s="804" t="s">
        <v>861</v>
      </c>
      <c r="C65" s="805">
        <v>0.81</v>
      </c>
      <c r="D65" s="806">
        <v>2017</v>
      </c>
      <c r="E65" s="806">
        <v>2025</v>
      </c>
      <c r="F65" s="804"/>
      <c r="G65" s="180"/>
      <c r="H65" s="180"/>
      <c r="I65" s="180"/>
      <c r="J65" s="180"/>
      <c r="K65" s="180"/>
      <c r="L65" s="180"/>
      <c r="M65" s="804"/>
    </row>
    <row r="66" spans="1:13" hidden="1" x14ac:dyDescent="0.3">
      <c r="A66" s="804" t="s">
        <v>1850</v>
      </c>
      <c r="B66" s="804" t="s">
        <v>1851</v>
      </c>
      <c r="C66" s="805">
        <v>0.57750000000000001</v>
      </c>
      <c r="D66" s="806">
        <v>2019</v>
      </c>
      <c r="E66" s="806">
        <v>2023</v>
      </c>
      <c r="F66" s="804"/>
      <c r="G66" s="180"/>
      <c r="H66" s="180"/>
      <c r="I66" s="180"/>
      <c r="J66" s="180"/>
      <c r="K66" s="180"/>
      <c r="L66" s="180"/>
      <c r="M66" s="804"/>
    </row>
    <row r="67" spans="1:13" hidden="1" x14ac:dyDescent="0.3">
      <c r="A67" s="804" t="s">
        <v>1852</v>
      </c>
      <c r="B67" s="804" t="s">
        <v>1853</v>
      </c>
      <c r="C67" s="805">
        <v>0.6169</v>
      </c>
      <c r="D67" s="806">
        <v>2019</v>
      </c>
      <c r="E67" s="806">
        <v>2023</v>
      </c>
      <c r="F67" s="804"/>
      <c r="G67" s="180"/>
      <c r="H67" s="180"/>
      <c r="I67" s="180"/>
      <c r="J67" s="180"/>
      <c r="K67" s="180"/>
      <c r="L67" s="180"/>
      <c r="M67" s="804"/>
    </row>
    <row r="68" spans="1:13" hidden="1" x14ac:dyDescent="0.3">
      <c r="A68" s="804" t="s">
        <v>1854</v>
      </c>
      <c r="B68" s="804" t="s">
        <v>1855</v>
      </c>
      <c r="C68" s="805">
        <v>0.57999999999999996</v>
      </c>
      <c r="D68" s="806">
        <v>2018</v>
      </c>
      <c r="E68" s="806">
        <v>2022</v>
      </c>
      <c r="F68" s="804"/>
      <c r="G68" s="180"/>
      <c r="H68" s="180"/>
      <c r="I68" s="180"/>
      <c r="J68" s="180"/>
      <c r="K68" s="180"/>
      <c r="L68" s="180"/>
      <c r="M68" s="804"/>
    </row>
    <row r="69" spans="1:13" hidden="1" x14ac:dyDescent="0.3">
      <c r="A69" s="804" t="s">
        <v>1856</v>
      </c>
      <c r="B69" s="804" t="s">
        <v>1857</v>
      </c>
      <c r="C69" s="805">
        <v>0.61499999999999999</v>
      </c>
      <c r="D69" s="806">
        <v>2020</v>
      </c>
      <c r="E69" s="806">
        <v>2028</v>
      </c>
      <c r="F69" s="804"/>
      <c r="G69" s="180"/>
      <c r="H69" s="180"/>
      <c r="I69" s="180"/>
      <c r="J69" s="180"/>
      <c r="K69" s="180"/>
      <c r="L69" s="180"/>
      <c r="M69" s="804"/>
    </row>
    <row r="70" spans="1:13" hidden="1" x14ac:dyDescent="0.3">
      <c r="A70" s="804" t="s">
        <v>1858</v>
      </c>
      <c r="B70" s="804" t="s">
        <v>1859</v>
      </c>
      <c r="C70" s="805">
        <v>0.51</v>
      </c>
      <c r="D70" s="806">
        <v>2019</v>
      </c>
      <c r="E70" s="806">
        <v>2023</v>
      </c>
      <c r="F70" s="804"/>
      <c r="G70" s="180"/>
      <c r="H70" s="180"/>
      <c r="I70" s="180"/>
      <c r="J70" s="180"/>
      <c r="K70" s="180"/>
      <c r="L70" s="180"/>
      <c r="M70" s="804"/>
    </row>
    <row r="71" spans="1:13" x14ac:dyDescent="0.3">
      <c r="A71" s="804" t="s">
        <v>1735</v>
      </c>
      <c r="B71" s="804" t="s">
        <v>1736</v>
      </c>
      <c r="C71" s="805">
        <v>0.67</v>
      </c>
      <c r="D71" s="806">
        <v>2017</v>
      </c>
      <c r="E71" s="806">
        <v>2024</v>
      </c>
      <c r="F71" s="804"/>
      <c r="G71" s="180"/>
      <c r="H71" s="180"/>
      <c r="I71" s="180"/>
      <c r="J71" s="180"/>
      <c r="K71" s="180"/>
      <c r="L71" s="180"/>
      <c r="M71" s="804"/>
    </row>
    <row r="72" spans="1:13" hidden="1" x14ac:dyDescent="0.3">
      <c r="A72" s="804" t="s">
        <v>1860</v>
      </c>
      <c r="B72" s="804" t="s">
        <v>1861</v>
      </c>
      <c r="C72" s="805">
        <v>0.47499999999999998</v>
      </c>
      <c r="D72" s="806">
        <v>2021</v>
      </c>
      <c r="E72" s="806">
        <v>2025</v>
      </c>
      <c r="F72" s="804"/>
      <c r="G72" s="180"/>
      <c r="H72" s="180"/>
      <c r="I72" s="180"/>
      <c r="J72" s="180"/>
      <c r="K72" s="180"/>
      <c r="L72" s="180"/>
      <c r="M72" s="804"/>
    </row>
    <row r="73" spans="1:13" hidden="1" x14ac:dyDescent="0.3">
      <c r="A73" s="613" t="s">
        <v>1862</v>
      </c>
      <c r="B73" s="613" t="s">
        <v>532</v>
      </c>
      <c r="C73" s="808">
        <v>0.90500000000000003</v>
      </c>
      <c r="D73" s="614">
        <v>2015</v>
      </c>
      <c r="E73" s="614">
        <v>2023</v>
      </c>
      <c r="G73" s="180"/>
      <c r="H73" s="180"/>
      <c r="I73" s="180"/>
      <c r="J73" s="180"/>
      <c r="K73" s="180"/>
      <c r="L73" s="180"/>
    </row>
    <row r="74" spans="1:13" hidden="1" x14ac:dyDescent="0.3">
      <c r="A74" s="613" t="s">
        <v>1863</v>
      </c>
      <c r="B74" s="613" t="s">
        <v>1864</v>
      </c>
      <c r="C74" s="808">
        <v>0.70499999999999996</v>
      </c>
      <c r="D74" s="614">
        <v>2018</v>
      </c>
      <c r="E74" s="614">
        <v>2022</v>
      </c>
      <c r="G74" s="180"/>
      <c r="H74" s="180"/>
      <c r="I74" s="180"/>
      <c r="J74" s="180"/>
      <c r="K74" s="180"/>
      <c r="L74" s="180"/>
    </row>
    <row r="75" spans="1:13" hidden="1" x14ac:dyDescent="0.3">
      <c r="A75" s="613" t="s">
        <v>1865</v>
      </c>
      <c r="B75" s="613" t="s">
        <v>1866</v>
      </c>
      <c r="C75" s="808">
        <v>0.81869999999999998</v>
      </c>
      <c r="D75" s="614">
        <v>2021</v>
      </c>
      <c r="E75" s="614">
        <v>2025</v>
      </c>
      <c r="G75" s="180"/>
      <c r="H75" s="180"/>
      <c r="I75" s="180"/>
      <c r="J75" s="180"/>
      <c r="K75" s="180"/>
      <c r="L75" s="180"/>
    </row>
    <row r="76" spans="1:13" hidden="1" x14ac:dyDescent="0.3">
      <c r="A76" s="613" t="s">
        <v>1867</v>
      </c>
      <c r="B76" s="613" t="s">
        <v>1868</v>
      </c>
      <c r="C76" s="808">
        <v>0.625</v>
      </c>
      <c r="D76" s="614">
        <v>2020</v>
      </c>
      <c r="E76" s="614">
        <v>2028</v>
      </c>
      <c r="G76" s="180"/>
      <c r="H76" s="180"/>
      <c r="I76" s="180"/>
      <c r="J76" s="180"/>
      <c r="K76" s="180"/>
      <c r="L76" s="180"/>
    </row>
    <row r="77" spans="1:13" hidden="1" x14ac:dyDescent="0.3">
      <c r="A77" s="613" t="s">
        <v>1869</v>
      </c>
      <c r="B77" s="613" t="s">
        <v>1870</v>
      </c>
      <c r="C77" s="808">
        <v>0.77</v>
      </c>
      <c r="D77" s="614">
        <v>2014</v>
      </c>
      <c r="E77" s="614">
        <v>2022</v>
      </c>
      <c r="G77" s="180"/>
      <c r="H77" s="180"/>
      <c r="I77" s="180"/>
      <c r="J77" s="180"/>
      <c r="K77" s="180"/>
      <c r="L77" s="180"/>
    </row>
    <row r="78" spans="1:13" hidden="1" x14ac:dyDescent="0.3">
      <c r="A78" s="613" t="s">
        <v>1871</v>
      </c>
      <c r="B78" s="613" t="s">
        <v>535</v>
      </c>
      <c r="C78" s="808">
        <v>0.64500000000000002</v>
      </c>
      <c r="D78" s="614">
        <v>2019</v>
      </c>
      <c r="E78" s="614">
        <v>2027</v>
      </c>
      <c r="G78" s="180"/>
      <c r="H78" s="180"/>
      <c r="I78" s="180"/>
      <c r="J78" s="180"/>
      <c r="K78" s="180"/>
      <c r="L78" s="180"/>
    </row>
    <row r="79" spans="1:13" x14ac:dyDescent="0.3">
      <c r="A79" s="613" t="s">
        <v>1737</v>
      </c>
      <c r="B79" s="613" t="s">
        <v>1738</v>
      </c>
      <c r="C79" s="808">
        <v>0.61</v>
      </c>
      <c r="D79" s="614">
        <v>2016</v>
      </c>
      <c r="E79" s="614">
        <v>2024</v>
      </c>
      <c r="G79" s="180"/>
      <c r="H79" s="180"/>
      <c r="I79" s="180"/>
      <c r="J79" s="180"/>
      <c r="K79" s="180"/>
      <c r="L79" s="180"/>
    </row>
    <row r="80" spans="1:13" hidden="1" x14ac:dyDescent="0.3">
      <c r="A80" s="613" t="s">
        <v>1872</v>
      </c>
      <c r="B80" s="613" t="s">
        <v>1873</v>
      </c>
      <c r="C80" s="808">
        <v>0.72</v>
      </c>
      <c r="D80" s="614">
        <v>2021</v>
      </c>
      <c r="E80" s="614">
        <v>2025</v>
      </c>
      <c r="G80" s="180"/>
      <c r="H80" s="180"/>
      <c r="I80" s="180"/>
      <c r="J80" s="180"/>
      <c r="K80" s="180"/>
      <c r="L80" s="180"/>
    </row>
    <row r="81" spans="1:12" x14ac:dyDescent="0.3">
      <c r="A81" s="613" t="s">
        <v>1739</v>
      </c>
      <c r="B81" s="613" t="s">
        <v>1740</v>
      </c>
      <c r="C81" s="808">
        <v>0.68410000000000004</v>
      </c>
      <c r="D81" s="614">
        <v>2020</v>
      </c>
      <c r="E81" s="614">
        <v>2024</v>
      </c>
      <c r="G81" s="180"/>
      <c r="H81" s="180"/>
      <c r="I81" s="180"/>
      <c r="J81" s="180"/>
      <c r="K81" s="180"/>
      <c r="L81" s="180"/>
    </row>
    <row r="82" spans="1:12" hidden="1" x14ac:dyDescent="0.3">
      <c r="A82" s="613" t="s">
        <v>1874</v>
      </c>
      <c r="B82" s="613" t="s">
        <v>1875</v>
      </c>
      <c r="C82" s="808">
        <v>0.51429999999999998</v>
      </c>
      <c r="D82" s="614">
        <v>2021</v>
      </c>
      <c r="E82" s="614">
        <v>2025</v>
      </c>
      <c r="G82" s="180"/>
      <c r="H82" s="180"/>
      <c r="I82" s="180"/>
      <c r="J82" s="180"/>
      <c r="K82" s="180"/>
      <c r="L82" s="180"/>
    </row>
    <row r="83" spans="1:12" hidden="1" x14ac:dyDescent="0.3">
      <c r="A83" s="613" t="s">
        <v>1876</v>
      </c>
      <c r="B83" s="613" t="s">
        <v>1877</v>
      </c>
      <c r="C83" s="808">
        <v>0.63270000000000004</v>
      </c>
      <c r="D83" s="614">
        <v>2019</v>
      </c>
      <c r="E83" s="614">
        <v>2023</v>
      </c>
      <c r="G83" s="180"/>
      <c r="H83" s="180"/>
      <c r="I83" s="180"/>
      <c r="J83" s="180"/>
      <c r="K83" s="180"/>
      <c r="L83" s="180"/>
    </row>
    <row r="84" spans="1:12" x14ac:dyDescent="0.3">
      <c r="A84" s="613" t="s">
        <v>1741</v>
      </c>
      <c r="B84" s="613" t="s">
        <v>1742</v>
      </c>
      <c r="C84" s="808">
        <v>0.83</v>
      </c>
      <c r="D84" s="614">
        <v>2016</v>
      </c>
      <c r="E84" s="614">
        <v>2024</v>
      </c>
      <c r="G84" s="180"/>
      <c r="H84" s="180"/>
      <c r="I84" s="180"/>
      <c r="J84" s="180"/>
      <c r="K84" s="180"/>
      <c r="L84" s="180"/>
    </row>
    <row r="85" spans="1:12" x14ac:dyDescent="0.3">
      <c r="A85" s="613" t="s">
        <v>1743</v>
      </c>
      <c r="B85" s="613" t="s">
        <v>1744</v>
      </c>
      <c r="C85" s="808">
        <v>0.77</v>
      </c>
      <c r="D85" s="614">
        <v>2018</v>
      </c>
      <c r="E85" s="614">
        <v>2024</v>
      </c>
      <c r="G85" s="180"/>
      <c r="H85" s="180"/>
      <c r="I85" s="180"/>
      <c r="J85" s="180"/>
      <c r="K85" s="180"/>
      <c r="L85" s="180"/>
    </row>
    <row r="86" spans="1:12" x14ac:dyDescent="0.3">
      <c r="A86" s="613" t="s">
        <v>1745</v>
      </c>
      <c r="B86" s="613" t="s">
        <v>1746</v>
      </c>
      <c r="C86" s="808">
        <v>0.69499999999999995</v>
      </c>
      <c r="D86" s="614">
        <v>2019</v>
      </c>
      <c r="E86" s="614">
        <v>2024</v>
      </c>
      <c r="G86" s="180"/>
      <c r="H86" s="180"/>
      <c r="I86" s="180"/>
      <c r="J86" s="180"/>
      <c r="K86" s="180"/>
      <c r="L86" s="180"/>
    </row>
    <row r="87" spans="1:12" hidden="1" x14ac:dyDescent="0.3">
      <c r="A87" s="613" t="s">
        <v>1878</v>
      </c>
      <c r="B87" s="613" t="s">
        <v>1879</v>
      </c>
      <c r="C87" s="808">
        <v>0.65749999999999997</v>
      </c>
      <c r="D87" s="614">
        <v>2019</v>
      </c>
      <c r="E87" s="614">
        <v>2023</v>
      </c>
      <c r="G87" s="180"/>
      <c r="H87" s="180"/>
      <c r="I87" s="180"/>
      <c r="J87" s="180"/>
      <c r="K87" s="180"/>
      <c r="L87" s="180"/>
    </row>
    <row r="88" spans="1:12" hidden="1" x14ac:dyDescent="0.3">
      <c r="A88" s="613" t="s">
        <v>1880</v>
      </c>
      <c r="B88" s="613" t="s">
        <v>1881</v>
      </c>
      <c r="C88" s="808">
        <v>0.59699999999999998</v>
      </c>
      <c r="D88" s="614">
        <v>2019</v>
      </c>
      <c r="E88" s="614">
        <v>2023</v>
      </c>
      <c r="G88" s="180"/>
      <c r="H88" s="180"/>
      <c r="I88" s="180"/>
      <c r="J88" s="180"/>
      <c r="K88" s="180"/>
      <c r="L88" s="180"/>
    </row>
    <row r="89" spans="1:12" hidden="1" x14ac:dyDescent="0.3">
      <c r="A89" s="613" t="s">
        <v>1882</v>
      </c>
      <c r="B89" s="613" t="s">
        <v>1883</v>
      </c>
      <c r="C89" s="808">
        <v>0.82499999999999996</v>
      </c>
      <c r="D89" s="614">
        <v>2019</v>
      </c>
      <c r="E89" s="614">
        <v>2027</v>
      </c>
      <c r="G89" s="180"/>
      <c r="H89" s="180"/>
      <c r="I89" s="180"/>
      <c r="J89" s="180"/>
      <c r="K89" s="180"/>
      <c r="L89" s="180"/>
    </row>
    <row r="90" spans="1:12" hidden="1" x14ac:dyDescent="0.3">
      <c r="A90" s="613" t="s">
        <v>1884</v>
      </c>
      <c r="B90" s="613" t="s">
        <v>549</v>
      </c>
      <c r="C90" s="808">
        <v>1</v>
      </c>
      <c r="D90" s="614">
        <v>2019</v>
      </c>
      <c r="E90" s="614">
        <v>2027</v>
      </c>
      <c r="G90" s="180"/>
      <c r="H90" s="180"/>
      <c r="I90" s="180"/>
      <c r="J90" s="180"/>
      <c r="K90" s="180"/>
      <c r="L90" s="180"/>
    </row>
    <row r="91" spans="1:12" hidden="1" x14ac:dyDescent="0.3">
      <c r="A91" s="613" t="s">
        <v>1885</v>
      </c>
      <c r="B91" s="613" t="s">
        <v>1886</v>
      </c>
      <c r="C91" s="808">
        <v>0.61</v>
      </c>
      <c r="D91" s="614">
        <v>2021</v>
      </c>
      <c r="E91" s="614">
        <v>2025</v>
      </c>
      <c r="G91" s="180"/>
      <c r="H91" s="180"/>
      <c r="I91" s="180"/>
      <c r="J91" s="180"/>
      <c r="K91" s="180"/>
      <c r="L91" s="180"/>
    </row>
    <row r="92" spans="1:12" hidden="1" x14ac:dyDescent="0.3">
      <c r="A92" s="613" t="s">
        <v>1887</v>
      </c>
      <c r="B92" s="613" t="s">
        <v>1888</v>
      </c>
      <c r="C92" s="808">
        <v>0.66</v>
      </c>
      <c r="D92" s="614">
        <v>2021</v>
      </c>
      <c r="E92" s="614">
        <v>2025</v>
      </c>
      <c r="G92" s="180"/>
      <c r="H92" s="180"/>
      <c r="I92" s="180"/>
      <c r="J92" s="180"/>
      <c r="K92" s="180"/>
      <c r="L92" s="180"/>
    </row>
    <row r="93" spans="1:12" hidden="1" x14ac:dyDescent="0.3">
      <c r="A93" s="613" t="s">
        <v>1889</v>
      </c>
      <c r="B93" s="613" t="s">
        <v>1890</v>
      </c>
      <c r="C93" s="808">
        <v>0.55200000000000005</v>
      </c>
      <c r="D93" s="614">
        <v>2021</v>
      </c>
      <c r="E93" s="614">
        <v>2025</v>
      </c>
      <c r="G93" s="180"/>
      <c r="H93" s="180"/>
      <c r="I93" s="180"/>
      <c r="J93" s="180"/>
      <c r="K93" s="180"/>
      <c r="L93" s="180"/>
    </row>
    <row r="94" spans="1:12" hidden="1" x14ac:dyDescent="0.3">
      <c r="A94" s="613" t="s">
        <v>1891</v>
      </c>
      <c r="B94" s="613" t="s">
        <v>1892</v>
      </c>
      <c r="C94" s="808">
        <v>0.36</v>
      </c>
      <c r="D94" s="614">
        <v>2021</v>
      </c>
      <c r="E94" s="614">
        <v>2029</v>
      </c>
      <c r="G94" s="180"/>
      <c r="H94" s="180"/>
      <c r="I94" s="180"/>
      <c r="J94" s="180"/>
      <c r="K94" s="180"/>
      <c r="L94" s="180"/>
    </row>
    <row r="95" spans="1:12" hidden="1" x14ac:dyDescent="0.3">
      <c r="A95" s="613" t="s">
        <v>1893</v>
      </c>
      <c r="B95" s="613" t="s">
        <v>1894</v>
      </c>
      <c r="C95" s="808">
        <v>0.60329999999999995</v>
      </c>
      <c r="D95" s="614">
        <v>2021</v>
      </c>
      <c r="E95" s="614">
        <v>2025</v>
      </c>
      <c r="G95" s="180"/>
      <c r="H95" s="180"/>
      <c r="I95" s="180"/>
      <c r="J95" s="180"/>
      <c r="K95" s="180"/>
      <c r="L95" s="180"/>
    </row>
    <row r="96" spans="1:12" hidden="1" x14ac:dyDescent="0.3">
      <c r="A96" s="613" t="s">
        <v>1895</v>
      </c>
      <c r="B96" s="613" t="s">
        <v>558</v>
      </c>
      <c r="C96" s="808">
        <v>0.95</v>
      </c>
      <c r="D96" s="614">
        <v>2017</v>
      </c>
      <c r="E96" s="614">
        <v>2025</v>
      </c>
      <c r="G96" s="180"/>
      <c r="H96" s="180"/>
      <c r="I96" s="180"/>
      <c r="J96" s="180"/>
      <c r="K96" s="180"/>
      <c r="L96" s="180"/>
    </row>
    <row r="97" spans="1:12" hidden="1" x14ac:dyDescent="0.3">
      <c r="A97" s="613" t="s">
        <v>1896</v>
      </c>
      <c r="B97" s="613" t="s">
        <v>1897</v>
      </c>
      <c r="C97" s="808">
        <v>0.58799999999999997</v>
      </c>
      <c r="D97" s="614">
        <v>2021</v>
      </c>
      <c r="E97" s="614">
        <v>2025</v>
      </c>
      <c r="G97" s="180"/>
      <c r="H97" s="180"/>
      <c r="I97" s="180"/>
      <c r="J97" s="180"/>
      <c r="K97" s="180"/>
      <c r="L97" s="180"/>
    </row>
    <row r="98" spans="1:12" x14ac:dyDescent="0.3">
      <c r="A98" s="613" t="s">
        <v>1747</v>
      </c>
      <c r="B98" s="613" t="s">
        <v>1748</v>
      </c>
      <c r="C98" s="808">
        <v>0.89</v>
      </c>
      <c r="D98" s="614">
        <v>2016</v>
      </c>
      <c r="E98" s="614">
        <v>2024</v>
      </c>
    </row>
    <row r="99" spans="1:12" x14ac:dyDescent="0.3">
      <c r="A99" s="613" t="s">
        <v>1749</v>
      </c>
      <c r="B99" s="613" t="s">
        <v>1750</v>
      </c>
      <c r="C99" s="808">
        <v>0.6</v>
      </c>
      <c r="D99" s="614">
        <v>2020</v>
      </c>
      <c r="E99" s="614">
        <v>2024</v>
      </c>
    </row>
    <row r="100" spans="1:12" hidden="1" x14ac:dyDescent="0.3">
      <c r="A100" s="613" t="s">
        <v>1898</v>
      </c>
      <c r="B100" s="613" t="s">
        <v>1899</v>
      </c>
      <c r="C100" s="808">
        <v>0.81</v>
      </c>
      <c r="D100" s="614">
        <v>2017</v>
      </c>
      <c r="E100" s="614">
        <v>2025</v>
      </c>
    </row>
    <row r="101" spans="1:12" hidden="1" x14ac:dyDescent="0.3">
      <c r="A101" s="613" t="s">
        <v>1900</v>
      </c>
      <c r="B101" s="613" t="s">
        <v>1901</v>
      </c>
      <c r="C101" s="808">
        <v>0.85</v>
      </c>
      <c r="D101" s="614">
        <v>2021</v>
      </c>
      <c r="E101" s="614">
        <v>2029</v>
      </c>
    </row>
    <row r="102" spans="1:12" hidden="1" x14ac:dyDescent="0.3">
      <c r="A102" s="613" t="s">
        <v>1902</v>
      </c>
      <c r="B102" s="613" t="s">
        <v>1903</v>
      </c>
      <c r="C102" s="808">
        <v>0.40300000000000002</v>
      </c>
      <c r="D102" s="614">
        <v>2014</v>
      </c>
      <c r="E102" s="614">
        <v>2022</v>
      </c>
    </row>
    <row r="103" spans="1:12" hidden="1" x14ac:dyDescent="0.3">
      <c r="A103" s="613" t="s">
        <v>1904</v>
      </c>
      <c r="B103" s="613" t="s">
        <v>1905</v>
      </c>
      <c r="C103" s="808">
        <v>0.70750000000000002</v>
      </c>
      <c r="D103" s="614">
        <v>2019</v>
      </c>
      <c r="E103" s="614">
        <v>2027</v>
      </c>
    </row>
    <row r="104" spans="1:12" hidden="1" x14ac:dyDescent="0.3">
      <c r="A104" s="613" t="s">
        <v>1906</v>
      </c>
      <c r="B104" s="613" t="s">
        <v>1907</v>
      </c>
      <c r="C104" s="808">
        <v>0.66</v>
      </c>
      <c r="D104" s="614">
        <v>2019</v>
      </c>
      <c r="E104" s="614">
        <v>2023</v>
      </c>
    </row>
    <row r="105" spans="1:12" x14ac:dyDescent="0.3">
      <c r="A105" s="613" t="s">
        <v>1751</v>
      </c>
      <c r="B105" s="613" t="s">
        <v>1752</v>
      </c>
      <c r="C105" s="808">
        <v>0.73</v>
      </c>
      <c r="D105" s="614">
        <v>2016</v>
      </c>
      <c r="E105" s="614">
        <v>2024</v>
      </c>
    </row>
    <row r="106" spans="1:12" hidden="1" x14ac:dyDescent="0.3">
      <c r="A106" s="613" t="s">
        <v>1908</v>
      </c>
      <c r="B106" s="613" t="s">
        <v>1909</v>
      </c>
      <c r="C106" s="808">
        <v>0.66</v>
      </c>
      <c r="D106" s="614">
        <v>2017</v>
      </c>
      <c r="E106" s="614">
        <v>2023</v>
      </c>
    </row>
    <row r="107" spans="1:12" x14ac:dyDescent="0.3">
      <c r="A107" s="613" t="s">
        <v>1910</v>
      </c>
      <c r="B107" s="613" t="s">
        <v>1911</v>
      </c>
      <c r="C107" s="808">
        <v>0.6</v>
      </c>
      <c r="D107" s="614">
        <v>2016</v>
      </c>
      <c r="E107" s="614">
        <v>2024</v>
      </c>
    </row>
    <row r="109" spans="1:12" x14ac:dyDescent="0.3">
      <c r="C109" s="808">
        <f>SUM(C8:C108)</f>
        <v>67.168499999999995</v>
      </c>
    </row>
  </sheetData>
  <sheetProtection algorithmName="SHA-512" hashValue="7gnlxkCtkjB8fMAbkd+dShpbZ1V/S/0/+H/XPxNAOCgS1FXiHj9wAaQW9ybHiaLRk7sRvnbUA0gnKkKRJ2JOLQ==" saltValue="kW6bFXL75o3BbEjrLWOPrQ==" spinCount="100000" sheet="1" objects="1" scenarios="1"/>
  <autoFilter ref="A7:E107" xr:uid="{C4C859C7-D101-4FF8-B13C-F4FADB068718}">
    <filterColumn colId="4">
      <filters>
        <filter val="2024"/>
      </filters>
    </filterColumn>
  </autoFilter>
  <sortState xmlns:xlrd2="http://schemas.microsoft.com/office/spreadsheetml/2017/richdata2" ref="A7:D106">
    <sortCondition ref="D7:D106"/>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4"/>
  <sheetViews>
    <sheetView zoomScale="93" zoomScaleNormal="93" workbookViewId="0">
      <pane xSplit="3" ySplit="3" topLeftCell="D4" activePane="bottomRight" state="frozen"/>
      <selection activeCell="K179" sqref="K179"/>
      <selection pane="topRight" activeCell="K179" sqref="K179"/>
      <selection pane="bottomLeft" activeCell="K179" sqref="K179"/>
      <selection pane="bottomRight" activeCell="K193" sqref="K193"/>
    </sheetView>
  </sheetViews>
  <sheetFormatPr defaultColWidth="9.109375" defaultRowHeight="14.4" x14ac:dyDescent="0.3"/>
  <cols>
    <col min="1" max="1" width="8.88671875" style="3" customWidth="1"/>
    <col min="2" max="2" width="17.5546875" style="46" bestFit="1" customWidth="1"/>
    <col min="3" max="3" width="42.5546875" style="364" customWidth="1"/>
    <col min="4" max="4" width="20.88671875" style="3" bestFit="1" customWidth="1"/>
    <col min="5" max="5" width="17.5546875" style="3" customWidth="1"/>
    <col min="6" max="6" width="22.6640625" style="3" customWidth="1"/>
    <col min="7" max="7" width="17.44140625" style="277" customWidth="1"/>
    <col min="8" max="8" width="9.6640625" style="3" customWidth="1"/>
    <col min="9" max="9" width="1" style="309" customWidth="1"/>
    <col min="10" max="10" width="18.109375" style="5" customWidth="1"/>
    <col min="11" max="11" width="36.88671875" style="9" customWidth="1"/>
    <col min="12" max="12" width="26.33203125" style="371" customWidth="1"/>
    <col min="13" max="13" width="8.44140625" customWidth="1"/>
    <col min="14" max="14" width="18.109375" style="3" customWidth="1"/>
    <col min="15" max="15" width="17.88671875" style="3" customWidth="1"/>
    <col min="16" max="16" width="9.109375" style="188" customWidth="1"/>
    <col min="17" max="17" width="10.33203125" style="279"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415</v>
      </c>
      <c r="D1" s="13">
        <f>L51-(L38+L39-L43-L44-L199)-L47</f>
        <v>0</v>
      </c>
      <c r="I1" s="278"/>
      <c r="J1" s="42"/>
      <c r="K1" s="14" t="s">
        <v>46</v>
      </c>
      <c r="L1" s="56"/>
      <c r="S1" s="3">
        <v>100</v>
      </c>
      <c r="T1" s="3">
        <v>1</v>
      </c>
    </row>
    <row r="2" spans="1:28" ht="44.4" x14ac:dyDescent="0.4">
      <c r="C2" s="67" t="str">
        <f>'Unit Data from Audit Worksheet'!D2</f>
        <v>Select Unit Name from Drop Down List</v>
      </c>
      <c r="D2" s="135">
        <v>2023</v>
      </c>
      <c r="E2" s="135">
        <v>2023</v>
      </c>
      <c r="F2" s="12"/>
      <c r="G2" s="63"/>
      <c r="H2" s="12"/>
      <c r="I2" s="278"/>
      <c r="J2" s="37" t="s">
        <v>42</v>
      </c>
      <c r="K2" s="8" t="s">
        <v>41</v>
      </c>
      <c r="L2" s="61" t="s">
        <v>30</v>
      </c>
      <c r="S2" s="3">
        <v>200</v>
      </c>
      <c r="T2" s="3">
        <v>2</v>
      </c>
      <c r="X2" s="311" t="s">
        <v>894</v>
      </c>
      <c r="Y2" s="311" t="s">
        <v>893</v>
      </c>
    </row>
    <row r="3" spans="1:28" ht="31.2" x14ac:dyDescent="0.3">
      <c r="A3" s="280" t="s">
        <v>42</v>
      </c>
      <c r="B3" s="281"/>
      <c r="C3" s="40" t="s">
        <v>1</v>
      </c>
      <c r="D3" s="15" t="s">
        <v>43</v>
      </c>
      <c r="E3" s="15" t="s">
        <v>44</v>
      </c>
      <c r="F3" s="16" t="s">
        <v>48</v>
      </c>
      <c r="G3" s="68" t="s">
        <v>312</v>
      </c>
      <c r="H3" s="16" t="s">
        <v>347</v>
      </c>
      <c r="I3" s="278"/>
      <c r="J3" s="282"/>
      <c r="K3" s="136"/>
      <c r="L3" s="283"/>
      <c r="O3" s="3" t="s">
        <v>281</v>
      </c>
      <c r="Q3" s="79" t="s">
        <v>313</v>
      </c>
      <c r="S3" s="3">
        <v>300</v>
      </c>
      <c r="T3" s="3">
        <v>3</v>
      </c>
      <c r="Y3" s="3" t="s">
        <v>663</v>
      </c>
    </row>
    <row r="4" spans="1:28" ht="25.95" customHeight="1" x14ac:dyDescent="0.35">
      <c r="A4" s="284"/>
      <c r="B4" s="285"/>
      <c r="C4" s="44"/>
      <c r="D4" s="7"/>
      <c r="E4" s="7"/>
      <c r="F4" s="7"/>
      <c r="G4" s="64"/>
      <c r="H4" s="7"/>
      <c r="I4" s="278"/>
      <c r="J4" s="39">
        <v>999</v>
      </c>
      <c r="K4" s="11" t="s">
        <v>278</v>
      </c>
      <c r="L4" s="728" t="e">
        <f>'Unit Data from Audit Worksheet'!D3</f>
        <v>#N/A</v>
      </c>
      <c r="S4" s="3">
        <v>400</v>
      </c>
      <c r="T4" s="3">
        <v>4</v>
      </c>
      <c r="X4" s="286"/>
      <c r="Y4" s="286"/>
    </row>
    <row r="5" spans="1:28" ht="57" customHeight="1" x14ac:dyDescent="0.3">
      <c r="A5" s="287">
        <f>'Unit Data from Audit Worksheet'!A9</f>
        <v>333</v>
      </c>
      <c r="B5" s="48" t="str">
        <f>'Unit Data from Audit Worksheet'!C9</f>
        <v>Net Position-Governmental Activities</v>
      </c>
      <c r="C5" s="288" t="str">
        <f>'Unit Data from Audit Worksheet'!D9</f>
        <v xml:space="preserve"> All unrestricted Cash and investments.  
Exclude: restricted cash 
                   cash held by a third party. </v>
      </c>
      <c r="D5" s="134"/>
      <c r="E5" s="142">
        <f>'Unit Data from Audit Worksheet'!F9</f>
        <v>0</v>
      </c>
      <c r="F5" s="224">
        <f>IF(L5&lt;0,"Error: Number is normally positive.",)</f>
        <v>0</v>
      </c>
      <c r="G5" s="65"/>
      <c r="H5" s="223"/>
      <c r="I5" s="32"/>
      <c r="J5" s="36">
        <v>333</v>
      </c>
      <c r="K5" s="45" t="s">
        <v>176</v>
      </c>
      <c r="L5" s="289">
        <f>IF(D5="",E5,D5)</f>
        <v>0</v>
      </c>
      <c r="P5" s="195"/>
      <c r="X5" s="552">
        <v>333</v>
      </c>
      <c r="Y5" s="286">
        <v>333</v>
      </c>
      <c r="AA5" s="3">
        <f>A5-J5</f>
        <v>0</v>
      </c>
      <c r="AB5" s="286">
        <f>E5-L5</f>
        <v>0</v>
      </c>
    </row>
    <row r="6" spans="1:28" ht="39.75" customHeight="1" x14ac:dyDescent="0.3">
      <c r="A6" s="212">
        <f>'Unit Data from Audit Worksheet'!A10</f>
        <v>500</v>
      </c>
      <c r="B6" s="225" t="str">
        <f>'Unit Data from Audit Worksheet'!C10</f>
        <v>Net Position-Governmental Activities</v>
      </c>
      <c r="C6" s="211" t="str">
        <f>'Unit Data from Audit Worksheet'!D10</f>
        <v xml:space="preserve"> All restricted Cash and investments</v>
      </c>
      <c r="D6" s="134"/>
      <c r="E6" s="231">
        <f>'Unit Data from Audit Worksheet'!F10</f>
        <v>0</v>
      </c>
      <c r="F6" s="224">
        <f>IF(L6&lt;0,"Error: Number is normally positive.",)</f>
        <v>0</v>
      </c>
      <c r="G6" s="226"/>
      <c r="H6" s="223"/>
      <c r="I6" s="32"/>
      <c r="J6" s="222">
        <v>500</v>
      </c>
      <c r="K6" s="221" t="s">
        <v>175</v>
      </c>
      <c r="L6" s="289">
        <f>IF(D6="",E6,D6)</f>
        <v>0</v>
      </c>
      <c r="P6" s="196"/>
      <c r="X6" s="552">
        <v>500</v>
      </c>
      <c r="Y6" s="286">
        <v>500</v>
      </c>
      <c r="AA6" s="386">
        <f t="shared" ref="AA6:AA71" si="0">A6-J6</f>
        <v>0</v>
      </c>
      <c r="AB6" s="286">
        <f t="shared" ref="AB6:AB71" si="1">E6-L6</f>
        <v>0</v>
      </c>
    </row>
    <row r="7" spans="1:28" ht="43.5" customHeight="1" x14ac:dyDescent="0.3">
      <c r="A7" s="212">
        <f>'Unit Data from Audit Worksheet'!A11</f>
        <v>385</v>
      </c>
      <c r="B7" s="225" t="str">
        <f>'Unit Data from Audit Worksheet'!C11</f>
        <v>Net Position-Governmental Activities</v>
      </c>
      <c r="C7" s="211" t="str">
        <f>'Unit Data from Audit Worksheet'!D11</f>
        <v>Total Assets and deferred outflows</v>
      </c>
      <c r="D7" s="134"/>
      <c r="E7" s="231">
        <f>'Unit Data from Audit Worksheet'!F11</f>
        <v>0</v>
      </c>
      <c r="F7" s="126">
        <f>IF((L5+L6)&gt;L7,"Error: Please review accts (333 + 500) &gt; 385",)</f>
        <v>0</v>
      </c>
      <c r="G7" s="226" t="str">
        <f>IF(Q7=1," Included in error count"," ")</f>
        <v xml:space="preserve"> </v>
      </c>
      <c r="H7" s="223"/>
      <c r="I7" s="32"/>
      <c r="J7" s="69">
        <v>385</v>
      </c>
      <c r="K7" s="70" t="s">
        <v>107</v>
      </c>
      <c r="L7" s="290">
        <f>IF(D7="",E7,D7)+IF(D9="",E9,D9)</f>
        <v>0</v>
      </c>
      <c r="N7" s="71" t="s">
        <v>299</v>
      </c>
      <c r="P7" s="196"/>
      <c r="X7" s="552">
        <v>385</v>
      </c>
      <c r="Y7" s="286">
        <v>385</v>
      </c>
      <c r="AA7" s="386">
        <f t="shared" si="0"/>
        <v>0</v>
      </c>
      <c r="AB7" s="286">
        <f t="shared" si="1"/>
        <v>0</v>
      </c>
    </row>
    <row r="8" spans="1:28" ht="90.75" customHeight="1" x14ac:dyDescent="0.3">
      <c r="A8" s="212">
        <f>'Unit Data from Audit Worksheet'!A12</f>
        <v>575</v>
      </c>
      <c r="B8" s="225" t="str">
        <f>'Unit Data from Audit Worksheet'!C12</f>
        <v>Net Position-Governmental Activities</v>
      </c>
      <c r="C8" s="211" t="str">
        <f>'Unit Data from Audit Worksheet'!D12</f>
        <v>Record any positive Internal balances on the net position statements that appear in the Asset Section of the Net Position Statement</v>
      </c>
      <c r="D8" s="134"/>
      <c r="E8" s="231">
        <f>'Unit Data from Audit Worksheet'!F12</f>
        <v>0</v>
      </c>
      <c r="F8" s="224">
        <f>IF(L8&lt;0,"Error: Number is normally positive.",)</f>
        <v>0</v>
      </c>
      <c r="G8" s="226"/>
      <c r="H8" s="223"/>
      <c r="I8" s="32"/>
      <c r="J8" s="222">
        <v>575</v>
      </c>
      <c r="K8" s="228" t="s">
        <v>302</v>
      </c>
      <c r="L8" s="289">
        <f>IF(D8="",E8,D8)</f>
        <v>0</v>
      </c>
      <c r="N8" s="57"/>
      <c r="P8" s="196"/>
      <c r="X8" s="552">
        <v>575</v>
      </c>
      <c r="Y8" s="286">
        <v>575</v>
      </c>
      <c r="AA8" s="386">
        <f t="shared" si="0"/>
        <v>0</v>
      </c>
      <c r="AB8" s="286">
        <f t="shared" si="1"/>
        <v>0</v>
      </c>
    </row>
    <row r="9" spans="1:28" ht="103.5" customHeight="1" x14ac:dyDescent="0.3">
      <c r="A9" s="212">
        <f>'Unit Data from Audit Worksheet'!A13</f>
        <v>576</v>
      </c>
      <c r="B9" s="225" t="str">
        <f>'Unit Data from Audit Worksheet'!C13</f>
        <v>Net Position-Governmental Activities</v>
      </c>
      <c r="C9" s="291" t="str">
        <f>'Unit Data from Audit Worksheet'!D13</f>
        <v>Record any negative Internal balances on the net position statements that appear in the Asset Section of the Net Position Statement.
Enter as a positive</v>
      </c>
      <c r="D9" s="102"/>
      <c r="E9" s="145">
        <f>'Unit Data from Audit Worksheet'!F13</f>
        <v>0</v>
      </c>
      <c r="F9" s="220">
        <f>IF(E9&lt;0,"Error: Enter as positive.",)</f>
        <v>0</v>
      </c>
      <c r="G9" s="104"/>
      <c r="H9" s="105"/>
      <c r="I9" s="32"/>
      <c r="J9" s="97">
        <v>576</v>
      </c>
      <c r="K9" s="228" t="s">
        <v>303</v>
      </c>
      <c r="L9" s="289">
        <f>IF(D9="",E9,D9)</f>
        <v>0</v>
      </c>
      <c r="N9" s="57"/>
      <c r="P9" s="197"/>
      <c r="X9" s="552">
        <v>576</v>
      </c>
      <c r="Y9" s="286">
        <v>576</v>
      </c>
      <c r="AA9" s="386">
        <f t="shared" si="0"/>
        <v>0</v>
      </c>
      <c r="AB9" s="286">
        <f t="shared" si="1"/>
        <v>0</v>
      </c>
    </row>
    <row r="10" spans="1:28" s="18" customFormat="1" ht="100.5" customHeight="1" x14ac:dyDescent="0.3">
      <c r="A10" s="212">
        <f>'Unit Data from Audit Worksheet'!A14</f>
        <v>626</v>
      </c>
      <c r="B10" s="217" t="str">
        <f>'Unit Data from Audit Worksheet'!C14</f>
        <v>Net Position-Governmental Activities</v>
      </c>
      <c r="C10" s="216" t="str">
        <f>'Unit Data from Audit Worksheet'!D14</f>
        <v xml:space="preserve">Total Current liabilities (as reported on Statement of Net Position)
Include:   Current liabilities including current portion of long-term debt.  Deferred inflows should not be included in Current Liabilities  </v>
      </c>
      <c r="D10" s="102"/>
      <c r="E10" s="670">
        <f>'Unit Data from Audit Worksheet'!F14</f>
        <v>0</v>
      </c>
      <c r="F10"/>
      <c r="G10"/>
      <c r="H10"/>
      <c r="I10" s="32"/>
      <c r="J10" s="647">
        <v>626</v>
      </c>
      <c r="K10" s="648" t="s">
        <v>372</v>
      </c>
      <c r="L10" s="649">
        <f>IF(D10="",E10,D10)+IF(D9="",E9,D9)</f>
        <v>0</v>
      </c>
      <c r="M10"/>
      <c r="N10" s="167" t="s">
        <v>299</v>
      </c>
      <c r="O10" s="292"/>
      <c r="P10" s="198"/>
      <c r="Q10" s="293"/>
      <c r="R10" s="3"/>
      <c r="X10" s="552">
        <v>626</v>
      </c>
      <c r="Y10" s="294">
        <v>626</v>
      </c>
      <c r="AA10" s="386">
        <f t="shared" si="0"/>
        <v>0</v>
      </c>
      <c r="AB10" s="286">
        <f t="shared" si="1"/>
        <v>0</v>
      </c>
    </row>
    <row r="11" spans="1:28" s="18" customFormat="1" ht="86.25" customHeight="1" x14ac:dyDescent="0.3">
      <c r="A11" s="212">
        <f>'Unit Data from Audit Worksheet'!A15</f>
        <v>627</v>
      </c>
      <c r="B11" s="217" t="str">
        <f>'Unit Data from Audit Worksheet'!C15</f>
        <v>Net Position-Governmental Activities</v>
      </c>
      <c r="C11" s="216" t="str">
        <f>'Unit Data from Audit Worksheet'!D15</f>
        <v>Please enter any bond anticipation notes that are classified as current liabilities and included in account 626 above (amounts entered should agree to the current amount included in the changes to long-term debt note)</v>
      </c>
      <c r="D11" s="102"/>
      <c r="E11" s="234">
        <f>'Unit Data from Audit Worksheet'!F15</f>
        <v>0</v>
      </c>
      <c r="F11" s="669"/>
      <c r="G11" s="668"/>
      <c r="H11" s="669"/>
      <c r="I11" s="32"/>
      <c r="J11" s="218">
        <v>627</v>
      </c>
      <c r="K11" s="193" t="s">
        <v>364</v>
      </c>
      <c r="L11" s="295">
        <f t="shared" ref="L11:L16" si="2">IF(D11="",E11,D11)</f>
        <v>0</v>
      </c>
      <c r="M11"/>
      <c r="N11" s="166"/>
      <c r="O11" s="292"/>
      <c r="P11" s="198"/>
      <c r="Q11" s="293"/>
      <c r="R11" s="3"/>
      <c r="X11" s="552">
        <v>627</v>
      </c>
      <c r="Y11" s="294">
        <v>627</v>
      </c>
      <c r="AA11" s="386">
        <f t="shared" si="0"/>
        <v>0</v>
      </c>
      <c r="AB11" s="286">
        <f t="shared" si="1"/>
        <v>0</v>
      </c>
    </row>
    <row r="12" spans="1:28" s="18" customFormat="1" ht="86.25" customHeight="1" x14ac:dyDescent="0.3">
      <c r="A12" s="212">
        <f>'Unit Data from Audit Worksheet'!A16</f>
        <v>628</v>
      </c>
      <c r="B12" s="217" t="str">
        <f>'Unit Data from Audit Worksheet'!C16</f>
        <v>Net Position-Governmental Activities</v>
      </c>
      <c r="C12" s="216" t="str">
        <f>'Unit Data from Audit Worksheet'!D16</f>
        <v>Please enter any compensated absences that are classified as current liabilities and included in account 626 above (amounts entered should agree to the current amount included in the changes to long-term debt note)</v>
      </c>
      <c r="D12" s="102"/>
      <c r="E12" s="234">
        <f>'Unit Data from Audit Worksheet'!F16</f>
        <v>0</v>
      </c>
      <c r="F12" s="219"/>
      <c r="G12" s="207"/>
      <c r="H12" s="219"/>
      <c r="I12" s="32"/>
      <c r="J12" s="218">
        <v>628</v>
      </c>
      <c r="K12" s="193" t="s">
        <v>369</v>
      </c>
      <c r="L12" s="295">
        <f t="shared" si="2"/>
        <v>0</v>
      </c>
      <c r="M12"/>
      <c r="N12" s="166"/>
      <c r="O12" s="292"/>
      <c r="P12" s="198"/>
      <c r="Q12" s="293"/>
      <c r="R12" s="3"/>
      <c r="X12" s="552">
        <v>628</v>
      </c>
      <c r="Y12" s="294">
        <v>628</v>
      </c>
      <c r="AA12" s="386">
        <f t="shared" si="0"/>
        <v>0</v>
      </c>
      <c r="AB12" s="286">
        <f t="shared" si="1"/>
        <v>0</v>
      </c>
    </row>
    <row r="13" spans="1:28" s="18" customFormat="1" ht="93" customHeight="1" x14ac:dyDescent="0.3">
      <c r="A13" s="212">
        <f>'Unit Data from Audit Worksheet'!A17</f>
        <v>629</v>
      </c>
      <c r="B13" s="217" t="str">
        <f>'Unit Data from Audit Worksheet'!C17</f>
        <v>Net Position-Governmental Activities</v>
      </c>
      <c r="C13" s="216" t="str">
        <f>'Unit Data from Audit Worksheet'!D17</f>
        <v>Please enter any pension liabilities that are classified as current liabilities and included in account 626 above (amounts entered should agree to the current amount included in the changes to long-term debt note)</v>
      </c>
      <c r="D13" s="102"/>
      <c r="E13" s="234">
        <f>'Unit Data from Audit Worksheet'!F17</f>
        <v>0</v>
      </c>
      <c r="F13" s="219"/>
      <c r="G13" s="207"/>
      <c r="H13" s="219"/>
      <c r="I13" s="32"/>
      <c r="J13" s="218">
        <v>629</v>
      </c>
      <c r="K13" s="193" t="s">
        <v>368</v>
      </c>
      <c r="L13" s="295">
        <f t="shared" si="2"/>
        <v>0</v>
      </c>
      <c r="M13"/>
      <c r="N13" s="166"/>
      <c r="O13" s="292"/>
      <c r="P13" s="198"/>
      <c r="Q13" s="293"/>
      <c r="R13" s="3"/>
      <c r="X13" s="552">
        <v>629</v>
      </c>
      <c r="Y13" s="294">
        <v>629</v>
      </c>
      <c r="AA13" s="386">
        <f t="shared" si="0"/>
        <v>0</v>
      </c>
      <c r="AB13" s="286">
        <f t="shared" si="1"/>
        <v>0</v>
      </c>
    </row>
    <row r="14" spans="1:28" s="18" customFormat="1" ht="67.5" customHeight="1" x14ac:dyDescent="0.3">
      <c r="A14" s="212">
        <f>'Unit Data from Audit Worksheet'!A18</f>
        <v>630</v>
      </c>
      <c r="B14" s="217" t="str">
        <f>'Unit Data from Audit Worksheet'!C18</f>
        <v>Net Position-Governmental Activities</v>
      </c>
      <c r="C14" s="216" t="str">
        <f>'Unit Data from Audit Worksheet'!D18</f>
        <v>Please enter any current liabilities that are payable from restricted assets and included in account 626 above</v>
      </c>
      <c r="D14" s="102"/>
      <c r="E14" s="234">
        <f>'Unit Data from Audit Worksheet'!F18</f>
        <v>0</v>
      </c>
      <c r="F14" s="219"/>
      <c r="G14" s="207"/>
      <c r="H14" s="219"/>
      <c r="I14" s="32"/>
      <c r="J14" s="218">
        <v>630</v>
      </c>
      <c r="K14" s="193" t="s">
        <v>367</v>
      </c>
      <c r="L14" s="295">
        <f t="shared" si="2"/>
        <v>0</v>
      </c>
      <c r="M14"/>
      <c r="N14" s="166"/>
      <c r="O14" s="292"/>
      <c r="P14" s="198"/>
      <c r="Q14" s="293"/>
      <c r="R14" s="3"/>
      <c r="X14" s="552">
        <v>630</v>
      </c>
      <c r="Y14" s="294">
        <v>630</v>
      </c>
      <c r="AA14" s="386">
        <f t="shared" si="0"/>
        <v>0</v>
      </c>
      <c r="AB14" s="286">
        <f t="shared" si="1"/>
        <v>0</v>
      </c>
    </row>
    <row r="15" spans="1:28" s="18" customFormat="1" ht="102.75" customHeight="1" x14ac:dyDescent="0.3">
      <c r="A15" s="212">
        <f>'Unit Data from Audit Worksheet'!A19</f>
        <v>631</v>
      </c>
      <c r="B15" s="225" t="str">
        <f>'Unit Data from Audit Worksheet'!C19</f>
        <v>Net Position-Governmental Activities</v>
      </c>
      <c r="C15" s="208" t="str">
        <f>'Unit Data from Audit Worksheet'!D19</f>
        <v>Please enter any OPEB liabilities that are classified as current liabilities and included in account 626 above (amounts entered should agree to the current amount included in the changes to long-term debt note)</v>
      </c>
      <c r="D15" s="102"/>
      <c r="E15" s="234">
        <f>'Unit Data from Audit Worksheet'!F19</f>
        <v>0</v>
      </c>
      <c r="F15" s="219"/>
      <c r="G15" s="207"/>
      <c r="H15" s="219"/>
      <c r="I15" s="32"/>
      <c r="J15" s="218">
        <v>631</v>
      </c>
      <c r="K15" s="193" t="s">
        <v>366</v>
      </c>
      <c r="L15" s="295">
        <f t="shared" si="2"/>
        <v>0</v>
      </c>
      <c r="M15"/>
      <c r="N15" s="166"/>
      <c r="O15" s="292"/>
      <c r="P15" s="198"/>
      <c r="Q15" s="293"/>
      <c r="R15" s="3"/>
      <c r="X15" s="552">
        <v>631</v>
      </c>
      <c r="Y15" s="294">
        <v>631</v>
      </c>
      <c r="AA15" s="386">
        <f t="shared" si="0"/>
        <v>0</v>
      </c>
      <c r="AB15" s="286">
        <f t="shared" si="1"/>
        <v>0</v>
      </c>
    </row>
    <row r="16" spans="1:28" s="18" customFormat="1" ht="119.25" customHeight="1" x14ac:dyDescent="0.3">
      <c r="A16" s="212">
        <f>'Unit Data from Audit Worksheet'!A20</f>
        <v>632</v>
      </c>
      <c r="B16" s="225" t="str">
        <f>'Unit Data from Audit Worksheet'!C20</f>
        <v>Net Position-Governmental Activities</v>
      </c>
      <c r="C16" s="208" t="str">
        <f>'Unit Data from Audit Worksheet'!D20</f>
        <v>Please enter any landfill closure/postclosure liabilities that are classified as current liabilities and included in account 626 above (amounts entered should agree to the current amount included in the changes to long-term debt note)</v>
      </c>
      <c r="D16" s="102"/>
      <c r="E16" s="234">
        <f>'Unit Data from Audit Worksheet'!F20</f>
        <v>0</v>
      </c>
      <c r="F16" s="219"/>
      <c r="G16" s="207"/>
      <c r="H16" s="219"/>
      <c r="I16" s="32"/>
      <c r="J16" s="218">
        <v>632</v>
      </c>
      <c r="K16" s="193" t="s">
        <v>365</v>
      </c>
      <c r="L16" s="295">
        <f t="shared" si="2"/>
        <v>0</v>
      </c>
      <c r="M16"/>
      <c r="N16" s="166"/>
      <c r="O16" s="292"/>
      <c r="P16" s="198"/>
      <c r="Q16" s="293"/>
      <c r="R16" s="3"/>
      <c r="X16" s="552">
        <v>632</v>
      </c>
      <c r="Y16" s="294">
        <v>632</v>
      </c>
      <c r="AA16" s="386">
        <f t="shared" si="0"/>
        <v>0</v>
      </c>
      <c r="AB16" s="286">
        <f t="shared" si="1"/>
        <v>0</v>
      </c>
    </row>
    <row r="17" spans="1:28" ht="30.6" x14ac:dyDescent="0.3">
      <c r="A17" s="551">
        <f>'Unit Data from Audit Worksheet'!A21</f>
        <v>338</v>
      </c>
      <c r="B17" s="225" t="str">
        <f>'Unit Data from Audit Worksheet'!C21</f>
        <v>Net Position-Governmental Activities</v>
      </c>
      <c r="C17" s="211" t="str">
        <f>'Unit Data from Audit Worksheet'!D21</f>
        <v>Total Liabilities and total deferred inflows</v>
      </c>
      <c r="D17" s="102"/>
      <c r="E17" s="142">
        <f>'Unit Data from Audit Worksheet'!F21</f>
        <v>0</v>
      </c>
      <c r="F17" s="126" t="str">
        <f>IF(L10&gt;L17,"Please review accounts 626 greater than 338","")</f>
        <v/>
      </c>
      <c r="G17" s="65"/>
      <c r="H17" s="223"/>
      <c r="I17" s="32"/>
      <c r="J17" s="106">
        <v>338</v>
      </c>
      <c r="K17" s="107" t="s">
        <v>108</v>
      </c>
      <c r="L17" s="290">
        <f>IF(D17="",E17,D17)+IF(D9="",E9,D9)</f>
        <v>0</v>
      </c>
      <c r="N17" s="71" t="s">
        <v>299</v>
      </c>
      <c r="P17" s="195"/>
      <c r="X17" s="552">
        <v>338</v>
      </c>
      <c r="Y17" s="286">
        <v>338</v>
      </c>
      <c r="AA17" s="386">
        <f t="shared" si="0"/>
        <v>0</v>
      </c>
      <c r="AB17" s="286">
        <f t="shared" si="1"/>
        <v>0</v>
      </c>
    </row>
    <row r="18" spans="1:28" ht="100.5" customHeight="1" x14ac:dyDescent="0.3">
      <c r="A18" s="212">
        <f>'Unit Data from Audit Worksheet'!A22</f>
        <v>335</v>
      </c>
      <c r="B18" s="225" t="str">
        <f>'Unit Data from Audit Worksheet'!C22</f>
        <v>Net Position-Governmental Activities</v>
      </c>
      <c r="C18" s="211" t="str">
        <f>'Unit Data from Audit Worksheet'!D22</f>
        <v>Unearned revenues that were included in current liabilities in your audit report or entered in acct # 626 above. 
Exclude - unearned revenues that are listed in deferred inflows.</v>
      </c>
      <c r="D18" s="102"/>
      <c r="E18" s="231">
        <f>'Unit Data from Audit Worksheet'!F22</f>
        <v>0</v>
      </c>
      <c r="F18" s="224">
        <f>IF(L18&lt;0,"Error: Enter as a positive.",)</f>
        <v>0</v>
      </c>
      <c r="G18" s="226"/>
      <c r="H18" s="223"/>
      <c r="I18" s="32"/>
      <c r="J18" s="222">
        <v>335</v>
      </c>
      <c r="K18" s="221" t="s">
        <v>109</v>
      </c>
      <c r="L18" s="289">
        <f>IF(D18="",E18,D18)</f>
        <v>0</v>
      </c>
      <c r="P18" s="196"/>
      <c r="X18" s="552">
        <v>335</v>
      </c>
      <c r="Y18" s="286">
        <v>335</v>
      </c>
      <c r="AA18" s="386">
        <f t="shared" si="0"/>
        <v>0</v>
      </c>
      <c r="AB18" s="286">
        <f t="shared" si="1"/>
        <v>0</v>
      </c>
    </row>
    <row r="19" spans="1:28" ht="20.399999999999999" x14ac:dyDescent="0.3">
      <c r="A19" s="212">
        <f>'Unit Data from Audit Worksheet'!A23</f>
        <v>252</v>
      </c>
      <c r="B19" s="225" t="str">
        <f>'Unit Data from Audit Worksheet'!C23</f>
        <v>Net Position-Governmental Activities</v>
      </c>
      <c r="C19" s="211" t="str">
        <f>'Unit Data from Audit Worksheet'!D23</f>
        <v xml:space="preserve"> Total Net investment in capital assets</v>
      </c>
      <c r="D19" s="102"/>
      <c r="E19" s="231">
        <f>'Unit Data from Audit Worksheet'!F23</f>
        <v>0</v>
      </c>
      <c r="F19" s="224"/>
      <c r="G19" s="226"/>
      <c r="H19" s="223"/>
      <c r="I19" s="32"/>
      <c r="J19" s="222">
        <v>252</v>
      </c>
      <c r="K19" s="221" t="s">
        <v>95</v>
      </c>
      <c r="L19" s="289">
        <f t="shared" ref="L19:L37" si="3">IF(D19="",E19,D19)</f>
        <v>0</v>
      </c>
      <c r="O19" s="296" t="e">
        <f>'Unit Data from Audit Worksheet'!E23</f>
        <v>#N/A</v>
      </c>
      <c r="P19" s="196"/>
      <c r="X19" s="552">
        <v>252</v>
      </c>
      <c r="Y19" s="286">
        <v>252</v>
      </c>
      <c r="AA19" s="386">
        <f t="shared" si="0"/>
        <v>0</v>
      </c>
      <c r="AB19" s="286">
        <f t="shared" si="1"/>
        <v>0</v>
      </c>
    </row>
    <row r="20" spans="1:28" ht="20.399999999999999" x14ac:dyDescent="0.3">
      <c r="A20" s="212">
        <f>'Unit Data from Audit Worksheet'!A24</f>
        <v>253</v>
      </c>
      <c r="B20" s="225" t="str">
        <f>'Unit Data from Audit Worksheet'!C24</f>
        <v>Net Position-Governmental Activities</v>
      </c>
      <c r="C20" s="211" t="str">
        <f>'Unit Data from Audit Worksheet'!D24</f>
        <v xml:space="preserve"> Total Net Position, Restricted</v>
      </c>
      <c r="D20" s="102"/>
      <c r="E20" s="231">
        <f>'Unit Data from Audit Worksheet'!F24</f>
        <v>0</v>
      </c>
      <c r="F20" s="224"/>
      <c r="G20" s="226"/>
      <c r="H20" s="223"/>
      <c r="I20" s="32"/>
      <c r="J20" s="222">
        <v>253</v>
      </c>
      <c r="K20" s="221" t="s">
        <v>96</v>
      </c>
      <c r="L20" s="289">
        <f t="shared" si="3"/>
        <v>0</v>
      </c>
      <c r="O20" s="296" t="e">
        <f>'Unit Data from Audit Worksheet'!E24</f>
        <v>#N/A</v>
      </c>
      <c r="P20" s="196"/>
      <c r="X20" s="552">
        <v>253</v>
      </c>
      <c r="Y20" s="286">
        <v>253</v>
      </c>
      <c r="AA20" s="386">
        <f t="shared" si="0"/>
        <v>0</v>
      </c>
      <c r="AB20" s="286">
        <f t="shared" si="1"/>
        <v>0</v>
      </c>
    </row>
    <row r="21" spans="1:28" ht="73.5" customHeight="1" x14ac:dyDescent="0.3">
      <c r="A21" s="212">
        <f>'Unit Data from Audit Worksheet'!A25</f>
        <v>254</v>
      </c>
      <c r="B21" s="225" t="str">
        <f>'Unit Data from Audit Worksheet'!C25</f>
        <v>Net Position-Governmental Activities</v>
      </c>
      <c r="C21" s="211" t="str">
        <f>'Unit Data from Audit Worksheet'!D25</f>
        <v>Total Net Position, Unrestricted - enter negative unrestricted net position as a negative)</v>
      </c>
      <c r="D21" s="102"/>
      <c r="E21" s="231">
        <f>'Unit Data from Audit Worksheet'!F25</f>
        <v>0</v>
      </c>
      <c r="F21" s="224">
        <f>IF((L7-L17-L19-L20-L21)=0,,"Error: Total assets and deferred outflows less total liabilities and deferred inflows do not equal total net position accts 385-338-252-253-254")</f>
        <v>0</v>
      </c>
      <c r="G21" s="83">
        <f>+L7-L17-L19-L20-L21</f>
        <v>0</v>
      </c>
      <c r="H21" s="223"/>
      <c r="I21" s="32"/>
      <c r="J21" s="222">
        <v>254</v>
      </c>
      <c r="K21" s="221" t="s">
        <v>97</v>
      </c>
      <c r="L21" s="289">
        <f t="shared" si="3"/>
        <v>0</v>
      </c>
      <c r="O21" s="296" t="e">
        <f>'Unit Data from Audit Worksheet'!E25</f>
        <v>#N/A</v>
      </c>
      <c r="P21" s="196"/>
      <c r="X21" s="552">
        <v>254</v>
      </c>
      <c r="Y21" s="286">
        <v>254</v>
      </c>
      <c r="AA21" s="386">
        <f t="shared" si="0"/>
        <v>0</v>
      </c>
      <c r="AB21" s="286">
        <f t="shared" si="1"/>
        <v>0</v>
      </c>
    </row>
    <row r="22" spans="1:28" ht="51.75" customHeight="1" x14ac:dyDescent="0.3">
      <c r="A22" s="212">
        <f>'Unit Data from Audit Worksheet'!A27</f>
        <v>502</v>
      </c>
      <c r="B22" s="225" t="str">
        <f>'Unit Data from Audit Worksheet'!C27</f>
        <v>Net Position-Business Activities</v>
      </c>
      <c r="C22" s="211" t="str">
        <f>'Unit Data from Audit Worksheet'!D27</f>
        <v xml:space="preserve">All unrestricted Cash and investments. 
Exclude restricted cash and cash held by a third party. </v>
      </c>
      <c r="D22" s="102"/>
      <c r="E22" s="231">
        <f>'Unit Data from Audit Worksheet'!F27</f>
        <v>0</v>
      </c>
      <c r="F22" s="224">
        <f>IF(L22&lt;0,"Error: Number is normally positive.",)</f>
        <v>0</v>
      </c>
      <c r="G22" s="226"/>
      <c r="H22" s="223"/>
      <c r="I22" s="32"/>
      <c r="J22" s="222">
        <v>502</v>
      </c>
      <c r="K22" s="221" t="s">
        <v>177</v>
      </c>
      <c r="L22" s="289">
        <f t="shared" si="3"/>
        <v>0</v>
      </c>
      <c r="P22" s="196"/>
      <c r="X22" s="552">
        <v>502</v>
      </c>
      <c r="Y22" s="286">
        <v>502</v>
      </c>
      <c r="AA22" s="386">
        <f t="shared" si="0"/>
        <v>0</v>
      </c>
      <c r="AB22" s="286">
        <f t="shared" si="1"/>
        <v>0</v>
      </c>
    </row>
    <row r="23" spans="1:28" ht="40.5" customHeight="1" x14ac:dyDescent="0.3">
      <c r="A23" s="212">
        <f>'Unit Data from Audit Worksheet'!A28</f>
        <v>503</v>
      </c>
      <c r="B23" s="225" t="str">
        <f>'Unit Data from Audit Worksheet'!C28</f>
        <v>Net Position-Business Activities</v>
      </c>
      <c r="C23" s="211" t="str">
        <f>'Unit Data from Audit Worksheet'!D28</f>
        <v>All restricted Cash and investments</v>
      </c>
      <c r="D23" s="102"/>
      <c r="E23" s="231">
        <f>'Unit Data from Audit Worksheet'!F28</f>
        <v>0</v>
      </c>
      <c r="F23" s="224">
        <f>IF(L23&lt;0,"Error: Number is normally positive.",)</f>
        <v>0</v>
      </c>
      <c r="G23" s="226"/>
      <c r="H23" s="223"/>
      <c r="I23" s="32"/>
      <c r="J23" s="222">
        <v>503</v>
      </c>
      <c r="K23" s="221" t="s">
        <v>178</v>
      </c>
      <c r="L23" s="289">
        <f t="shared" si="3"/>
        <v>0</v>
      </c>
      <c r="P23" s="196"/>
      <c r="X23" s="552">
        <v>503</v>
      </c>
      <c r="Y23" s="286">
        <v>503</v>
      </c>
      <c r="AA23" s="386">
        <f t="shared" si="0"/>
        <v>0</v>
      </c>
      <c r="AB23" s="286">
        <f t="shared" si="1"/>
        <v>0</v>
      </c>
    </row>
    <row r="24" spans="1:28" ht="39" customHeight="1" x14ac:dyDescent="0.3">
      <c r="A24" s="212">
        <f>'Unit Data from Audit Worksheet'!A30</f>
        <v>344</v>
      </c>
      <c r="B24" s="225" t="str">
        <f>'Unit Data from Audit Worksheet'!C30</f>
        <v>Statement of Activities - Governmental</v>
      </c>
      <c r="C24" s="211" t="str">
        <f>'Unit Data from Audit Worksheet'!D30</f>
        <v xml:space="preserve">Total Interest expense on Long-Term Debt </v>
      </c>
      <c r="D24" s="102"/>
      <c r="E24" s="231">
        <f>'Unit Data from Audit Worksheet'!F30</f>
        <v>0</v>
      </c>
      <c r="F24" s="224">
        <f>IF(L24&lt;0,"Error: Enter as a positive.",)</f>
        <v>0</v>
      </c>
      <c r="G24" s="226"/>
      <c r="H24" s="223"/>
      <c r="I24" s="32"/>
      <c r="J24" s="222">
        <v>344</v>
      </c>
      <c r="K24" s="221" t="s">
        <v>179</v>
      </c>
      <c r="L24" s="289">
        <f t="shared" si="3"/>
        <v>0</v>
      </c>
      <c r="P24" s="196"/>
      <c r="X24" s="552">
        <v>344</v>
      </c>
      <c r="Y24" s="286">
        <v>344</v>
      </c>
      <c r="AA24" s="386">
        <f t="shared" si="0"/>
        <v>0</v>
      </c>
      <c r="AB24" s="286">
        <f t="shared" si="1"/>
        <v>0</v>
      </c>
    </row>
    <row r="25" spans="1:28" ht="39" customHeight="1" x14ac:dyDescent="0.3">
      <c r="A25" s="212">
        <f>'Unit Data from Audit Worksheet'!A31</f>
        <v>388</v>
      </c>
      <c r="B25" s="225" t="str">
        <f>'Unit Data from Audit Worksheet'!C31</f>
        <v>Statement of Activities - Governmental</v>
      </c>
      <c r="C25" s="211" t="str">
        <f>'Unit Data from Audit Worksheet'!D31</f>
        <v>Total Expenses</v>
      </c>
      <c r="D25" s="102"/>
      <c r="E25" s="231">
        <f>'Unit Data from Audit Worksheet'!F31</f>
        <v>0</v>
      </c>
      <c r="F25" s="224">
        <f t="shared" ref="F25:F30" si="4">IF(L25&lt;0,"Error: Number is normally positive.",)</f>
        <v>0</v>
      </c>
      <c r="G25" s="226"/>
      <c r="H25" s="223"/>
      <c r="I25" s="32"/>
      <c r="J25" s="222">
        <v>388</v>
      </c>
      <c r="K25" s="221" t="s">
        <v>180</v>
      </c>
      <c r="L25" s="289">
        <f t="shared" si="3"/>
        <v>0</v>
      </c>
      <c r="P25" s="196"/>
      <c r="X25" s="552">
        <v>388</v>
      </c>
      <c r="Y25" s="286">
        <v>388</v>
      </c>
      <c r="AA25" s="386">
        <f t="shared" si="0"/>
        <v>0</v>
      </c>
      <c r="AB25" s="286">
        <f t="shared" si="1"/>
        <v>0</v>
      </c>
    </row>
    <row r="26" spans="1:28" ht="39" customHeight="1" x14ac:dyDescent="0.3">
      <c r="A26" s="212">
        <f>'Unit Data from Audit Worksheet'!A32</f>
        <v>339</v>
      </c>
      <c r="B26" s="225" t="str">
        <f>'Unit Data from Audit Worksheet'!C32</f>
        <v>Statement of Activities - Governmental</v>
      </c>
      <c r="C26" s="211" t="str">
        <f>'Unit Data from Audit Worksheet'!D32</f>
        <v xml:space="preserve">Charges for services </v>
      </c>
      <c r="D26" s="102"/>
      <c r="E26" s="231">
        <f>'Unit Data from Audit Worksheet'!F32</f>
        <v>0</v>
      </c>
      <c r="F26" s="224">
        <f t="shared" si="4"/>
        <v>0</v>
      </c>
      <c r="G26" s="226"/>
      <c r="H26" s="223"/>
      <c r="I26" s="32"/>
      <c r="J26" s="222">
        <v>339</v>
      </c>
      <c r="K26" s="221" t="s">
        <v>181</v>
      </c>
      <c r="L26" s="289">
        <f t="shared" si="3"/>
        <v>0</v>
      </c>
      <c r="P26" s="196"/>
      <c r="X26" s="552">
        <v>339</v>
      </c>
      <c r="Y26" s="286">
        <v>339</v>
      </c>
      <c r="AA26" s="386">
        <f t="shared" si="0"/>
        <v>0</v>
      </c>
      <c r="AB26" s="286">
        <f t="shared" si="1"/>
        <v>0</v>
      </c>
    </row>
    <row r="27" spans="1:28" ht="39" customHeight="1" x14ac:dyDescent="0.3">
      <c r="A27" s="212">
        <f>'Unit Data from Audit Worksheet'!A33</f>
        <v>504</v>
      </c>
      <c r="B27" s="225" t="str">
        <f>'Unit Data from Audit Worksheet'!C33</f>
        <v>Statement of Activities - Governmental</v>
      </c>
      <c r="C27" s="211" t="str">
        <f>'Unit Data from Audit Worksheet'!D33</f>
        <v>Operating grants and contributions</v>
      </c>
      <c r="D27" s="102"/>
      <c r="E27" s="231">
        <f>'Unit Data from Audit Worksheet'!F33</f>
        <v>0</v>
      </c>
      <c r="F27" s="224">
        <f t="shared" si="4"/>
        <v>0</v>
      </c>
      <c r="G27" s="226"/>
      <c r="H27" s="223"/>
      <c r="I27" s="32"/>
      <c r="J27" s="222">
        <v>504</v>
      </c>
      <c r="K27" s="221" t="s">
        <v>182</v>
      </c>
      <c r="L27" s="289">
        <f t="shared" si="3"/>
        <v>0</v>
      </c>
      <c r="P27" s="196"/>
      <c r="X27" s="552">
        <v>504</v>
      </c>
      <c r="Y27" s="286">
        <v>504</v>
      </c>
      <c r="AA27" s="386">
        <f t="shared" si="0"/>
        <v>0</v>
      </c>
      <c r="AB27" s="286">
        <f t="shared" si="1"/>
        <v>0</v>
      </c>
    </row>
    <row r="28" spans="1:28" ht="39" customHeight="1" x14ac:dyDescent="0.3">
      <c r="A28" s="212">
        <f>'Unit Data from Audit Worksheet'!A34</f>
        <v>505</v>
      </c>
      <c r="B28" s="225" t="str">
        <f>'Unit Data from Audit Worksheet'!C34</f>
        <v>Statement of Activities - Governmental</v>
      </c>
      <c r="C28" s="211" t="str">
        <f>'Unit Data from Audit Worksheet'!D34</f>
        <v>Capital grants and contributions</v>
      </c>
      <c r="D28" s="102"/>
      <c r="E28" s="231">
        <f>'Unit Data from Audit Worksheet'!F34</f>
        <v>0</v>
      </c>
      <c r="F28" s="224">
        <f t="shared" si="4"/>
        <v>0</v>
      </c>
      <c r="G28" s="226"/>
      <c r="H28" s="223"/>
      <c r="I28" s="32"/>
      <c r="J28" s="222">
        <v>505</v>
      </c>
      <c r="K28" s="221" t="s">
        <v>183</v>
      </c>
      <c r="L28" s="289">
        <f t="shared" si="3"/>
        <v>0</v>
      </c>
      <c r="P28" s="196"/>
      <c r="X28" s="552">
        <v>505</v>
      </c>
      <c r="Y28" s="286">
        <v>505</v>
      </c>
      <c r="AA28" s="386">
        <f t="shared" si="0"/>
        <v>0</v>
      </c>
      <c r="AB28" s="286">
        <f t="shared" si="1"/>
        <v>0</v>
      </c>
    </row>
    <row r="29" spans="1:28" ht="82.5" customHeight="1" x14ac:dyDescent="0.3">
      <c r="A29" s="212">
        <f>'Unit Data from Audit Worksheet'!A35</f>
        <v>341</v>
      </c>
      <c r="B29" s="225" t="str">
        <f>'Unit Data from Audit Worksheet'!C35</f>
        <v>Statement of Activities - Governmental</v>
      </c>
      <c r="C29" s="211" t="str">
        <f>'Unit Data from Audit Worksheet'!D35</f>
        <v>Total General revenues
Exclude: transfers-in or out,
                 special items,
                 extraordinary amounts</v>
      </c>
      <c r="D29" s="102"/>
      <c r="E29" s="231">
        <f>'Unit Data from Audit Worksheet'!F35</f>
        <v>0</v>
      </c>
      <c r="F29" s="224">
        <f t="shared" si="4"/>
        <v>0</v>
      </c>
      <c r="G29" s="226"/>
      <c r="H29" s="223"/>
      <c r="I29" s="32"/>
      <c r="J29" s="222">
        <v>341</v>
      </c>
      <c r="K29" s="221" t="s">
        <v>184</v>
      </c>
      <c r="L29" s="289">
        <f t="shared" si="3"/>
        <v>0</v>
      </c>
      <c r="P29" s="196"/>
      <c r="X29" s="552">
        <v>341</v>
      </c>
      <c r="Y29" s="286">
        <v>341</v>
      </c>
      <c r="AA29" s="386">
        <f t="shared" si="0"/>
        <v>0</v>
      </c>
      <c r="AB29" s="286">
        <f t="shared" si="1"/>
        <v>0</v>
      </c>
    </row>
    <row r="30" spans="1:28" ht="82.5" customHeight="1" x14ac:dyDescent="0.3">
      <c r="A30" s="212">
        <f>'Unit Data from Audit Worksheet'!A36</f>
        <v>386</v>
      </c>
      <c r="B30" s="225" t="str">
        <f>'Unit Data from Audit Worksheet'!C36</f>
        <v>Statement of Activities - Governmental</v>
      </c>
      <c r="C30" s="211" t="str">
        <f>'Unit Data from Audit Worksheet'!D36</f>
        <v>Total Transfers in    (Preference is that transfers-in  are not netted against transfers-out)</v>
      </c>
      <c r="D30" s="102"/>
      <c r="E30" s="231">
        <f>'Unit Data from Audit Worksheet'!F36</f>
        <v>0</v>
      </c>
      <c r="F30" s="224">
        <f t="shared" si="4"/>
        <v>0</v>
      </c>
      <c r="G30" s="226"/>
      <c r="H30" s="223"/>
      <c r="I30" s="32"/>
      <c r="J30" s="222">
        <v>386</v>
      </c>
      <c r="K30" s="221" t="s">
        <v>185</v>
      </c>
      <c r="L30" s="289">
        <f t="shared" si="3"/>
        <v>0</v>
      </c>
      <c r="P30" s="196"/>
      <c r="X30" s="552">
        <v>386</v>
      </c>
      <c r="Y30" s="286">
        <v>386</v>
      </c>
      <c r="AA30" s="386">
        <f t="shared" si="0"/>
        <v>0</v>
      </c>
      <c r="AB30" s="286">
        <f t="shared" si="1"/>
        <v>0</v>
      </c>
    </row>
    <row r="31" spans="1:28" ht="82.5" customHeight="1" x14ac:dyDescent="0.3">
      <c r="A31" s="212">
        <f>'Unit Data from Audit Worksheet'!A37</f>
        <v>387</v>
      </c>
      <c r="B31" s="225" t="str">
        <f>'Unit Data from Audit Worksheet'!C37</f>
        <v>Statement of Activities - Governmental</v>
      </c>
      <c r="C31" s="211" t="str">
        <f>'Unit Data from Audit Worksheet'!D37</f>
        <v>Total Transfers out    (Preference is that transfers-in  are not netted against transfers-out)</v>
      </c>
      <c r="D31" s="102"/>
      <c r="E31" s="231">
        <f>'Unit Data from Audit Worksheet'!F37</f>
        <v>0</v>
      </c>
      <c r="F31" s="224">
        <f>IF(L31&lt;0,"Error: Enter as a positive.",)</f>
        <v>0</v>
      </c>
      <c r="G31" s="226"/>
      <c r="H31" s="223"/>
      <c r="I31" s="32"/>
      <c r="J31" s="222">
        <v>387</v>
      </c>
      <c r="K31" s="221" t="s">
        <v>186</v>
      </c>
      <c r="L31" s="289">
        <f t="shared" si="3"/>
        <v>0</v>
      </c>
      <c r="P31" s="196"/>
      <c r="X31" s="552">
        <v>387</v>
      </c>
      <c r="Y31" s="286">
        <v>387</v>
      </c>
      <c r="AA31" s="386">
        <f t="shared" si="0"/>
        <v>0</v>
      </c>
      <c r="AB31" s="286">
        <f t="shared" si="1"/>
        <v>0</v>
      </c>
    </row>
    <row r="32" spans="1:28" ht="82.5" customHeight="1" x14ac:dyDescent="0.3">
      <c r="A32" s="212">
        <f>'Unit Data from Audit Worksheet'!A38</f>
        <v>389</v>
      </c>
      <c r="B32" s="225" t="str">
        <f>'Unit Data from Audit Worksheet'!C38</f>
        <v>Statement of Activities - Governmental</v>
      </c>
      <c r="C32" s="211" t="str">
        <f>'Unit Data from Audit Worksheet'!D38</f>
        <v>Total Special and Extraordinary items.    (Amounts that increase net position are recorded as positive and amounts that decrease net position are recorded as negative)</v>
      </c>
      <c r="D32" s="102"/>
      <c r="E32" s="231">
        <f>'Unit Data from Audit Worksheet'!F38</f>
        <v>0</v>
      </c>
      <c r="F32" s="224"/>
      <c r="G32" s="226"/>
      <c r="H32" s="223"/>
      <c r="I32" s="32"/>
      <c r="J32" s="222">
        <v>389</v>
      </c>
      <c r="K32" s="221" t="s">
        <v>187</v>
      </c>
      <c r="L32" s="289">
        <f t="shared" si="3"/>
        <v>0</v>
      </c>
      <c r="N32" s="297"/>
      <c r="P32" s="196"/>
      <c r="X32" s="552">
        <v>389</v>
      </c>
      <c r="Y32" s="286">
        <v>389</v>
      </c>
      <c r="AA32" s="386">
        <f t="shared" si="0"/>
        <v>0</v>
      </c>
      <c r="AB32" s="286">
        <f t="shared" si="1"/>
        <v>0</v>
      </c>
    </row>
    <row r="33" spans="1:28" ht="79.5" customHeight="1" x14ac:dyDescent="0.3">
      <c r="A33" s="212">
        <f>'Unit Data from Audit Worksheet'!A39</f>
        <v>255</v>
      </c>
      <c r="B33" s="225" t="str">
        <f>'Unit Data from Audit Worksheet'!C39</f>
        <v>Statement of Activities - Governmental</v>
      </c>
      <c r="C33" s="211" t="str">
        <f>'Unit Data from Audit Worksheet'!D39</f>
        <v>Total Change in net position - (Increase in net position is recorded as a positive and a decrease in net position is recorded as a negative)</v>
      </c>
      <c r="D33" s="102"/>
      <c r="E33" s="231">
        <f>'Unit Data from Audit Worksheet'!F39</f>
        <v>0</v>
      </c>
      <c r="F33" s="224">
        <f>IF((L26+L27+L28+L29+L30-L31+L32-L25-L33)=0,,"Total revenues less total expenses do not equal total change in net position. Acct 339+504+505+341+386-387+389-388-255=0")</f>
        <v>0</v>
      </c>
      <c r="G33" s="84">
        <f>L26+L27+L28+L29+L30-L31+L32-L25-L33</f>
        <v>0</v>
      </c>
      <c r="H33" s="223"/>
      <c r="I33" s="32"/>
      <c r="J33" s="222">
        <v>255</v>
      </c>
      <c r="K33" s="221" t="s">
        <v>188</v>
      </c>
      <c r="L33" s="289">
        <f t="shared" si="3"/>
        <v>0</v>
      </c>
      <c r="O33" s="296" t="e">
        <f>'Unit Data from Audit Worksheet'!E39</f>
        <v>#N/A</v>
      </c>
      <c r="P33" s="196"/>
      <c r="X33" s="552">
        <v>255</v>
      </c>
      <c r="Y33" s="286">
        <v>255</v>
      </c>
      <c r="AA33" s="386">
        <f t="shared" si="0"/>
        <v>0</v>
      </c>
      <c r="AB33" s="286">
        <f t="shared" si="1"/>
        <v>0</v>
      </c>
    </row>
    <row r="34" spans="1:28" ht="89.25" customHeight="1" x14ac:dyDescent="0.3">
      <c r="A34" s="212">
        <f>'Unit Data from Audit Worksheet'!A40</f>
        <v>376</v>
      </c>
      <c r="B34" s="225" t="str">
        <f>'Unit Data from Audit Worksheet'!C40</f>
        <v>Statement of Activities - Governmental</v>
      </c>
      <c r="C34" s="211" t="str">
        <f>'Unit Data from Audit Worksheet'!D40</f>
        <v>Any adjustment to beginning net position including rounding, prior period adjustments and restatements.   (Increases to net position are positive; decreases to net position are negative)</v>
      </c>
      <c r="D34" s="102"/>
      <c r="E34" s="231">
        <f>'Unit Data from Audit Worksheet'!F40</f>
        <v>0</v>
      </c>
      <c r="F34" s="80" t="e">
        <f>IF(L19+L20+L21-L33-L34=O19+O20+O21,,"Beginning Balance does not agree with our records acct (252+253+254-255-376=PY252+PY253+PY254)")</f>
        <v>#N/A</v>
      </c>
      <c r="G34" s="85" t="e">
        <f>L19+L20+L21-L33-L34-(O19+O20+O21)</f>
        <v>#N/A</v>
      </c>
      <c r="H34" s="223" t="e">
        <f>'Unit Data from Audit Worksheet'!I40</f>
        <v>#N/A</v>
      </c>
      <c r="I34" s="32"/>
      <c r="J34" s="222">
        <v>376</v>
      </c>
      <c r="K34" s="221" t="s">
        <v>100</v>
      </c>
      <c r="L34" s="289">
        <f t="shared" si="3"/>
        <v>0</v>
      </c>
      <c r="O34" s="296" t="e">
        <f>'Unit Data from Audit Worksheet'!E40</f>
        <v>#N/A</v>
      </c>
      <c r="P34" s="196"/>
      <c r="R34" s="384"/>
      <c r="S34" s="384"/>
      <c r="T34" s="384"/>
      <c r="U34" s="384"/>
      <c r="V34" s="384"/>
      <c r="W34" s="384"/>
      <c r="X34" s="552">
        <v>376</v>
      </c>
      <c r="Y34" s="286">
        <v>376</v>
      </c>
      <c r="Z34" s="384"/>
      <c r="AA34" s="386">
        <f t="shared" si="0"/>
        <v>0</v>
      </c>
      <c r="AB34" s="286">
        <f t="shared" si="1"/>
        <v>0</v>
      </c>
    </row>
    <row r="35" spans="1:28" ht="157.5" customHeight="1" x14ac:dyDescent="0.3">
      <c r="A35" s="212">
        <f>'Unit Data from Audit Worksheet'!A41</f>
        <v>597</v>
      </c>
      <c r="B35" s="225" t="str">
        <f>'Unit Data from Audit Worksheet'!C41</f>
        <v>Statement of Activities                               (all governmental and business funds)</v>
      </c>
      <c r="C35" s="211" t="str">
        <f>'Unit Data from Audit Worksheet'!D41</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1">
        <f>'Unit Data from Audit Worksheet'!F41</f>
        <v>0</v>
      </c>
      <c r="F35" s="224">
        <f>IF(L35&lt;0,"Error: Number is normally positive.",)</f>
        <v>0</v>
      </c>
      <c r="G35" s="226"/>
      <c r="H35" s="223"/>
      <c r="I35" s="32"/>
      <c r="J35" s="222">
        <v>597</v>
      </c>
      <c r="K35" s="221" t="s">
        <v>338</v>
      </c>
      <c r="L35" s="289">
        <f t="shared" si="3"/>
        <v>0</v>
      </c>
      <c r="O35" s="296"/>
      <c r="P35" s="196"/>
      <c r="R35" s="384"/>
      <c r="S35" s="384"/>
      <c r="T35" s="384"/>
      <c r="U35" s="384"/>
      <c r="V35" s="384"/>
      <c r="W35" s="384"/>
      <c r="X35" s="552">
        <v>597</v>
      </c>
      <c r="Y35" s="286">
        <v>597</v>
      </c>
      <c r="Z35" s="384"/>
      <c r="AA35" s="386">
        <f t="shared" si="0"/>
        <v>0</v>
      </c>
      <c r="AB35" s="286">
        <f t="shared" si="1"/>
        <v>0</v>
      </c>
    </row>
    <row r="36" spans="1:28" ht="90" customHeight="1" x14ac:dyDescent="0.3">
      <c r="A36" s="212">
        <f>'Unit Data from Audit Worksheet'!A43</f>
        <v>592</v>
      </c>
      <c r="B36" s="225" t="str">
        <f>'Unit Data from Audit Worksheet'!C43</f>
        <v>Statement of Activities - Business Activities</v>
      </c>
      <c r="C36" s="211" t="str">
        <f>'Unit Data from Audit Worksheet'!D43</f>
        <v>Total Change in net position Business Type 
(Increase in net position is recorded as a positive and a decrease in net position is recorded as a negative)</v>
      </c>
      <c r="D36" s="102"/>
      <c r="E36" s="231">
        <f>'Unit Data from Audit Worksheet'!F43</f>
        <v>0</v>
      </c>
      <c r="F36" s="224"/>
      <c r="G36" s="226"/>
      <c r="H36" s="223"/>
      <c r="I36" s="32"/>
      <c r="J36" s="222">
        <v>592</v>
      </c>
      <c r="K36" s="221" t="s">
        <v>330</v>
      </c>
      <c r="L36" s="289">
        <f t="shared" si="3"/>
        <v>0</v>
      </c>
      <c r="O36" s="296"/>
      <c r="P36" s="196"/>
      <c r="R36" s="384"/>
      <c r="S36" s="384"/>
      <c r="T36" s="384"/>
      <c r="U36" s="384"/>
      <c r="V36" s="384"/>
      <c r="W36" s="384"/>
      <c r="X36" s="552">
        <v>592</v>
      </c>
      <c r="Y36" s="286">
        <v>592</v>
      </c>
      <c r="Z36" s="384"/>
      <c r="AA36" s="386">
        <f t="shared" si="0"/>
        <v>0</v>
      </c>
      <c r="AB36" s="286">
        <f t="shared" si="1"/>
        <v>0</v>
      </c>
    </row>
    <row r="37" spans="1:28" ht="66" customHeight="1" x14ac:dyDescent="0.3">
      <c r="A37" s="212">
        <f>'Unit Data from Audit Worksheet'!A44</f>
        <v>591</v>
      </c>
      <c r="B37" s="225" t="str">
        <f>'Unit Data from Audit Worksheet'!C44</f>
        <v>Statement of Activities - Business Activities</v>
      </c>
      <c r="C37" s="211" t="str">
        <f>'Unit Data from Audit Worksheet'!D44</f>
        <v>Total Expenses - Exclude Transfers</v>
      </c>
      <c r="D37" s="102"/>
      <c r="E37" s="231">
        <f>'Unit Data from Audit Worksheet'!F44</f>
        <v>0</v>
      </c>
      <c r="F37" s="224">
        <f>IF(L37&lt;0,"Error: Enter as a positive.",)</f>
        <v>0</v>
      </c>
      <c r="G37" s="226"/>
      <c r="H37" s="223"/>
      <c r="I37" s="32"/>
      <c r="J37" s="222">
        <v>591</v>
      </c>
      <c r="K37" s="221" t="s">
        <v>329</v>
      </c>
      <c r="L37" s="289">
        <f t="shared" si="3"/>
        <v>0</v>
      </c>
      <c r="O37" s="296"/>
      <c r="P37" s="196"/>
      <c r="R37" s="384"/>
      <c r="S37" s="384"/>
      <c r="T37" s="384"/>
      <c r="U37" s="384"/>
      <c r="V37" s="384"/>
      <c r="W37" s="384"/>
      <c r="X37" s="552">
        <v>591</v>
      </c>
      <c r="Y37" s="286">
        <v>591</v>
      </c>
      <c r="Z37" s="384"/>
      <c r="AA37" s="386">
        <f t="shared" si="0"/>
        <v>0</v>
      </c>
      <c r="AB37" s="286">
        <f t="shared" si="1"/>
        <v>0</v>
      </c>
    </row>
    <row r="38" spans="1:28" ht="54" customHeight="1" x14ac:dyDescent="0.3">
      <c r="A38" s="212">
        <f>'Unit Data from Audit Worksheet'!A46</f>
        <v>506</v>
      </c>
      <c r="B38" s="47" t="str">
        <f>'Unit Data from Audit Worksheet'!C46</f>
        <v>General Fund-Balance Sheet</v>
      </c>
      <c r="C38" s="298" t="str">
        <f>'Unit Data from Audit Worksheet'!D46</f>
        <v xml:space="preserve">All unrestricted cash and investments.  
Exclude restricted cash and cash held by a third party. </v>
      </c>
      <c r="D38" s="102"/>
      <c r="E38" s="144">
        <f>'Unit Data from Audit Worksheet'!F46</f>
        <v>0</v>
      </c>
      <c r="F38" s="31">
        <f>IF(L38&lt;0,"Error: Number is normally positive.",)</f>
        <v>0</v>
      </c>
      <c r="G38" s="66"/>
      <c r="H38" s="223"/>
      <c r="I38" s="32"/>
      <c r="J38" s="35">
        <v>506</v>
      </c>
      <c r="K38" s="221" t="s">
        <v>189</v>
      </c>
      <c r="L38" s="299">
        <f t="shared" ref="L38:L51" si="5">IF(D38="",E38,D38)</f>
        <v>0</v>
      </c>
      <c r="P38" s="197"/>
      <c r="X38" s="552">
        <v>506</v>
      </c>
      <c r="Y38" s="286">
        <v>506</v>
      </c>
      <c r="AA38" s="386">
        <f t="shared" si="0"/>
        <v>0</v>
      </c>
      <c r="AB38" s="286">
        <f t="shared" si="1"/>
        <v>0</v>
      </c>
    </row>
    <row r="39" spans="1:28" ht="45.75" customHeight="1" x14ac:dyDescent="0.3">
      <c r="A39" s="212">
        <f>'Unit Data from Audit Worksheet'!A47</f>
        <v>536</v>
      </c>
      <c r="B39" s="47" t="str">
        <f>'Unit Data from Audit Worksheet'!C47</f>
        <v>General Fund-Balance Sheet</v>
      </c>
      <c r="C39" s="298" t="str">
        <f>'Unit Data from Audit Worksheet'!D47</f>
        <v>All restricted cash and investments</v>
      </c>
      <c r="D39" s="102"/>
      <c r="E39" s="144">
        <f>'Unit Data from Audit Worksheet'!F47</f>
        <v>0</v>
      </c>
      <c r="F39" s="31">
        <f>IF(L39&lt;0,"Error: Number is normally positive.",)</f>
        <v>0</v>
      </c>
      <c r="G39" s="66"/>
      <c r="H39" s="223"/>
      <c r="I39" s="32"/>
      <c r="J39" s="35">
        <v>536</v>
      </c>
      <c r="K39" s="221" t="s">
        <v>190</v>
      </c>
      <c r="L39" s="299">
        <f t="shared" si="5"/>
        <v>0</v>
      </c>
      <c r="P39" s="198"/>
      <c r="Q39" s="293"/>
      <c r="S39" s="292"/>
      <c r="T39" s="292"/>
      <c r="U39" s="292"/>
      <c r="V39" s="292"/>
      <c r="W39" s="18"/>
      <c r="X39" s="552">
        <v>536</v>
      </c>
      <c r="Y39" s="286">
        <v>536</v>
      </c>
      <c r="Z39" s="18"/>
      <c r="AA39" s="386">
        <f t="shared" si="0"/>
        <v>0</v>
      </c>
      <c r="AB39" s="286">
        <f t="shared" si="1"/>
        <v>0</v>
      </c>
    </row>
    <row r="40" spans="1:28" ht="56.25" customHeight="1" x14ac:dyDescent="0.3">
      <c r="A40" s="212">
        <f>'Unit Data from Audit Worksheet'!A48</f>
        <v>586</v>
      </c>
      <c r="B40" s="225" t="str">
        <f>'Unit Data from Audit Worksheet'!C48</f>
        <v>General Fund-Balance Sheet</v>
      </c>
      <c r="C40" s="211" t="str">
        <f>'Unit Data from Audit Worksheet'!D48</f>
        <v>Advance To: Interfund loan receivable-portion of repayment plan longer than 12 months</v>
      </c>
      <c r="D40" s="134"/>
      <c r="E40" s="231">
        <f>'Unit Data from Audit Worksheet'!F48</f>
        <v>0</v>
      </c>
      <c r="F40" s="224"/>
      <c r="G40" s="226"/>
      <c r="H40" s="223"/>
      <c r="I40" s="32"/>
      <c r="J40" s="222">
        <v>586</v>
      </c>
      <c r="K40" s="211" t="s">
        <v>315</v>
      </c>
      <c r="L40" s="289">
        <f t="shared" si="5"/>
        <v>0</v>
      </c>
      <c r="P40" s="198"/>
      <c r="Q40" s="293"/>
      <c r="S40" s="292"/>
      <c r="T40" s="292"/>
      <c r="U40" s="292"/>
      <c r="V40" s="292"/>
      <c r="W40" s="18"/>
      <c r="X40" s="552">
        <v>586</v>
      </c>
      <c r="Y40" s="286">
        <v>586</v>
      </c>
      <c r="Z40" s="18"/>
      <c r="AA40" s="386">
        <f t="shared" si="0"/>
        <v>0</v>
      </c>
      <c r="AB40" s="286">
        <f t="shared" si="1"/>
        <v>0</v>
      </c>
    </row>
    <row r="41" spans="1:28" ht="28.8" x14ac:dyDescent="0.3">
      <c r="A41" s="212">
        <f>'Unit Data from Audit Worksheet'!A49</f>
        <v>379</v>
      </c>
      <c r="B41" s="225" t="str">
        <f>'Unit Data from Audit Worksheet'!C49</f>
        <v>General Fund-Balance Sheet</v>
      </c>
      <c r="C41" s="211" t="str">
        <f>'Unit Data from Audit Worksheet'!D49</f>
        <v>Total Assets and deferred outflows</v>
      </c>
      <c r="D41" s="134"/>
      <c r="E41" s="231">
        <f>'Unit Data from Audit Worksheet'!F49</f>
        <v>0</v>
      </c>
      <c r="F41" s="77">
        <f>IF((L38+L39)&gt;L41,"Error: Please review accts (506+536)&gt;379",)</f>
        <v>0</v>
      </c>
      <c r="G41" s="226"/>
      <c r="H41" s="223"/>
      <c r="I41" s="32"/>
      <c r="J41" s="222">
        <v>379</v>
      </c>
      <c r="K41" s="221" t="s">
        <v>110</v>
      </c>
      <c r="L41" s="289">
        <f t="shared" si="5"/>
        <v>0</v>
      </c>
      <c r="P41" s="195"/>
      <c r="X41" s="552">
        <v>379</v>
      </c>
      <c r="Y41" s="286">
        <v>379</v>
      </c>
      <c r="AA41" s="386">
        <f t="shared" si="0"/>
        <v>0</v>
      </c>
      <c r="AB41" s="286">
        <f t="shared" si="1"/>
        <v>0</v>
      </c>
    </row>
    <row r="42" spans="1:28" ht="106.5" customHeight="1" x14ac:dyDescent="0.3">
      <c r="A42" s="212">
        <f>'Unit Data from Audit Worksheet'!A50</f>
        <v>368</v>
      </c>
      <c r="B42" s="225" t="str">
        <f>'Unit Data from Audit Worksheet'!C50</f>
        <v>General Fund-Balance Sheet</v>
      </c>
      <c r="C42" s="211" t="str">
        <f>'Unit Data from Audit Worksheet'!D50</f>
        <v>Total Liabilities payable from restricted assets (only complete if this is listed in your financial statements for the general fund and the auditor has listed the cash to be used to pay the liabilities as restricted)</v>
      </c>
      <c r="D42" s="134"/>
      <c r="E42" s="231">
        <f>'Unit Data from Audit Worksheet'!F50</f>
        <v>0</v>
      </c>
      <c r="F42" s="224">
        <f>IF(L42&lt;0,"Error: Enter as a positive.",)</f>
        <v>0</v>
      </c>
      <c r="G42" s="226"/>
      <c r="H42" s="223"/>
      <c r="I42" s="32"/>
      <c r="J42" s="222">
        <v>368</v>
      </c>
      <c r="K42" s="221" t="s">
        <v>191</v>
      </c>
      <c r="L42" s="289">
        <f t="shared" si="5"/>
        <v>0</v>
      </c>
      <c r="P42" s="196"/>
      <c r="S42" s="18"/>
      <c r="T42" s="18"/>
      <c r="U42" s="18"/>
      <c r="V42" s="18"/>
      <c r="X42" s="552">
        <v>368</v>
      </c>
      <c r="Y42" s="286">
        <v>368</v>
      </c>
      <c r="Z42" s="18"/>
      <c r="AA42" s="386">
        <f t="shared" si="0"/>
        <v>0</v>
      </c>
      <c r="AB42" s="286">
        <f t="shared" si="1"/>
        <v>0</v>
      </c>
    </row>
    <row r="43" spans="1:28" ht="90.75" customHeight="1" x14ac:dyDescent="0.3">
      <c r="A43" s="212">
        <f>'Unit Data from Audit Worksheet'!A51</f>
        <v>4</v>
      </c>
      <c r="B43" s="47" t="str">
        <f>'Unit Data from Audit Worksheet'!C51</f>
        <v>General Fund-Balance Sheet</v>
      </c>
      <c r="C43" s="298" t="str">
        <f>'Unit Data from Audit Worksheet'!D51</f>
        <v>Current Liabilities (as reported on the Balance Sheet)
Exclude all deferred inflows. 
Include advance from(long-term portion of interfund loans)</v>
      </c>
      <c r="D43" s="134"/>
      <c r="E43" s="144">
        <f>'Unit Data from Audit Worksheet'!F51</f>
        <v>0</v>
      </c>
      <c r="F43" s="31">
        <f t="shared" ref="F43:F52" si="6">IF(L43&lt;0,"Error: Enter as a positive.",)</f>
        <v>0</v>
      </c>
      <c r="G43" s="66"/>
      <c r="H43" s="223"/>
      <c r="I43" s="32"/>
      <c r="J43" s="35">
        <v>4</v>
      </c>
      <c r="K43" s="221" t="s">
        <v>111</v>
      </c>
      <c r="L43" s="299">
        <f t="shared" si="5"/>
        <v>0</v>
      </c>
      <c r="P43" s="196"/>
      <c r="S43" s="18"/>
      <c r="T43" s="18"/>
      <c r="U43" s="18"/>
      <c r="V43" s="18"/>
      <c r="X43" s="552">
        <v>4</v>
      </c>
      <c r="Y43" s="286">
        <v>4</v>
      </c>
      <c r="Z43" s="18"/>
      <c r="AA43" s="386">
        <f t="shared" si="0"/>
        <v>0</v>
      </c>
      <c r="AB43" s="286">
        <f t="shared" si="1"/>
        <v>0</v>
      </c>
    </row>
    <row r="44" spans="1:28" ht="131.25" customHeight="1" x14ac:dyDescent="0.3">
      <c r="A44" s="212">
        <f>'Unit Data from Audit Worksheet'!A52</f>
        <v>5</v>
      </c>
      <c r="B44" s="47" t="str">
        <f>'Unit Data from Audit Worksheet'!C52</f>
        <v>General Fund-Balance Sheet</v>
      </c>
      <c r="C44" s="298" t="str">
        <f>'Unit Data from Audit Worksheet'!D52</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Worksheet'!F52</f>
        <v>0</v>
      </c>
      <c r="F44" s="31">
        <f t="shared" si="6"/>
        <v>0</v>
      </c>
      <c r="G44" s="66"/>
      <c r="H44" s="223"/>
      <c r="I44" s="32"/>
      <c r="J44" s="35">
        <v>5</v>
      </c>
      <c r="K44" s="221" t="s">
        <v>112</v>
      </c>
      <c r="L44" s="299">
        <f t="shared" si="5"/>
        <v>0</v>
      </c>
      <c r="P44" s="196"/>
      <c r="S44" s="18"/>
      <c r="T44" s="18"/>
      <c r="U44" s="18"/>
      <c r="V44" s="18"/>
      <c r="X44" s="552">
        <v>5</v>
      </c>
      <c r="Y44" s="286">
        <v>5</v>
      </c>
      <c r="Z44" s="18"/>
      <c r="AA44" s="386">
        <f t="shared" si="0"/>
        <v>0</v>
      </c>
      <c r="AB44" s="286">
        <f t="shared" si="1"/>
        <v>0</v>
      </c>
    </row>
    <row r="45" spans="1:28" ht="104.25" customHeight="1" x14ac:dyDescent="0.3">
      <c r="A45" s="212">
        <f>'Unit Data from Audit Worksheet'!A53</f>
        <v>380</v>
      </c>
      <c r="B45" s="225" t="str">
        <f>'Unit Data from Audit Worksheet'!C53</f>
        <v>General Fund-Balance Sheet</v>
      </c>
      <c r="C45" s="211" t="str">
        <f>'Unit Data from Audit Worksheet'!D53</f>
        <v>Total Deferred inflows not derived from cash receipts.  Deferred inflows on the face of the statements can include cash and non-cash.  You may have to refer to the note disclosure where the cash and non-cash is broken out.</v>
      </c>
      <c r="D45" s="134"/>
      <c r="E45" s="231">
        <f>'Unit Data from Audit Worksheet'!F53</f>
        <v>0</v>
      </c>
      <c r="F45" s="224">
        <f t="shared" si="6"/>
        <v>0</v>
      </c>
      <c r="G45" s="226"/>
      <c r="H45" s="223"/>
      <c r="I45" s="32"/>
      <c r="J45" s="222">
        <v>380</v>
      </c>
      <c r="K45" s="221" t="s">
        <v>113</v>
      </c>
      <c r="L45" s="289">
        <f t="shared" si="5"/>
        <v>0</v>
      </c>
      <c r="P45" s="196"/>
      <c r="X45" s="552">
        <v>380</v>
      </c>
      <c r="Y45" s="286">
        <v>380</v>
      </c>
      <c r="AA45" s="386">
        <f t="shared" si="0"/>
        <v>0</v>
      </c>
      <c r="AB45" s="286">
        <f t="shared" si="1"/>
        <v>0</v>
      </c>
    </row>
    <row r="46" spans="1:28" ht="41.25" customHeight="1" x14ac:dyDescent="0.3">
      <c r="A46" s="212">
        <f>'Unit Data from Audit Worksheet'!A54</f>
        <v>391</v>
      </c>
      <c r="B46" s="225" t="str">
        <f>'Unit Data from Audit Worksheet'!C54</f>
        <v>General Fund-Balance Sheet</v>
      </c>
      <c r="C46" s="211" t="str">
        <f>'Unit Data from Audit Worksheet'!D54</f>
        <v xml:space="preserve">Fund balance, Restricted for Stabilization by State Statute </v>
      </c>
      <c r="D46" s="134"/>
      <c r="E46" s="231">
        <f>'Unit Data from Audit Worksheet'!F54</f>
        <v>0</v>
      </c>
      <c r="F46" s="224">
        <f t="shared" si="6"/>
        <v>0</v>
      </c>
      <c r="G46" s="226"/>
      <c r="H46" s="223"/>
      <c r="I46" s="32"/>
      <c r="J46" s="222">
        <v>391</v>
      </c>
      <c r="K46" s="221" t="s">
        <v>192</v>
      </c>
      <c r="L46" s="289">
        <f t="shared" si="5"/>
        <v>0</v>
      </c>
      <c r="P46" s="196"/>
      <c r="X46" s="552">
        <v>391</v>
      </c>
      <c r="Y46" s="286">
        <v>391</v>
      </c>
      <c r="AA46" s="386">
        <f t="shared" si="0"/>
        <v>0</v>
      </c>
      <c r="AB46" s="286">
        <f t="shared" si="1"/>
        <v>0</v>
      </c>
    </row>
    <row r="47" spans="1:28" ht="28.8" x14ac:dyDescent="0.3">
      <c r="A47" s="212">
        <f>'Unit Data from Audit Worksheet'!A55</f>
        <v>7</v>
      </c>
      <c r="B47" s="47" t="str">
        <f>'Unit Data from Audit Worksheet'!C55</f>
        <v>General Fund-Balance Sheet</v>
      </c>
      <c r="C47" s="298" t="str">
        <f>'Unit Data from Audit Worksheet'!D55</f>
        <v>Fund balance, Nonspendable-  inventory/prepaids/etc.</v>
      </c>
      <c r="D47" s="134"/>
      <c r="E47" s="144">
        <f>'Unit Data from Audit Worksheet'!F55</f>
        <v>0</v>
      </c>
      <c r="F47" s="31">
        <f t="shared" si="6"/>
        <v>0</v>
      </c>
      <c r="G47" s="66"/>
      <c r="H47" s="223"/>
      <c r="I47" s="32"/>
      <c r="J47" s="35">
        <v>7</v>
      </c>
      <c r="K47" s="221" t="s">
        <v>193</v>
      </c>
      <c r="L47" s="299">
        <f t="shared" si="5"/>
        <v>0</v>
      </c>
      <c r="P47" s="196"/>
      <c r="X47" s="552">
        <v>7</v>
      </c>
      <c r="Y47" s="286">
        <v>7</v>
      </c>
      <c r="AA47" s="386">
        <f t="shared" si="0"/>
        <v>0</v>
      </c>
      <c r="AB47" s="286">
        <f t="shared" si="1"/>
        <v>0</v>
      </c>
    </row>
    <row r="48" spans="1:28" ht="89.25" customHeight="1" x14ac:dyDescent="0.3">
      <c r="A48" s="300">
        <f>'Unit Data from Audit Worksheet'!A56</f>
        <v>11</v>
      </c>
      <c r="B48" s="109" t="str">
        <f>'Unit Data from Audit Worksheet'!C56</f>
        <v>General Fund-Balance Sheet</v>
      </c>
      <c r="C48" s="291" t="str">
        <f>'Unit Data from Audit Worksheet'!D56</f>
        <v>Fund balance, Restricted for Streets (unspent Powell Bill balance).  You may have to refer to the note disclosure where restricted fund balance is described.</v>
      </c>
      <c r="D48" s="102"/>
      <c r="E48" s="145">
        <f>'Unit Data from Audit Worksheet'!F56</f>
        <v>0</v>
      </c>
      <c r="F48" s="103">
        <f t="shared" si="6"/>
        <v>0</v>
      </c>
      <c r="G48" s="104"/>
      <c r="H48" s="105"/>
      <c r="I48" s="32"/>
      <c r="J48" s="97">
        <v>11</v>
      </c>
      <c r="K48" s="38" t="s">
        <v>194</v>
      </c>
      <c r="L48" s="289">
        <f t="shared" si="5"/>
        <v>0</v>
      </c>
      <c r="P48" s="196"/>
      <c r="X48" s="552">
        <v>11</v>
      </c>
      <c r="Y48" s="286">
        <v>11</v>
      </c>
      <c r="AA48" s="386">
        <f t="shared" si="0"/>
        <v>0</v>
      </c>
      <c r="AB48" s="286">
        <f t="shared" si="1"/>
        <v>0</v>
      </c>
    </row>
    <row r="49" spans="1:28" s="18" customFormat="1" ht="48.75" customHeight="1" x14ac:dyDescent="0.3">
      <c r="A49" s="190">
        <f>'Unit Data from Audit Worksheet'!A57</f>
        <v>645</v>
      </c>
      <c r="B49" s="235" t="str">
        <f>'Unit Data from Audit Worksheet'!C57</f>
        <v>General Fund-Balance Sheet</v>
      </c>
      <c r="C49" s="190" t="str">
        <f>'Unit Data from Audit Worksheet'!D57</f>
        <v>Fund balance, Assigned (total of all assigned components)</v>
      </c>
      <c r="D49" s="108"/>
      <c r="E49" s="234">
        <f>'Unit Data from Audit Worksheet'!F57</f>
        <v>0</v>
      </c>
      <c r="F49" s="219">
        <f>IF(L49&lt;0,"Error: Enter as a positive.",)</f>
        <v>0</v>
      </c>
      <c r="G49" s="207"/>
      <c r="H49" s="219"/>
      <c r="I49" s="301"/>
      <c r="J49" s="218">
        <v>645</v>
      </c>
      <c r="K49" s="190" t="s">
        <v>383</v>
      </c>
      <c r="L49" s="302">
        <f t="shared" si="5"/>
        <v>0</v>
      </c>
      <c r="M49"/>
      <c r="N49" s="292"/>
      <c r="O49" s="292"/>
      <c r="P49" s="196"/>
      <c r="Q49" s="279"/>
      <c r="R49" s="3"/>
      <c r="S49" s="3"/>
      <c r="T49" s="3"/>
      <c r="U49" s="3"/>
      <c r="V49" s="3"/>
      <c r="W49" s="3"/>
      <c r="X49" s="552">
        <v>645</v>
      </c>
      <c r="Y49" s="286">
        <v>645</v>
      </c>
      <c r="Z49" s="3"/>
      <c r="AA49" s="386">
        <f t="shared" si="0"/>
        <v>0</v>
      </c>
      <c r="AB49" s="286">
        <f t="shared" si="1"/>
        <v>0</v>
      </c>
    </row>
    <row r="50" spans="1:28" s="18" customFormat="1" ht="45.75" customHeight="1" x14ac:dyDescent="0.3">
      <c r="A50" s="190">
        <f>'Unit Data from Audit Worksheet'!A58</f>
        <v>646</v>
      </c>
      <c r="B50" s="235" t="str">
        <f>'Unit Data from Audit Worksheet'!C58</f>
        <v>General Fund-Balance Sheet</v>
      </c>
      <c r="C50" s="190" t="str">
        <f>'Unit Data from Audit Worksheet'!D58</f>
        <v>Fund Balance, Unassigned</v>
      </c>
      <c r="D50" s="108"/>
      <c r="E50" s="234">
        <f>'Unit Data from Audit Worksheet'!F58</f>
        <v>0</v>
      </c>
      <c r="F50" s="219">
        <f>IF(L50&lt;0,"Error: Enter as a positive.",)</f>
        <v>0</v>
      </c>
      <c r="G50" s="207"/>
      <c r="H50" s="219"/>
      <c r="I50" s="301"/>
      <c r="J50" s="218">
        <v>646</v>
      </c>
      <c r="K50" s="190" t="s">
        <v>384</v>
      </c>
      <c r="L50" s="302">
        <f t="shared" si="5"/>
        <v>0</v>
      </c>
      <c r="M50"/>
      <c r="N50" s="292"/>
      <c r="O50" s="292"/>
      <c r="P50" s="196"/>
      <c r="Q50" s="279"/>
      <c r="R50" s="3"/>
      <c r="S50" s="3"/>
      <c r="T50" s="3"/>
      <c r="U50" s="3"/>
      <c r="V50" s="3"/>
      <c r="W50" s="3"/>
      <c r="X50" s="552">
        <v>646</v>
      </c>
      <c r="Y50" s="286">
        <v>646</v>
      </c>
      <c r="Z50" s="3"/>
      <c r="AA50" s="386">
        <f t="shared" si="0"/>
        <v>0</v>
      </c>
      <c r="AB50" s="286">
        <f t="shared" si="1"/>
        <v>0</v>
      </c>
    </row>
    <row r="51" spans="1:28" ht="55.5" customHeight="1" x14ac:dyDescent="0.3">
      <c r="A51" s="287">
        <f>'Unit Data from Audit Worksheet'!A59</f>
        <v>9</v>
      </c>
      <c r="B51" s="110" t="str">
        <f>'Unit Data from Audit Worksheet'!C59</f>
        <v>General Fund-Balance Sheet</v>
      </c>
      <c r="C51" s="303" t="str">
        <f>'Unit Data from Audit Worksheet'!D59</f>
        <v>Total Fund balance (enter fund deficits as negative)</v>
      </c>
      <c r="D51" s="134"/>
      <c r="E51" s="143">
        <f>'Unit Data from Audit Worksheet'!F59</f>
        <v>0</v>
      </c>
      <c r="F51" s="111">
        <f>IF(L41-L43-L44-L45-L51=0,,"Error: Total assets less total liabilities do not equal Acct +379-4-5-380-9=0")</f>
        <v>0</v>
      </c>
      <c r="G51" s="112">
        <f>L41-L43-L44-L45-L51</f>
        <v>0</v>
      </c>
      <c r="H51" s="223"/>
      <c r="I51" s="32"/>
      <c r="J51" s="113">
        <v>9</v>
      </c>
      <c r="K51" s="45" t="s">
        <v>195</v>
      </c>
      <c r="L51" s="299">
        <f t="shared" si="5"/>
        <v>0</v>
      </c>
      <c r="O51" s="296" t="e">
        <f>'Unit Data from Audit Worksheet'!E59</f>
        <v>#N/A</v>
      </c>
      <c r="P51" s="196"/>
      <c r="X51" s="552">
        <v>9</v>
      </c>
      <c r="Y51" s="286">
        <v>9</v>
      </c>
      <c r="AA51" s="386">
        <f t="shared" si="0"/>
        <v>0</v>
      </c>
      <c r="AB51" s="286">
        <f t="shared" si="1"/>
        <v>0</v>
      </c>
    </row>
    <row r="52" spans="1:28" s="18" customFormat="1" ht="73.5" customHeight="1" x14ac:dyDescent="0.3">
      <c r="A52" s="212">
        <f>'Unit Data from Audit Worksheet'!A60</f>
        <v>540</v>
      </c>
      <c r="B52" s="225" t="str">
        <f>'Unit Data from Audit Worksheet'!C60</f>
        <v>General Fund - Budget Actual Statement</v>
      </c>
      <c r="C52" s="211" t="str">
        <f>'Unit Data from Audit Worksheet'!D60</f>
        <v>Amount of the General Fund Balance appropriated in next year's budget. As reported on the General Fund Balance Sheet.</v>
      </c>
      <c r="D52" s="134"/>
      <c r="E52" s="231">
        <f>'Unit Data from Audit Worksheet'!F60</f>
        <v>0</v>
      </c>
      <c r="F52" s="224">
        <f t="shared" si="6"/>
        <v>0</v>
      </c>
      <c r="G52" s="226"/>
      <c r="H52" s="223"/>
      <c r="I52" s="32"/>
      <c r="J52" s="222">
        <v>540</v>
      </c>
      <c r="K52" s="221" t="s">
        <v>253</v>
      </c>
      <c r="L52" s="289">
        <f t="shared" ref="L52:L79" si="7">IF(D52="",E52,D52)</f>
        <v>0</v>
      </c>
      <c r="M52"/>
      <c r="P52" s="196"/>
      <c r="Q52" s="279"/>
      <c r="R52" s="3"/>
      <c r="S52" s="3"/>
      <c r="T52" s="3"/>
      <c r="U52" s="3"/>
      <c r="V52" s="3"/>
      <c r="W52" s="3"/>
      <c r="X52" s="552">
        <v>540</v>
      </c>
      <c r="Y52" s="286">
        <v>540</v>
      </c>
      <c r="Z52" s="3"/>
      <c r="AA52" s="386">
        <f t="shared" si="0"/>
        <v>0</v>
      </c>
      <c r="AB52" s="286">
        <f t="shared" si="1"/>
        <v>0</v>
      </c>
    </row>
    <row r="53" spans="1:28" s="18" customFormat="1" ht="73.5" customHeight="1" x14ac:dyDescent="0.3">
      <c r="A53" s="212">
        <f>'Unit Data from Audit Worksheet'!A61</f>
        <v>1052</v>
      </c>
      <c r="B53" s="225" t="str">
        <f>'Unit Data from Audit Worksheet'!C61</f>
        <v>General Fund-Rev, Exp. Change in Fund Balance</v>
      </c>
      <c r="C53" s="211" t="str">
        <f>'Unit Data from Audit Worksheet'!D61</f>
        <v>Mark to Market unrealized losses in the General Fund. (enter as a negative number)</v>
      </c>
      <c r="D53" s="134"/>
      <c r="E53" s="231">
        <f>'Unit Data from Audit Worksheet'!F61</f>
        <v>0</v>
      </c>
      <c r="F53" s="224"/>
      <c r="G53" s="226"/>
      <c r="H53" s="223"/>
      <c r="I53" s="32"/>
      <c r="J53" s="222">
        <v>1052</v>
      </c>
      <c r="K53" s="221" t="s">
        <v>1607</v>
      </c>
      <c r="L53" s="295">
        <f t="shared" si="7"/>
        <v>0</v>
      </c>
      <c r="M53"/>
      <c r="P53" s="196"/>
      <c r="Q53" s="279"/>
      <c r="R53" s="386"/>
      <c r="S53" s="386"/>
      <c r="T53" s="386"/>
      <c r="U53" s="386"/>
      <c r="V53" s="386"/>
      <c r="W53" s="386"/>
      <c r="X53" s="552"/>
      <c r="Y53" s="286"/>
      <c r="Z53" s="386"/>
      <c r="AA53" s="386">
        <f t="shared" si="0"/>
        <v>0</v>
      </c>
      <c r="AB53" s="286"/>
    </row>
    <row r="54" spans="1:28" s="18" customFormat="1" ht="73.5" customHeight="1" x14ac:dyDescent="0.3">
      <c r="A54" s="212">
        <f>'Unit Data from Audit Worksheet'!A63</f>
        <v>984</v>
      </c>
      <c r="B54" s="225" t="str">
        <f>'Unit Data from Audit Worksheet'!C63</f>
        <v>General Fund - Budget Actual Statement</v>
      </c>
      <c r="C54" s="211" t="str">
        <f>'Unit Data from Audit Worksheet'!D63</f>
        <v>Amount of Ad valorem tax collected (including motor vehicle and prior years) reported on budget actual statement</v>
      </c>
      <c r="D54" s="134"/>
      <c r="E54" s="231">
        <f>'Unit Data from Audit Worksheet'!F63</f>
        <v>0</v>
      </c>
      <c r="F54" s="224"/>
      <c r="G54" s="226"/>
      <c r="H54" s="223"/>
      <c r="I54" s="32"/>
      <c r="J54" s="222">
        <v>984</v>
      </c>
      <c r="K54" s="221" t="s">
        <v>601</v>
      </c>
      <c r="L54" s="295">
        <f t="shared" si="7"/>
        <v>0</v>
      </c>
      <c r="M54"/>
      <c r="P54" s="196"/>
      <c r="Q54" s="279"/>
      <c r="R54" s="3"/>
      <c r="S54" s="3"/>
      <c r="T54" s="3"/>
      <c r="U54" s="3"/>
      <c r="V54" s="3"/>
      <c r="W54" s="3"/>
      <c r="X54" s="552">
        <v>984</v>
      </c>
      <c r="Y54" s="286">
        <v>984</v>
      </c>
      <c r="Z54" s="3"/>
      <c r="AA54" s="386">
        <f t="shared" si="0"/>
        <v>0</v>
      </c>
      <c r="AB54" s="286">
        <f t="shared" si="1"/>
        <v>0</v>
      </c>
    </row>
    <row r="55" spans="1:28" s="18" customFormat="1" ht="73.5" customHeight="1" x14ac:dyDescent="0.3">
      <c r="A55" s="212">
        <f>'Unit Data from Audit Worksheet'!A64</f>
        <v>985</v>
      </c>
      <c r="B55" s="225" t="str">
        <f>'Unit Data from Audit Worksheet'!C64</f>
        <v>General Fund - Budget Actual Statement</v>
      </c>
      <c r="C55" s="211" t="str">
        <f>'Unit Data from Audit Worksheet'!D64</f>
        <v>Amount of Ad valorem tax budgeted (including motor vehicle and prior years) reported on budget actual statement</v>
      </c>
      <c r="D55" s="134"/>
      <c r="E55" s="231">
        <f>'Unit Data from Audit Worksheet'!F64</f>
        <v>0</v>
      </c>
      <c r="F55" s="224"/>
      <c r="G55" s="226"/>
      <c r="H55" s="223"/>
      <c r="I55" s="32"/>
      <c r="J55" s="222">
        <v>985</v>
      </c>
      <c r="K55" s="221" t="s">
        <v>602</v>
      </c>
      <c r="L55" s="295">
        <f t="shared" si="7"/>
        <v>0</v>
      </c>
      <c r="M55"/>
      <c r="P55" s="197"/>
      <c r="Q55" s="279"/>
      <c r="R55" s="3"/>
      <c r="S55" s="3"/>
      <c r="T55" s="3"/>
      <c r="U55" s="3"/>
      <c r="V55" s="3"/>
      <c r="W55" s="3"/>
      <c r="X55" s="552">
        <v>985</v>
      </c>
      <c r="Y55" s="286">
        <v>985</v>
      </c>
      <c r="Z55" s="3"/>
      <c r="AA55" s="386">
        <f t="shared" si="0"/>
        <v>0</v>
      </c>
      <c r="AB55" s="286">
        <f t="shared" si="1"/>
        <v>0</v>
      </c>
    </row>
    <row r="56" spans="1:28" ht="73.5" customHeight="1" x14ac:dyDescent="0.3">
      <c r="A56" s="212">
        <f>'Unit Data from Audit Worksheet'!A65</f>
        <v>369</v>
      </c>
      <c r="B56" s="225" t="str">
        <f>'Unit Data from Audit Worksheet'!C65</f>
        <v>General Fund-Rev, Exp. Change in Fund Balance</v>
      </c>
      <c r="C56" s="211" t="str">
        <f>'Unit Data from Audit Worksheet'!D65</f>
        <v>Total Intergovernmental revenue 
Include restricted and unrestricted revenues</v>
      </c>
      <c r="D56" s="134"/>
      <c r="E56" s="231">
        <f>'Unit Data from Audit Worksheet'!F65</f>
        <v>0</v>
      </c>
      <c r="F56" s="224"/>
      <c r="G56" s="226"/>
      <c r="H56" s="223"/>
      <c r="I56" s="32"/>
      <c r="J56" s="222">
        <v>369</v>
      </c>
      <c r="K56" s="221" t="s">
        <v>196</v>
      </c>
      <c r="L56" s="289">
        <f t="shared" si="7"/>
        <v>0</v>
      </c>
      <c r="P56" s="205"/>
      <c r="X56" s="552">
        <v>369</v>
      </c>
      <c r="Y56" s="294">
        <v>369</v>
      </c>
      <c r="AA56" s="386">
        <f t="shared" si="0"/>
        <v>0</v>
      </c>
      <c r="AB56" s="286">
        <f t="shared" si="1"/>
        <v>0</v>
      </c>
    </row>
    <row r="57" spans="1:28" ht="73.5" customHeight="1" x14ac:dyDescent="0.3">
      <c r="A57" s="212">
        <f>'Unit Data from Audit Worksheet'!A66</f>
        <v>16</v>
      </c>
      <c r="B57" s="225" t="str">
        <f>'Unit Data from Audit Worksheet'!C66</f>
        <v>General Fund-Rev, Exp. Change in Fund Balance</v>
      </c>
      <c r="C57" s="211" t="str">
        <f>'Unit Data from Audit Worksheet'!D66</f>
        <v>Total revenues</v>
      </c>
      <c r="D57" s="134"/>
      <c r="E57" s="231">
        <f>'Unit Data from Audit Worksheet'!F66</f>
        <v>0</v>
      </c>
      <c r="F57" s="224"/>
      <c r="G57" s="226"/>
      <c r="H57" s="223"/>
      <c r="I57" s="32"/>
      <c r="J57" s="222">
        <v>16</v>
      </c>
      <c r="K57" s="221" t="s">
        <v>197</v>
      </c>
      <c r="L57" s="289">
        <f t="shared" si="7"/>
        <v>0</v>
      </c>
      <c r="P57" s="205"/>
      <c r="X57" s="552">
        <v>16</v>
      </c>
      <c r="Y57" s="294">
        <v>16</v>
      </c>
      <c r="AA57" s="386">
        <f t="shared" si="0"/>
        <v>0</v>
      </c>
      <c r="AB57" s="286">
        <f t="shared" si="1"/>
        <v>0</v>
      </c>
    </row>
    <row r="58" spans="1:28" ht="73.5" customHeight="1" x14ac:dyDescent="0.3">
      <c r="A58" s="212">
        <f>'Unit Data from Audit Worksheet'!A67</f>
        <v>370</v>
      </c>
      <c r="B58" s="225" t="str">
        <f>'Unit Data from Audit Worksheet'!C67</f>
        <v>General Fund-Rev, Exp. Change in Fund Balance</v>
      </c>
      <c r="C58" s="211" t="str">
        <f>'Unit Data from Audit Worksheet'!D67</f>
        <v>Debt service expenditures. 
Include principal, interest paid, and bond/debt issuance costs on long-term debt</v>
      </c>
      <c r="D58" s="134"/>
      <c r="E58" s="231">
        <f>'Unit Data from Audit Worksheet'!F67</f>
        <v>0</v>
      </c>
      <c r="F58" s="224">
        <f t="shared" ref="F58:F65" si="8">IF(L58&lt;0,"Error: Enter as a positive.",)</f>
        <v>0</v>
      </c>
      <c r="G58" s="226"/>
      <c r="H58" s="223"/>
      <c r="I58" s="32"/>
      <c r="J58" s="222">
        <v>370</v>
      </c>
      <c r="K58" s="221" t="s">
        <v>198</v>
      </c>
      <c r="L58" s="289">
        <f t="shared" si="7"/>
        <v>0</v>
      </c>
      <c r="P58" s="205"/>
      <c r="X58" s="552">
        <v>370</v>
      </c>
      <c r="Y58" s="286">
        <v>370</v>
      </c>
      <c r="AA58" s="386">
        <f t="shared" si="0"/>
        <v>0</v>
      </c>
      <c r="AB58" s="286">
        <f t="shared" si="1"/>
        <v>0</v>
      </c>
    </row>
    <row r="59" spans="1:28" ht="73.5" customHeight="1" x14ac:dyDescent="0.3">
      <c r="A59" s="212">
        <f>'Unit Data from Audit Worksheet'!A68</f>
        <v>532</v>
      </c>
      <c r="B59" s="225" t="str">
        <f>'Unit Data from Audit Worksheet'!C68</f>
        <v>General Fund-Rev, Exp. Change in Fund Balance</v>
      </c>
      <c r="C59" s="211" t="str">
        <f>'Unit Data from Audit Worksheet'!D68</f>
        <v xml:space="preserve">Total expenditures  
Exclude expenditures in the "other financing sources (uses)" section.
</v>
      </c>
      <c r="D59" s="134"/>
      <c r="E59" s="231">
        <f>'Unit Data from Audit Worksheet'!F68</f>
        <v>0</v>
      </c>
      <c r="F59" s="224">
        <f t="shared" si="8"/>
        <v>0</v>
      </c>
      <c r="G59" s="226"/>
      <c r="H59" s="223"/>
      <c r="I59" s="32"/>
      <c r="J59" s="222">
        <v>532</v>
      </c>
      <c r="K59" s="307" t="s">
        <v>199</v>
      </c>
      <c r="L59" s="289">
        <f t="shared" si="7"/>
        <v>0</v>
      </c>
      <c r="P59" s="205"/>
      <c r="X59" s="552">
        <v>532</v>
      </c>
      <c r="Y59" s="286">
        <v>532</v>
      </c>
      <c r="AA59" s="386">
        <f t="shared" si="0"/>
        <v>0</v>
      </c>
      <c r="AB59" s="286">
        <f t="shared" si="1"/>
        <v>0</v>
      </c>
    </row>
    <row r="60" spans="1:28" s="386" customFormat="1" ht="73.5" customHeight="1" x14ac:dyDescent="0.3">
      <c r="A60" s="212">
        <f>'Unit Data from Audit Worksheet'!A69</f>
        <v>1050</v>
      </c>
      <c r="B60" s="225" t="str">
        <f>'Unit Data from Audit Worksheet'!C69</f>
        <v>General Fund-Rev, Exp. Change in Fund Balance</v>
      </c>
      <c r="C60" s="211" t="str">
        <f>'Unit Data from Audit Worksheet'!D69</f>
        <v>Amount expended for Powell Bill expenditures in the General Fund</v>
      </c>
      <c r="D60" s="134"/>
      <c r="E60" s="231">
        <f>'Unit Data from Audit Worksheet'!F69</f>
        <v>0</v>
      </c>
      <c r="F60" s="224"/>
      <c r="G60" s="226"/>
      <c r="H60" s="223"/>
      <c r="I60" s="32"/>
      <c r="J60" s="222">
        <v>1050</v>
      </c>
      <c r="K60" s="211" t="s">
        <v>1507</v>
      </c>
      <c r="L60" s="295">
        <f t="shared" si="7"/>
        <v>0</v>
      </c>
      <c r="M60"/>
      <c r="P60" s="205"/>
      <c r="Q60" s="279"/>
      <c r="X60" s="552"/>
      <c r="Y60" s="286"/>
      <c r="AA60" s="386">
        <f t="shared" si="0"/>
        <v>0</v>
      </c>
      <c r="AB60" s="286"/>
    </row>
    <row r="61" spans="1:28" ht="73.5" customHeight="1" x14ac:dyDescent="0.3">
      <c r="A61" s="212">
        <f>'Unit Data from Audit Worksheet'!A70</f>
        <v>17</v>
      </c>
      <c r="B61" s="225" t="str">
        <f>'Unit Data from Audit Worksheet'!C70</f>
        <v>General Fund-Rev, Exp. Change in Fund Balance</v>
      </c>
      <c r="C61" s="211" t="str">
        <f>'Unit Data from Audit Worksheet'!D70</f>
        <v>Total Transfers in    (Preference is that transfers-in  are not netted against transfers-out)</v>
      </c>
      <c r="D61" s="134"/>
      <c r="E61" s="231">
        <f>'Unit Data from Audit Worksheet'!F70</f>
        <v>0</v>
      </c>
      <c r="F61" s="224">
        <f t="shared" si="8"/>
        <v>0</v>
      </c>
      <c r="G61" s="226"/>
      <c r="H61" s="223"/>
      <c r="I61" s="32"/>
      <c r="J61" s="222">
        <v>17</v>
      </c>
      <c r="K61" s="221" t="s">
        <v>200</v>
      </c>
      <c r="L61" s="289">
        <f t="shared" si="7"/>
        <v>0</v>
      </c>
      <c r="P61" s="205"/>
      <c r="X61" s="552">
        <v>17</v>
      </c>
      <c r="Y61" s="286">
        <v>17</v>
      </c>
      <c r="AA61" s="386">
        <f t="shared" si="0"/>
        <v>0</v>
      </c>
      <c r="AB61" s="286">
        <f t="shared" si="1"/>
        <v>0</v>
      </c>
    </row>
    <row r="62" spans="1:28" ht="54.75" customHeight="1" x14ac:dyDescent="0.3">
      <c r="A62" s="212">
        <f>'Unit Data from Audit Worksheet'!A71</f>
        <v>20</v>
      </c>
      <c r="B62" s="225" t="str">
        <f>'Unit Data from Audit Worksheet'!C71</f>
        <v>General Fund-Rev, Exp. Change in Fund Balance</v>
      </c>
      <c r="C62" s="211" t="str">
        <f>'Unit Data from Audit Worksheet'!D71</f>
        <v>Total Transfers out    (Preference is that transfers-in  are not netted against transfers-out)</v>
      </c>
      <c r="D62" s="134"/>
      <c r="E62" s="231">
        <f>'Unit Data from Audit Worksheet'!F71</f>
        <v>0</v>
      </c>
      <c r="F62" s="224">
        <f t="shared" si="8"/>
        <v>0</v>
      </c>
      <c r="G62" s="226"/>
      <c r="H62" s="223"/>
      <c r="I62" s="32"/>
      <c r="J62" s="222">
        <v>20</v>
      </c>
      <c r="K62" s="221" t="s">
        <v>201</v>
      </c>
      <c r="L62" s="289">
        <f t="shared" si="7"/>
        <v>0</v>
      </c>
      <c r="P62" s="205"/>
      <c r="X62" s="552">
        <v>20</v>
      </c>
      <c r="Y62" s="286">
        <v>20</v>
      </c>
      <c r="AA62" s="386">
        <f t="shared" si="0"/>
        <v>0</v>
      </c>
      <c r="AB62" s="286">
        <f t="shared" si="1"/>
        <v>0</v>
      </c>
    </row>
    <row r="63" spans="1:28" ht="54.75" customHeight="1" x14ac:dyDescent="0.3">
      <c r="A63" s="212">
        <f>'Unit Data from Audit Worksheet'!A72</f>
        <v>533</v>
      </c>
      <c r="B63" s="225" t="str">
        <f>'Unit Data from Audit Worksheet'!C72</f>
        <v>General Fund-Rev, Exp. Change in Fund Balance</v>
      </c>
      <c r="C63" s="211" t="str">
        <f>'Unit Data from Audit Worksheet'!D72</f>
        <v>Total Proceeds from all long-term debt issuances 
Exclude proceeds from refundings</v>
      </c>
      <c r="D63" s="134"/>
      <c r="E63" s="231">
        <f>'Unit Data from Audit Worksheet'!F72</f>
        <v>0</v>
      </c>
      <c r="F63" s="224">
        <f t="shared" si="8"/>
        <v>0</v>
      </c>
      <c r="G63" s="226"/>
      <c r="H63" s="223"/>
      <c r="I63" s="32"/>
      <c r="J63" s="222">
        <v>533</v>
      </c>
      <c r="K63" s="307" t="s">
        <v>202</v>
      </c>
      <c r="L63" s="289">
        <f t="shared" si="7"/>
        <v>0</v>
      </c>
      <c r="P63" s="205"/>
      <c r="X63" s="552">
        <v>533</v>
      </c>
      <c r="Y63" s="286">
        <v>533</v>
      </c>
      <c r="AA63" s="386">
        <f t="shared" si="0"/>
        <v>0</v>
      </c>
      <c r="AB63" s="286">
        <f t="shared" si="1"/>
        <v>0</v>
      </c>
    </row>
    <row r="64" spans="1:28" ht="54.75" customHeight="1" x14ac:dyDescent="0.3">
      <c r="A64" s="212">
        <f>'Unit Data from Audit Worksheet'!A73</f>
        <v>508</v>
      </c>
      <c r="B64" s="225" t="str">
        <f>'Unit Data from Audit Worksheet'!C73</f>
        <v>General Fund-Rev, Exp. Change in Fund Balance</v>
      </c>
      <c r="C64" s="211" t="str">
        <f>'Unit Data from Audit Worksheet'!D73</f>
        <v>Debt Refunding - Net refunding proceeds against debt payoff and if positive place results on this line.</v>
      </c>
      <c r="D64" s="134"/>
      <c r="E64" s="231">
        <f>'Unit Data from Audit Worksheet'!F73</f>
        <v>0</v>
      </c>
      <c r="F64" s="224">
        <f t="shared" si="8"/>
        <v>0</v>
      </c>
      <c r="G64" s="226"/>
      <c r="H64" s="223"/>
      <c r="I64" s="32"/>
      <c r="J64" s="222">
        <v>508</v>
      </c>
      <c r="K64" s="221" t="s">
        <v>204</v>
      </c>
      <c r="L64" s="289">
        <f t="shared" si="7"/>
        <v>0</v>
      </c>
      <c r="N64" s="575"/>
      <c r="P64" s="198"/>
      <c r="X64" s="552">
        <v>508</v>
      </c>
      <c r="Y64" s="286">
        <v>508</v>
      </c>
      <c r="AA64" s="386">
        <f t="shared" si="0"/>
        <v>0</v>
      </c>
      <c r="AB64" s="286">
        <f t="shared" si="1"/>
        <v>0</v>
      </c>
    </row>
    <row r="65" spans="1:28" ht="54.75" customHeight="1" x14ac:dyDescent="0.3">
      <c r="A65" s="212">
        <f>'Unit Data from Audit Worksheet'!A74</f>
        <v>509</v>
      </c>
      <c r="B65" s="225" t="str">
        <f>'Unit Data from Audit Worksheet'!C74</f>
        <v>General Fund-Rev, Exp. Change in Fund Balance</v>
      </c>
      <c r="C65" s="211" t="str">
        <f>'Unit Data from Audit Worksheet'!D74</f>
        <v>Debt Refunding - Net refunding proceeds against debt payoff and if negative place results on this line.</v>
      </c>
      <c r="D65" s="134"/>
      <c r="E65" s="231">
        <f>'Unit Data from Audit Worksheet'!F74</f>
        <v>0</v>
      </c>
      <c r="F65" s="224">
        <f t="shared" si="8"/>
        <v>0</v>
      </c>
      <c r="G65" s="226"/>
      <c r="H65" s="223"/>
      <c r="I65" s="32"/>
      <c r="J65" s="222">
        <v>509</v>
      </c>
      <c r="K65" s="221" t="s">
        <v>205</v>
      </c>
      <c r="L65" s="289">
        <f>IF(D65="",E65,D65)</f>
        <v>0</v>
      </c>
      <c r="N65" s="576"/>
      <c r="P65" s="205"/>
      <c r="Q65" s="293"/>
      <c r="S65" s="292"/>
      <c r="T65" s="292"/>
      <c r="U65" s="292"/>
      <c r="V65" s="292"/>
      <c r="W65" s="18"/>
      <c r="X65" s="552">
        <v>509</v>
      </c>
      <c r="Y65" s="286">
        <v>509</v>
      </c>
      <c r="Z65" s="18"/>
      <c r="AA65" s="386">
        <f t="shared" si="0"/>
        <v>0</v>
      </c>
      <c r="AB65" s="286">
        <f t="shared" si="1"/>
        <v>0</v>
      </c>
    </row>
    <row r="66" spans="1:28" ht="84.75" customHeight="1" x14ac:dyDescent="0.3">
      <c r="A66" s="212">
        <f>'Unit Data from Audit Worksheet'!A75</f>
        <v>22</v>
      </c>
      <c r="B66" s="225" t="str">
        <f>'Unit Data from Audit Worksheet'!C75</f>
        <v>General Fund-Rev, Exp. Change in Fund Balance</v>
      </c>
      <c r="C66" s="211" t="str">
        <f>'Unit Data from Audit Worksheet'!D75</f>
        <v xml:space="preserve">All other items on this statement that were not included in total revenues, total expenditures, transfers in or out, or proceeds from long-term debt above.  </v>
      </c>
      <c r="D66" s="134"/>
      <c r="E66" s="231">
        <f>'Unit Data from Audit Worksheet'!F75</f>
        <v>0</v>
      </c>
      <c r="F66" s="224"/>
      <c r="G66" s="226"/>
      <c r="H66" s="223"/>
      <c r="I66" s="32"/>
      <c r="J66" s="222">
        <v>22</v>
      </c>
      <c r="K66" s="221" t="s">
        <v>203</v>
      </c>
      <c r="L66" s="289">
        <f t="shared" si="7"/>
        <v>0</v>
      </c>
      <c r="N66" s="576"/>
      <c r="P66" s="195"/>
      <c r="Q66" s="310"/>
      <c r="S66" s="309"/>
      <c r="T66" s="309"/>
      <c r="U66" s="309"/>
      <c r="V66" s="309"/>
      <c r="W66" s="309"/>
      <c r="X66" s="552">
        <v>22</v>
      </c>
      <c r="Y66" s="286">
        <v>22</v>
      </c>
      <c r="Z66" s="18"/>
      <c r="AA66" s="386">
        <f t="shared" si="0"/>
        <v>0</v>
      </c>
      <c r="AB66" s="286">
        <f t="shared" si="1"/>
        <v>0</v>
      </c>
    </row>
    <row r="67" spans="1:28" ht="74.25" customHeight="1" x14ac:dyDescent="0.3">
      <c r="A67" s="212">
        <f>'Unit Data from Audit Worksheet'!A76</f>
        <v>23</v>
      </c>
      <c r="B67" s="225" t="str">
        <f>'Unit Data from Audit Worksheet'!C76</f>
        <v>General Fund-Rev, Exp. Change in Fund Balance</v>
      </c>
      <c r="C67" s="211" t="str">
        <f>'Unit Data from Audit Worksheet'!D76</f>
        <v>Change in fund balance - (Increase in Fund balance is recorded as a positive and a decrease in fund balance is recorded as a negative)</v>
      </c>
      <c r="D67" s="134"/>
      <c r="E67" s="231">
        <f>'Unit Data from Audit Worksheet'!F76</f>
        <v>0</v>
      </c>
      <c r="F67" s="224">
        <f>IF(+L57-L59+L61-L62+L63+L64-L65+L66-L67=0,,"Error:Total revenues less toal Expenditures do not equal change in fund balance")</f>
        <v>0</v>
      </c>
      <c r="G67" s="84">
        <f>+L57-L59+L61-L62+L63+L66+L64-L65-L67</f>
        <v>0</v>
      </c>
      <c r="H67" s="223"/>
      <c r="I67" s="32"/>
      <c r="J67" s="222">
        <v>23</v>
      </c>
      <c r="K67" s="221" t="s">
        <v>206</v>
      </c>
      <c r="L67" s="289">
        <f t="shared" si="7"/>
        <v>0</v>
      </c>
      <c r="P67" s="195"/>
      <c r="X67" s="552">
        <v>23</v>
      </c>
      <c r="Y67" s="286">
        <v>23</v>
      </c>
      <c r="AA67" s="386">
        <f t="shared" si="0"/>
        <v>0</v>
      </c>
      <c r="AB67" s="286">
        <f t="shared" si="1"/>
        <v>0</v>
      </c>
    </row>
    <row r="68" spans="1:28" ht="123" customHeight="1" x14ac:dyDescent="0.3">
      <c r="A68" s="300">
        <f>'Unit Data from Audit Worksheet'!A78</f>
        <v>507</v>
      </c>
      <c r="B68" s="109" t="str">
        <f>'Unit Data from Audit Worksheet'!C78</f>
        <v>General Fund-Rev, Exp. Change in Fund Balance</v>
      </c>
      <c r="C68" s="206" t="str">
        <f>'Unit Data from Audit Worksheet'!D78</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Worksheet'!F78</f>
        <v>0</v>
      </c>
      <c r="F68" s="103" t="e">
        <f>IF(+L51-L67-L68=O51,,"Error: Beginning Fund Bal does not equal our records Accts 9-23-507= PY9")</f>
        <v>#N/A</v>
      </c>
      <c r="G68" s="114" t="e">
        <f>L51-L67-L68-O51</f>
        <v>#N/A</v>
      </c>
      <c r="H68" s="105" t="e">
        <f>'Unit Data from Audit Worksheet'!I78</f>
        <v>#N/A</v>
      </c>
      <c r="I68" s="32"/>
      <c r="J68" s="97">
        <v>507</v>
      </c>
      <c r="K68" s="38" t="s">
        <v>207</v>
      </c>
      <c r="L68" s="289">
        <f t="shared" si="7"/>
        <v>0</v>
      </c>
      <c r="N68" s="297"/>
      <c r="O68" s="296"/>
      <c r="P68" s="195"/>
      <c r="R68" s="386"/>
      <c r="S68" s="386"/>
      <c r="T68" s="386"/>
      <c r="U68" s="386"/>
      <c r="V68" s="386"/>
      <c r="W68" s="309"/>
      <c r="X68" s="552">
        <v>507</v>
      </c>
      <c r="Y68" s="286">
        <v>507</v>
      </c>
      <c r="Z68" s="386"/>
      <c r="AA68" s="386">
        <f t="shared" si="0"/>
        <v>0</v>
      </c>
      <c r="AB68" s="286">
        <f t="shared" si="1"/>
        <v>0</v>
      </c>
    </row>
    <row r="69" spans="1:28" s="18" customFormat="1" ht="40.5" customHeight="1" x14ac:dyDescent="0.3">
      <c r="A69" s="190">
        <f>'Unit Data from Audit Worksheet'!A79</f>
        <v>647</v>
      </c>
      <c r="B69" s="235" t="str">
        <f>'Unit Data from Audit Worksheet'!C79</f>
        <v>Debt Service Fund</v>
      </c>
      <c r="C69" s="190" t="str">
        <f>'Unit Data from Audit Worksheet'!D79</f>
        <v>Please enter the Total Fund Balance for any Debt Service Funds from the Budgeted to Actual statement</v>
      </c>
      <c r="D69" s="108"/>
      <c r="E69" s="234">
        <f>'Unit Data from Audit Worksheet'!F79</f>
        <v>0</v>
      </c>
      <c r="F69" s="219"/>
      <c r="G69" s="215"/>
      <c r="H69" s="219"/>
      <c r="I69" s="301"/>
      <c r="J69" s="218">
        <v>647</v>
      </c>
      <c r="K69" s="193" t="s">
        <v>808</v>
      </c>
      <c r="L69" s="302">
        <f>IF(D69="",E69,D69)</f>
        <v>0</v>
      </c>
      <c r="M69"/>
      <c r="N69" s="292"/>
      <c r="O69" s="308"/>
      <c r="P69" s="195"/>
      <c r="Q69" s="279"/>
      <c r="R69" s="3"/>
      <c r="S69" s="3"/>
      <c r="T69" s="3"/>
      <c r="U69" s="3"/>
      <c r="V69" s="3"/>
      <c r="W69" s="3"/>
      <c r="X69" s="552">
        <v>647</v>
      </c>
      <c r="Y69" s="286">
        <v>647</v>
      </c>
      <c r="Z69" s="3"/>
      <c r="AA69" s="386">
        <f t="shared" si="0"/>
        <v>0</v>
      </c>
      <c r="AB69" s="286">
        <f t="shared" si="1"/>
        <v>0</v>
      </c>
    </row>
    <row r="70" spans="1:28" ht="60" customHeight="1" x14ac:dyDescent="0.3">
      <c r="A70" s="287">
        <f>'Unit Data from Audit Worksheet'!A81</f>
        <v>171</v>
      </c>
      <c r="B70" s="48" t="str">
        <f>'Unit Data from Audit Worksheet'!C81</f>
        <v>Fund Statements - all Governmental Funds</v>
      </c>
      <c r="C70" s="288" t="str">
        <f>'Unit Data from Audit Worksheet'!D81</f>
        <v>Debt service expenditures from all governmental funds.  Include principal, interest paid, and debt issuance costs on long-term debt.</v>
      </c>
      <c r="D70" s="230"/>
      <c r="E70" s="142">
        <f>'Unit Data from Audit Worksheet'!F81</f>
        <v>0</v>
      </c>
      <c r="F70" s="41">
        <f>IF(L70&lt;0,"Error: Enter as a positive.",)</f>
        <v>0</v>
      </c>
      <c r="G70" s="65"/>
      <c r="H70" s="223"/>
      <c r="I70" s="32"/>
      <c r="J70" s="36">
        <v>171</v>
      </c>
      <c r="K70" s="45" t="s">
        <v>208</v>
      </c>
      <c r="L70" s="289">
        <f t="shared" si="7"/>
        <v>0</v>
      </c>
      <c r="P70" s="195"/>
      <c r="X70" s="552">
        <v>171</v>
      </c>
      <c r="Y70" s="286">
        <v>171</v>
      </c>
      <c r="AA70" s="386">
        <f t="shared" si="0"/>
        <v>0</v>
      </c>
      <c r="AB70" s="286">
        <f t="shared" si="1"/>
        <v>0</v>
      </c>
    </row>
    <row r="71" spans="1:28" ht="69" customHeight="1" x14ac:dyDescent="0.3">
      <c r="A71" s="212">
        <f>'Unit Data from Audit Worksheet'!A85</f>
        <v>596</v>
      </c>
      <c r="B71" s="225"/>
      <c r="C71" s="211" t="str">
        <f>'Unit Data from Audit Worksheet'!D85</f>
        <v>Indicate if your water/sewer system:
50 - Became Operational
51 - Ceased Operations
52 - No Change
Select from drop down.</v>
      </c>
      <c r="D71" s="134"/>
      <c r="E71" s="231">
        <f>'Unit Data from Audit Worksheet'!F85</f>
        <v>0</v>
      </c>
      <c r="F71" s="224"/>
      <c r="G71" s="224" t="str">
        <f>'Unit Data from Audit Worksheet'!G85</f>
        <v>Please do not answer this question unless the unit has a  water and/or sewer fund</v>
      </c>
      <c r="H71" s="223"/>
      <c r="I71" s="32"/>
      <c r="J71" s="222">
        <v>596</v>
      </c>
      <c r="K71" s="221" t="s">
        <v>335</v>
      </c>
      <c r="L71" s="289">
        <f t="shared" si="7"/>
        <v>0</v>
      </c>
      <c r="P71" s="196"/>
      <c r="X71" s="552">
        <v>596</v>
      </c>
      <c r="Y71" s="286">
        <v>596</v>
      </c>
      <c r="AA71" s="386">
        <f t="shared" si="0"/>
        <v>0</v>
      </c>
      <c r="AB71" s="286">
        <f t="shared" si="1"/>
        <v>0</v>
      </c>
    </row>
    <row r="72" spans="1:28" ht="82.2" customHeight="1" x14ac:dyDescent="0.3">
      <c r="A72" s="212">
        <f>'Unit Data from Audit Worksheet'!A86</f>
        <v>80</v>
      </c>
      <c r="B72" s="225" t="str">
        <f>'Unit Data from Audit Worksheet'!C86</f>
        <v>Water Sewer Net Position Statement</v>
      </c>
      <c r="C72" s="211" t="str">
        <f>'Unit Data from Audit Worksheet'!D86</f>
        <v>Unrestricted Cash and investments 
Exclude restricted cash and/or restricted investments.</v>
      </c>
      <c r="D72" s="134"/>
      <c r="E72" s="231">
        <f>'Unit Data from Audit Worksheet'!F86</f>
        <v>0</v>
      </c>
      <c r="F72" s="224">
        <f>IF(L72&lt;0,"Error: Number is normally positive.",)</f>
        <v>0</v>
      </c>
      <c r="G72" s="224" t="e">
        <f>'Unit Data from Audit Worksheet'!G86</f>
        <v>#N/A</v>
      </c>
      <c r="H72" s="223"/>
      <c r="I72" s="32"/>
      <c r="J72" s="222">
        <v>80</v>
      </c>
      <c r="K72" s="221" t="s">
        <v>209</v>
      </c>
      <c r="L72" s="289">
        <f t="shared" si="7"/>
        <v>0</v>
      </c>
      <c r="P72" s="196"/>
      <c r="X72" s="552">
        <v>80</v>
      </c>
      <c r="Y72" s="286">
        <v>80</v>
      </c>
      <c r="AA72" s="386">
        <f t="shared" ref="AA72:AA137" si="9">A72-J72</f>
        <v>0</v>
      </c>
      <c r="AB72" s="286">
        <f t="shared" ref="AB72:AB137" si="10">E72-L72</f>
        <v>0</v>
      </c>
    </row>
    <row r="73" spans="1:28" ht="43.2" x14ac:dyDescent="0.3">
      <c r="A73" s="212">
        <f>'Unit Data from Audit Worksheet'!A87</f>
        <v>81</v>
      </c>
      <c r="B73" s="225" t="str">
        <f>'Unit Data from Audit Worksheet'!C87</f>
        <v>Water Sewer Net Position Statement</v>
      </c>
      <c r="C73" s="211" t="str">
        <f>'Unit Data from Audit Worksheet'!D87</f>
        <v>Customer accounts receivable (net of allowance accounts). 
Include both billed and unbilled amounts.</v>
      </c>
      <c r="D73" s="134"/>
      <c r="E73" s="231">
        <f>'Unit Data from Audit Worksheet'!F87</f>
        <v>0</v>
      </c>
      <c r="F73" s="224">
        <f>IF(L73&lt;0,"Error: Number is normally positive.",)</f>
        <v>0</v>
      </c>
      <c r="G73" s="226"/>
      <c r="H73" s="223"/>
      <c r="I73" s="32"/>
      <c r="J73" s="222">
        <v>81</v>
      </c>
      <c r="K73" s="221" t="s">
        <v>210</v>
      </c>
      <c r="L73" s="289">
        <f t="shared" si="7"/>
        <v>0</v>
      </c>
      <c r="P73" s="196"/>
      <c r="X73" s="552">
        <v>81</v>
      </c>
      <c r="Y73" s="286">
        <v>81</v>
      </c>
      <c r="AA73" s="386">
        <f t="shared" si="9"/>
        <v>0</v>
      </c>
      <c r="AB73" s="286">
        <f t="shared" si="10"/>
        <v>0</v>
      </c>
    </row>
    <row r="74" spans="1:28" ht="68.25" customHeight="1" x14ac:dyDescent="0.3">
      <c r="A74" s="212">
        <f>'Unit Data from Audit Worksheet'!A88</f>
        <v>579</v>
      </c>
      <c r="B74" s="225" t="str">
        <f>'Unit Data from Audit Worksheet'!C88</f>
        <v>Water Sewer Net Position Statement</v>
      </c>
      <c r="C74" s="211" t="str">
        <f>'Unit Data from Audit Worksheet'!D88</f>
        <v>Water Sewer - Advance To:
Interfund loan receivable-portion of repayment plan longer than 12 months</v>
      </c>
      <c r="D74" s="134"/>
      <c r="E74" s="231">
        <f>'Unit Data from Audit Worksheet'!F88</f>
        <v>0</v>
      </c>
      <c r="F74" s="224"/>
      <c r="G74" s="226"/>
      <c r="H74" s="223"/>
      <c r="I74" s="32"/>
      <c r="J74" s="222">
        <v>579</v>
      </c>
      <c r="K74" s="221" t="s">
        <v>316</v>
      </c>
      <c r="L74" s="289">
        <f t="shared" si="7"/>
        <v>0</v>
      </c>
      <c r="N74" s="311"/>
      <c r="P74" s="196"/>
      <c r="X74" s="552">
        <v>579</v>
      </c>
      <c r="Y74" s="286">
        <v>579</v>
      </c>
      <c r="AA74" s="386">
        <f t="shared" si="9"/>
        <v>0</v>
      </c>
      <c r="AB74" s="286">
        <f t="shared" si="10"/>
        <v>0</v>
      </c>
    </row>
    <row r="75" spans="1:28" ht="47.25" customHeight="1" x14ac:dyDescent="0.3">
      <c r="A75" s="212">
        <f>'Unit Data from Audit Worksheet'!A89</f>
        <v>510</v>
      </c>
      <c r="B75" s="225" t="str">
        <f>'Unit Data from Audit Worksheet'!C89</f>
        <v>Water Sewer Net Position Statement</v>
      </c>
      <c r="C75" s="211" t="str">
        <f>'Unit Data from Audit Worksheet'!D89</f>
        <v>Amount of Inventories and Prepaid expenses in current assets</v>
      </c>
      <c r="D75" s="134"/>
      <c r="E75" s="231">
        <f>'Unit Data from Audit Worksheet'!F89</f>
        <v>0</v>
      </c>
      <c r="F75" s="224"/>
      <c r="G75" s="226"/>
      <c r="H75" s="223"/>
      <c r="I75" s="32"/>
      <c r="J75" s="222">
        <v>510</v>
      </c>
      <c r="K75" s="221" t="s">
        <v>211</v>
      </c>
      <c r="L75" s="289">
        <f t="shared" si="7"/>
        <v>0</v>
      </c>
      <c r="P75" s="196"/>
      <c r="X75" s="552">
        <v>510</v>
      </c>
      <c r="Y75" s="286">
        <v>510</v>
      </c>
      <c r="AA75" s="386">
        <f t="shared" si="9"/>
        <v>0</v>
      </c>
      <c r="AB75" s="286">
        <f t="shared" si="10"/>
        <v>0</v>
      </c>
    </row>
    <row r="76" spans="1:28" ht="43.2" x14ac:dyDescent="0.3">
      <c r="A76" s="212">
        <f>'Unit Data from Audit Worksheet'!A90</f>
        <v>654</v>
      </c>
      <c r="B76" s="225" t="str">
        <f>'Unit Data from Audit Worksheet'!C90</f>
        <v>Water Sewer Net Position Statement</v>
      </c>
      <c r="C76" s="211" t="str">
        <f>'Unit Data from Audit Worksheet'!D90</f>
        <v xml:space="preserve">Total Current assets as listed on the WS Net Position Statement.  
</v>
      </c>
      <c r="D76" s="134"/>
      <c r="E76" s="231">
        <f>'Unit Data from Audit Worksheet'!F90</f>
        <v>0</v>
      </c>
      <c r="F76" s="224">
        <f>IF((+L72+L73+L75)&gt;L76,"Please review components of current assets above Acct. (80+81+510&gt;654",)</f>
        <v>0</v>
      </c>
      <c r="G76" s="226"/>
      <c r="H76" s="223"/>
      <c r="I76" s="32"/>
      <c r="J76" s="222">
        <v>654</v>
      </c>
      <c r="K76" s="228" t="s">
        <v>416</v>
      </c>
      <c r="L76" s="289">
        <f t="shared" si="7"/>
        <v>0</v>
      </c>
      <c r="P76" s="196"/>
      <c r="X76" s="552">
        <v>654</v>
      </c>
      <c r="Y76" s="286">
        <v>654</v>
      </c>
      <c r="AA76" s="386">
        <f t="shared" si="9"/>
        <v>0</v>
      </c>
      <c r="AB76" s="286">
        <f t="shared" si="10"/>
        <v>0</v>
      </c>
    </row>
    <row r="77" spans="1:28" ht="43.2" x14ac:dyDescent="0.3">
      <c r="A77" s="212">
        <f>'Unit Data from Audit Worksheet'!A91</f>
        <v>655</v>
      </c>
      <c r="B77" s="225" t="str">
        <f>'Unit Data from Audit Worksheet'!C91</f>
        <v>Water Sewer Net Position Statement</v>
      </c>
      <c r="C77" s="211" t="str">
        <f>'Unit Data from Audit Worksheet'!D91</f>
        <v>WS-Any current assets that are restricted (Cash, Accounts Rec., etc..) and included in account 654 above</v>
      </c>
      <c r="D77" s="134"/>
      <c r="E77" s="231">
        <f>'Unit Data from Audit Worksheet'!F91</f>
        <v>0</v>
      </c>
      <c r="F77" s="224"/>
      <c r="G77" s="226"/>
      <c r="H77" s="223"/>
      <c r="I77" s="32"/>
      <c r="J77" s="222">
        <v>655</v>
      </c>
      <c r="K77" s="228" t="s">
        <v>448</v>
      </c>
      <c r="L77" s="289">
        <f t="shared" si="7"/>
        <v>0</v>
      </c>
      <c r="P77" s="196"/>
      <c r="X77" s="552">
        <v>655</v>
      </c>
      <c r="Y77" s="286">
        <v>655</v>
      </c>
      <c r="AA77" s="386">
        <f t="shared" si="9"/>
        <v>0</v>
      </c>
      <c r="AB77" s="286">
        <f t="shared" si="10"/>
        <v>0</v>
      </c>
    </row>
    <row r="78" spans="1:28" ht="42.75" customHeight="1" x14ac:dyDescent="0.3">
      <c r="A78" s="212">
        <f>'Unit Data from Audit Worksheet'!A92</f>
        <v>381</v>
      </c>
      <c r="B78" s="225" t="str">
        <f>'Unit Data from Audit Worksheet'!C92</f>
        <v>Water Sewer Net Position Statement</v>
      </c>
      <c r="C78" s="211" t="str">
        <f>'Unit Data from Audit Worksheet'!D92</f>
        <v>Total Assets and deferred outflows</v>
      </c>
      <c r="D78" s="134"/>
      <c r="E78" s="231">
        <f>'Unit Data from Audit Worksheet'!F92</f>
        <v>0</v>
      </c>
      <c r="F78" s="224" t="str">
        <f>IF(L78&lt;L76,"Please review components of current assets above acct. 381&lt;654"," ")</f>
        <v xml:space="preserve"> </v>
      </c>
      <c r="G78" s="226"/>
      <c r="H78" s="223"/>
      <c r="I78" s="32"/>
      <c r="J78" s="222">
        <v>381</v>
      </c>
      <c r="K78" s="221" t="s">
        <v>105</v>
      </c>
      <c r="L78" s="289">
        <f t="shared" si="7"/>
        <v>0</v>
      </c>
      <c r="P78" s="196"/>
      <c r="X78" s="552">
        <v>381</v>
      </c>
      <c r="Y78" s="286">
        <v>381</v>
      </c>
      <c r="AA78" s="386">
        <f t="shared" si="9"/>
        <v>0</v>
      </c>
      <c r="AB78" s="286">
        <f t="shared" si="10"/>
        <v>0</v>
      </c>
    </row>
    <row r="79" spans="1:28" ht="60.75" customHeight="1" x14ac:dyDescent="0.3">
      <c r="A79" s="300">
        <f>'Unit Data from Audit Worksheet'!A93</f>
        <v>578</v>
      </c>
      <c r="B79" s="109" t="str">
        <f>'Unit Data from Audit Worksheet'!C93</f>
        <v>Water Sewer Net Position Statement</v>
      </c>
      <c r="C79" s="291" t="str">
        <f>'Unit Data from Audit Worksheet'!D93</f>
        <v>Water Sewer - Advance From: 
Interfund loan Payable-portion of repayment plan longer than 12 months</v>
      </c>
      <c r="D79" s="102"/>
      <c r="E79" s="145">
        <f>'Unit Data from Audit Worksheet'!F93</f>
        <v>0</v>
      </c>
      <c r="F79" s="103"/>
      <c r="G79" s="104"/>
      <c r="H79" s="105"/>
      <c r="I79" s="32"/>
      <c r="J79" s="97">
        <v>578</v>
      </c>
      <c r="K79" s="38" t="s">
        <v>317</v>
      </c>
      <c r="L79" s="289">
        <f t="shared" si="7"/>
        <v>0</v>
      </c>
      <c r="P79" s="196"/>
      <c r="X79" s="552">
        <v>578</v>
      </c>
      <c r="Y79" s="286">
        <v>578</v>
      </c>
      <c r="AA79" s="386">
        <f t="shared" si="9"/>
        <v>0</v>
      </c>
      <c r="AB79" s="286">
        <f t="shared" si="10"/>
        <v>0</v>
      </c>
    </row>
    <row r="80" spans="1:28" s="18" customFormat="1" ht="169.95" customHeight="1" x14ac:dyDescent="0.3">
      <c r="A80" s="190">
        <v>633</v>
      </c>
      <c r="B80" s="235" t="str">
        <f>'Unit Data from Audit Worksheet'!C94</f>
        <v>Water Sewer Net Position Statement</v>
      </c>
      <c r="C80" s="190" t="str">
        <f>'Unit Data from Audit Worksheet'!D94</f>
        <v>Current liabilities (as reported on the Statement of Fund Net Position)
Include:   Current liabilities including current portion of long-term debt.  Deferred inflows should not be included in Current Liabilities  
Enter as positive</v>
      </c>
      <c r="D80" s="102"/>
      <c r="E80" s="670">
        <f>'Unit Data from Audit Worksheet'!F94</f>
        <v>0</v>
      </c>
      <c r="F80"/>
      <c r="G80"/>
      <c r="H80"/>
      <c r="I80" s="667"/>
      <c r="J80" s="218">
        <v>633</v>
      </c>
      <c r="K80" s="193" t="s">
        <v>373</v>
      </c>
      <c r="L80" s="302">
        <f>IF(D80="",E80,D80)</f>
        <v>0</v>
      </c>
      <c r="M80"/>
      <c r="N80" s="292"/>
      <c r="O80" s="292"/>
      <c r="P80" s="196"/>
      <c r="Q80" s="279"/>
      <c r="R80" s="3"/>
      <c r="X80" s="552">
        <v>633</v>
      </c>
      <c r="Y80" s="286">
        <v>633</v>
      </c>
      <c r="AA80" s="386">
        <f t="shared" si="9"/>
        <v>0</v>
      </c>
      <c r="AB80" s="286">
        <f t="shared" si="10"/>
        <v>0</v>
      </c>
    </row>
    <row r="81" spans="1:28" s="18" customFormat="1" ht="130.5" customHeight="1" x14ac:dyDescent="0.3">
      <c r="A81" s="190">
        <v>634</v>
      </c>
      <c r="B81" s="235" t="str">
        <f>'Unit Data from Audit Worksheet'!C95</f>
        <v>Water Sewer Net Position Statement</v>
      </c>
      <c r="C81" s="190" t="str">
        <f>'Unit Data from Audit Worksheet'!D95</f>
        <v>Please enter any bond anticipation notes that are classified as current liabilities and included in account 633 above (amounts entered should agree to the current amount included in the changes to long-term debt note)
Enter as positive</v>
      </c>
      <c r="D81" s="102"/>
      <c r="E81" s="234">
        <f>'Unit Data from Audit Worksheet'!F95</f>
        <v>0</v>
      </c>
      <c r="F81" s="669"/>
      <c r="G81" s="668"/>
      <c r="H81" s="669"/>
      <c r="I81" s="301"/>
      <c r="J81" s="218">
        <v>634</v>
      </c>
      <c r="K81" s="193" t="s">
        <v>374</v>
      </c>
      <c r="L81" s="302">
        <f>IF(D81="",E81,D81)</f>
        <v>0</v>
      </c>
      <c r="M81"/>
      <c r="N81" s="292"/>
      <c r="O81" s="292"/>
      <c r="P81" s="196"/>
      <c r="Q81" s="279"/>
      <c r="R81" s="3"/>
      <c r="X81" s="552">
        <v>634</v>
      </c>
      <c r="Y81" s="286">
        <v>634</v>
      </c>
      <c r="AA81" s="386">
        <f t="shared" si="9"/>
        <v>0</v>
      </c>
      <c r="AB81" s="286">
        <f t="shared" si="10"/>
        <v>0</v>
      </c>
    </row>
    <row r="82" spans="1:28" s="18" customFormat="1" ht="105.75" customHeight="1" x14ac:dyDescent="0.3">
      <c r="A82" s="190">
        <v>635</v>
      </c>
      <c r="B82" s="235" t="str">
        <f>'Unit Data from Audit Worksheet'!C96</f>
        <v>Water Sewer Net Position Statement</v>
      </c>
      <c r="C82" s="190" t="str">
        <f>'Unit Data from Audit Worksheet'!D96</f>
        <v>Please enter any compensated absences that are classified as current liabilities and included in account 633 above (amounts entered should agree to the current amount included in the changes to long-term debt note)
Enter as positive</v>
      </c>
      <c r="D82" s="102"/>
      <c r="E82" s="234">
        <f>'Unit Data from Audit Worksheet'!F96</f>
        <v>0</v>
      </c>
      <c r="F82" s="219"/>
      <c r="G82" s="207"/>
      <c r="H82" s="219"/>
      <c r="I82" s="301"/>
      <c r="J82" s="218">
        <v>635</v>
      </c>
      <c r="K82" s="193" t="s">
        <v>375</v>
      </c>
      <c r="L82" s="302">
        <f>IF(D82="",E82,D82)</f>
        <v>0</v>
      </c>
      <c r="M82"/>
      <c r="N82" s="292"/>
      <c r="O82" s="292"/>
      <c r="P82" s="196"/>
      <c r="Q82" s="279"/>
      <c r="R82" s="3"/>
      <c r="X82" s="552">
        <v>635</v>
      </c>
      <c r="Y82" s="286">
        <v>635</v>
      </c>
      <c r="AA82" s="386">
        <f t="shared" si="9"/>
        <v>0</v>
      </c>
      <c r="AB82" s="286">
        <f t="shared" si="10"/>
        <v>0</v>
      </c>
    </row>
    <row r="83" spans="1:28" s="18" customFormat="1" ht="105.75" customHeight="1" x14ac:dyDescent="0.3">
      <c r="A83" s="190">
        <v>636</v>
      </c>
      <c r="B83" s="235" t="str">
        <f>'Unit Data from Audit Worksheet'!C97</f>
        <v>Water Sewer Net Position Statement</v>
      </c>
      <c r="C83" s="190" t="str">
        <f>'Unit Data from Audit Worksheet'!D97</f>
        <v>Please enter any pension liabilities that are classified as current liabilities and included in account 633 above (amounts entered should agree to the current amount included in the changes to long-term debt note)
Enter as positive</v>
      </c>
      <c r="D83" s="102"/>
      <c r="E83" s="234">
        <f>'Unit Data from Audit Worksheet'!F97</f>
        <v>0</v>
      </c>
      <c r="F83" s="219"/>
      <c r="G83" s="207"/>
      <c r="H83" s="219"/>
      <c r="I83" s="301"/>
      <c r="J83" s="218">
        <v>636</v>
      </c>
      <c r="K83" s="193" t="s">
        <v>370</v>
      </c>
      <c r="L83" s="302">
        <f t="shared" ref="L83:L93" si="11">IF(D83="",E83,D83)</f>
        <v>0</v>
      </c>
      <c r="M83"/>
      <c r="N83" s="292"/>
      <c r="O83" s="292"/>
      <c r="P83" s="196"/>
      <c r="Q83" s="279"/>
      <c r="R83" s="3"/>
      <c r="X83" s="552">
        <v>636</v>
      </c>
      <c r="Y83" s="286">
        <v>636</v>
      </c>
      <c r="AA83" s="386">
        <f t="shared" si="9"/>
        <v>0</v>
      </c>
      <c r="AB83" s="286">
        <f t="shared" si="10"/>
        <v>0</v>
      </c>
    </row>
    <row r="84" spans="1:28" s="18" customFormat="1" ht="59.25" customHeight="1" x14ac:dyDescent="0.3">
      <c r="A84" s="190">
        <v>637</v>
      </c>
      <c r="B84" s="235" t="str">
        <f>'Unit Data from Audit Worksheet'!C98</f>
        <v>Water Sewer Net Position Statement</v>
      </c>
      <c r="C84" s="190" t="str">
        <f>'Unit Data from Audit Worksheet'!D98</f>
        <v>Please enter any current liabilities that are payable from restricted assets and included in account 633 above.
Enter as positive</v>
      </c>
      <c r="D84" s="102"/>
      <c r="E84" s="234">
        <f>'Unit Data from Audit Worksheet'!F98</f>
        <v>0</v>
      </c>
      <c r="F84" s="219"/>
      <c r="G84" s="207"/>
      <c r="H84" s="219"/>
      <c r="I84" s="301"/>
      <c r="J84" s="218">
        <v>637</v>
      </c>
      <c r="K84" s="193" t="s">
        <v>371</v>
      </c>
      <c r="L84" s="302">
        <f t="shared" si="11"/>
        <v>0</v>
      </c>
      <c r="M84"/>
      <c r="N84" s="292"/>
      <c r="O84" s="292"/>
      <c r="P84" s="199"/>
      <c r="Q84" s="279"/>
      <c r="R84" s="3"/>
      <c r="X84" s="552">
        <v>637</v>
      </c>
      <c r="Y84" s="286">
        <v>637</v>
      </c>
      <c r="AA84" s="386">
        <f t="shared" si="9"/>
        <v>0</v>
      </c>
      <c r="AB84" s="286">
        <f t="shared" si="10"/>
        <v>0</v>
      </c>
    </row>
    <row r="85" spans="1:28" s="18" customFormat="1" ht="115.95" customHeight="1" x14ac:dyDescent="0.3">
      <c r="A85" s="190">
        <v>638</v>
      </c>
      <c r="B85" s="235" t="str">
        <f>'Unit Data from Audit Worksheet'!C99</f>
        <v>Water Sewer Net Position Statement</v>
      </c>
      <c r="C85" s="190" t="str">
        <f>'Unit Data from Audit Worksheet'!D99</f>
        <v>Please enter any OPEB liabilities that are classified as current liabilities and included in account 633 above (amounts entered should agree to the current amount included in the changes to long-term debt note)
Enter as positive</v>
      </c>
      <c r="D85" s="102"/>
      <c r="E85" s="234">
        <f>'Unit Data from Audit Worksheet'!F99</f>
        <v>0</v>
      </c>
      <c r="F85" s="219"/>
      <c r="G85" s="207"/>
      <c r="H85" s="219"/>
      <c r="I85" s="301"/>
      <c r="J85" s="218">
        <v>638</v>
      </c>
      <c r="K85" s="193" t="s">
        <v>376</v>
      </c>
      <c r="L85" s="302">
        <f t="shared" si="11"/>
        <v>0</v>
      </c>
      <c r="M85"/>
      <c r="N85" s="292"/>
      <c r="O85" s="292"/>
      <c r="P85" s="196"/>
      <c r="Q85" s="279"/>
      <c r="R85" s="3"/>
      <c r="X85" s="552">
        <v>638</v>
      </c>
      <c r="Y85" s="286">
        <v>638</v>
      </c>
      <c r="AA85" s="386">
        <f t="shared" si="9"/>
        <v>0</v>
      </c>
      <c r="AB85" s="286">
        <f t="shared" si="10"/>
        <v>0</v>
      </c>
    </row>
    <row r="86" spans="1:28" ht="76.5" customHeight="1" x14ac:dyDescent="0.3">
      <c r="A86" s="287">
        <f>'Unit Data from Audit Worksheet'!A100</f>
        <v>383</v>
      </c>
      <c r="B86" s="48" t="str">
        <f>'Unit Data from Audit Worksheet'!C100</f>
        <v>Water Sewer Net Position Statement</v>
      </c>
      <c r="C86" s="288" t="str">
        <f>'Unit Data from Audit Worksheet'!D100</f>
        <v>Unearned revenue (arising from cash receipts) that were included in Current Liabilities in the question in account 633 above.
Enter as positive</v>
      </c>
      <c r="D86" s="134"/>
      <c r="E86" s="142">
        <f>'Unit Data from Audit Worksheet'!F100</f>
        <v>0</v>
      </c>
      <c r="F86" s="41">
        <f>IF(L86&lt;0,"Error: Enter as a positive.",)</f>
        <v>0</v>
      </c>
      <c r="G86" s="65"/>
      <c r="H86" s="223"/>
      <c r="I86" s="32"/>
      <c r="J86" s="36">
        <v>383</v>
      </c>
      <c r="K86" s="45" t="s">
        <v>212</v>
      </c>
      <c r="L86" s="289">
        <f t="shared" si="11"/>
        <v>0</v>
      </c>
      <c r="P86" s="196"/>
      <c r="X86" s="552">
        <v>383</v>
      </c>
      <c r="Y86" s="286">
        <v>383</v>
      </c>
      <c r="AA86" s="386">
        <f t="shared" si="9"/>
        <v>0</v>
      </c>
      <c r="AB86" s="286">
        <f t="shared" si="10"/>
        <v>0</v>
      </c>
    </row>
    <row r="87" spans="1:28" ht="54" customHeight="1" x14ac:dyDescent="0.3">
      <c r="A87" s="212">
        <f>'Unit Data from Audit Worksheet'!A101</f>
        <v>349</v>
      </c>
      <c r="B87" s="225" t="str">
        <f>'Unit Data from Audit Worksheet'!C101</f>
        <v>Water Sewer Net Position Statement</v>
      </c>
      <c r="C87" s="211" t="str">
        <f>'Unit Data from Audit Worksheet'!D101</f>
        <v>Total Liabilities and deferred inflows</v>
      </c>
      <c r="D87" s="134"/>
      <c r="E87" s="231">
        <f>'Unit Data from Audit Worksheet'!F101</f>
        <v>0</v>
      </c>
      <c r="F87" s="224">
        <f>IF(L80&gt;L87,"Error: Please review accts 633&gt;349",)</f>
        <v>0</v>
      </c>
      <c r="G87" s="226"/>
      <c r="H87" s="223"/>
      <c r="I87" s="32"/>
      <c r="J87" s="222">
        <v>349</v>
      </c>
      <c r="K87" s="221" t="s">
        <v>114</v>
      </c>
      <c r="L87" s="289">
        <f t="shared" si="11"/>
        <v>0</v>
      </c>
      <c r="P87" s="196"/>
      <c r="X87" s="552">
        <v>349</v>
      </c>
      <c r="Y87" s="286">
        <v>349</v>
      </c>
      <c r="AA87" s="386">
        <f t="shared" si="9"/>
        <v>0</v>
      </c>
      <c r="AB87" s="286">
        <f t="shared" si="10"/>
        <v>0</v>
      </c>
    </row>
    <row r="88" spans="1:28" ht="56.25" customHeight="1" x14ac:dyDescent="0.3">
      <c r="A88" s="212">
        <f>'Unit Data from Audit Worksheet'!A102</f>
        <v>375</v>
      </c>
      <c r="B88" s="225" t="str">
        <f>'Unit Data from Audit Worksheet'!C102</f>
        <v>Water Sewer Net Position Statement</v>
      </c>
      <c r="C88" s="211" t="str">
        <f>'Unit Data from Audit Worksheet'!D102</f>
        <v>Total Net position, Unrestricted - enter negative unrestricted net position as a negative</v>
      </c>
      <c r="D88" s="134"/>
      <c r="E88" s="231">
        <f>'Unit Data from Audit Worksheet'!F102</f>
        <v>0</v>
      </c>
      <c r="F88" s="224"/>
      <c r="G88" s="226"/>
      <c r="H88" s="223"/>
      <c r="I88" s="32"/>
      <c r="J88" s="222">
        <v>375</v>
      </c>
      <c r="K88" s="221" t="s">
        <v>213</v>
      </c>
      <c r="L88" s="289">
        <f t="shared" si="11"/>
        <v>0</v>
      </c>
      <c r="P88" s="196"/>
      <c r="X88" s="552">
        <v>375</v>
      </c>
      <c r="Y88" s="286">
        <v>375</v>
      </c>
      <c r="AA88" s="386">
        <f t="shared" si="9"/>
        <v>0</v>
      </c>
      <c r="AB88" s="286">
        <f t="shared" si="10"/>
        <v>0</v>
      </c>
    </row>
    <row r="89" spans="1:28" ht="56.25" customHeight="1" x14ac:dyDescent="0.3">
      <c r="A89" s="212">
        <f>'Unit Data from Audit Worksheet'!A103</f>
        <v>83</v>
      </c>
      <c r="B89" s="225" t="str">
        <f>'Unit Data from Audit Worksheet'!C103</f>
        <v>Water Sewer Net Position Statement</v>
      </c>
      <c r="C89" s="211" t="str">
        <f>'Unit Data from Audit Worksheet'!D103</f>
        <v>Total Net position</v>
      </c>
      <c r="D89" s="134"/>
      <c r="E89" s="231">
        <f>'Unit Data from Audit Worksheet'!F103</f>
        <v>0</v>
      </c>
      <c r="F89" s="224">
        <f>IF(+L78-L87-L89=0,,"Error: Total assets less total liabilities do not equal net position acct 381-349-83=0")</f>
        <v>0</v>
      </c>
      <c r="G89" s="84">
        <f>L78-L87-L89</f>
        <v>0</v>
      </c>
      <c r="H89" s="223"/>
      <c r="I89" s="32"/>
      <c r="J89" s="222">
        <v>83</v>
      </c>
      <c r="K89" s="221" t="s">
        <v>94</v>
      </c>
      <c r="L89" s="289">
        <f t="shared" si="11"/>
        <v>0</v>
      </c>
      <c r="O89" s="296" t="e">
        <f>'Unit Data from Audit Worksheet'!E103</f>
        <v>#N/A</v>
      </c>
      <c r="P89" s="196"/>
      <c r="Q89" s="227"/>
      <c r="X89" s="552">
        <v>83</v>
      </c>
      <c r="Y89" s="286">
        <v>83</v>
      </c>
      <c r="AA89" s="386">
        <f t="shared" si="9"/>
        <v>0</v>
      </c>
      <c r="AB89" s="286">
        <f t="shared" si="10"/>
        <v>0</v>
      </c>
    </row>
    <row r="90" spans="1:28" ht="56.25" customHeight="1" x14ac:dyDescent="0.3">
      <c r="A90" s="212">
        <f>'Unit Data from Audit Worksheet'!A105</f>
        <v>90</v>
      </c>
      <c r="B90" s="225" t="str">
        <f>'Unit Data from Audit Worksheet'!C105</f>
        <v>Electric Fund Net Position Statement</v>
      </c>
      <c r="C90" s="211" t="str">
        <f>'Unit Data from Audit Worksheet'!D105</f>
        <v>All Unrestricted Cash and Investments.  
Exclude any restricted cash and investments.</v>
      </c>
      <c r="D90" s="134"/>
      <c r="E90" s="231">
        <f>'Unit Data from Audit Worksheet'!F105</f>
        <v>0</v>
      </c>
      <c r="F90" s="224">
        <f>IF(L90&lt;0,"Error: Number is normally positive.",)</f>
        <v>0</v>
      </c>
      <c r="G90" s="226"/>
      <c r="H90" s="223"/>
      <c r="I90" s="32"/>
      <c r="J90" s="222">
        <v>90</v>
      </c>
      <c r="K90" s="221" t="s">
        <v>214</v>
      </c>
      <c r="L90" s="289">
        <f t="shared" si="11"/>
        <v>0</v>
      </c>
      <c r="P90" s="196"/>
      <c r="X90" s="552">
        <v>90</v>
      </c>
      <c r="Y90" s="286">
        <v>90</v>
      </c>
      <c r="AA90" s="386">
        <f t="shared" si="9"/>
        <v>0</v>
      </c>
      <c r="AB90" s="286">
        <f t="shared" si="10"/>
        <v>0</v>
      </c>
    </row>
    <row r="91" spans="1:28" ht="56.25" customHeight="1" x14ac:dyDescent="0.3">
      <c r="A91" s="212">
        <f>'Unit Data from Audit Worksheet'!A106</f>
        <v>91</v>
      </c>
      <c r="B91" s="225" t="str">
        <f>'Unit Data from Audit Worksheet'!C106</f>
        <v>Electric Fund Net Position Statement</v>
      </c>
      <c r="C91" s="211" t="str">
        <f>'Unit Data from Audit Worksheet'!D106</f>
        <v xml:space="preserve">Customer accounts receivable (net of allowance accounts)
Include billed and unbilled amounts </v>
      </c>
      <c r="D91" s="134"/>
      <c r="E91" s="231">
        <f>'Unit Data from Audit Worksheet'!F106</f>
        <v>0</v>
      </c>
      <c r="F91" s="224">
        <f>IF(L91&lt;0,"Error: Number is normally positive.",)</f>
        <v>0</v>
      </c>
      <c r="G91" s="226"/>
      <c r="H91" s="223"/>
      <c r="I91" s="32"/>
      <c r="J91" s="222">
        <v>91</v>
      </c>
      <c r="K91" s="221" t="s">
        <v>215</v>
      </c>
      <c r="L91" s="289">
        <f t="shared" si="11"/>
        <v>0</v>
      </c>
      <c r="P91" s="196"/>
      <c r="X91" s="552">
        <v>91</v>
      </c>
      <c r="Y91" s="286">
        <v>91</v>
      </c>
      <c r="AA91" s="386">
        <f t="shared" si="9"/>
        <v>0</v>
      </c>
      <c r="AB91" s="286">
        <f t="shared" si="10"/>
        <v>0</v>
      </c>
    </row>
    <row r="92" spans="1:28" ht="56.25" customHeight="1" x14ac:dyDescent="0.3">
      <c r="A92" s="212">
        <f>'Unit Data from Audit Worksheet'!A107</f>
        <v>581</v>
      </c>
      <c r="B92" s="225" t="str">
        <f>'Unit Data from Audit Worksheet'!C107</f>
        <v>Electric Fund Net Position Statement</v>
      </c>
      <c r="C92" s="211" t="str">
        <f>'Unit Data from Audit Worksheet'!D107</f>
        <v>Electric Fund - Advance To:
Interfund loan receivable-portion of repayment plan longer than 12 months</v>
      </c>
      <c r="D92" s="134"/>
      <c r="E92" s="231">
        <f>'Unit Data from Audit Worksheet'!F107</f>
        <v>0</v>
      </c>
      <c r="F92" s="224"/>
      <c r="G92" s="226"/>
      <c r="H92" s="223"/>
      <c r="I92" s="32"/>
      <c r="J92" s="222">
        <v>581</v>
      </c>
      <c r="K92" s="221" t="s">
        <v>318</v>
      </c>
      <c r="L92" s="289">
        <f t="shared" si="11"/>
        <v>0</v>
      </c>
      <c r="P92" s="196"/>
      <c r="X92" s="552">
        <v>581</v>
      </c>
      <c r="Y92" s="286">
        <v>581</v>
      </c>
      <c r="AA92" s="386">
        <f t="shared" si="9"/>
        <v>0</v>
      </c>
      <c r="AB92" s="286">
        <f t="shared" si="10"/>
        <v>0</v>
      </c>
    </row>
    <row r="93" spans="1:28" ht="56.25" customHeight="1" x14ac:dyDescent="0.3">
      <c r="A93" s="212">
        <f>'Unit Data from Audit Worksheet'!A108</f>
        <v>511</v>
      </c>
      <c r="B93" s="225" t="str">
        <f>'Unit Data from Audit Worksheet'!C108</f>
        <v>Electric Fund Net Position Statement</v>
      </c>
      <c r="C93" s="211" t="str">
        <f>'Unit Data from Audit Worksheet'!D108</f>
        <v>Amount of inventories and prepaids</v>
      </c>
      <c r="D93" s="134"/>
      <c r="E93" s="231">
        <f>'Unit Data from Audit Worksheet'!F108</f>
        <v>0</v>
      </c>
      <c r="F93" s="224">
        <f t="shared" ref="F93:F98" si="12">IF(L93&lt;0,"Error: Number is normally positive.",)</f>
        <v>0</v>
      </c>
      <c r="G93" s="226"/>
      <c r="H93" s="223"/>
      <c r="I93" s="32"/>
      <c r="J93" s="222">
        <v>511</v>
      </c>
      <c r="K93" s="221" t="s">
        <v>216</v>
      </c>
      <c r="L93" s="289">
        <f t="shared" si="11"/>
        <v>0</v>
      </c>
      <c r="P93" s="196"/>
      <c r="X93" s="552">
        <v>511</v>
      </c>
      <c r="Y93" s="286">
        <v>511</v>
      </c>
      <c r="AA93" s="386">
        <f t="shared" si="9"/>
        <v>0</v>
      </c>
      <c r="AB93" s="286">
        <f t="shared" si="10"/>
        <v>0</v>
      </c>
    </row>
    <row r="94" spans="1:28" ht="62.25" customHeight="1" x14ac:dyDescent="0.3">
      <c r="A94" s="212">
        <f>'Unit Data from Audit Worksheet'!A109</f>
        <v>657</v>
      </c>
      <c r="B94" s="225" t="str">
        <f>'Unit Data from Audit Worksheet'!C109</f>
        <v>Electric Fund Net Position Statement</v>
      </c>
      <c r="C94" s="211" t="str">
        <f>'Unit Data from Audit Worksheet'!D109</f>
        <v xml:space="preserve">Total Current assets as listed on the Electric Net Position Statement.  
</v>
      </c>
      <c r="D94" s="134"/>
      <c r="E94" s="231">
        <f>'Unit Data from Audit Worksheet'!F109</f>
        <v>0</v>
      </c>
      <c r="F94" s="224">
        <f t="shared" si="12"/>
        <v>0</v>
      </c>
      <c r="G94" s="226"/>
      <c r="H94" s="223"/>
      <c r="I94" s="32"/>
      <c r="J94" s="222">
        <v>657</v>
      </c>
      <c r="K94" s="221" t="s">
        <v>420</v>
      </c>
      <c r="L94" s="302">
        <f>IF(D94="",E94,D94)</f>
        <v>0</v>
      </c>
      <c r="P94" s="196"/>
      <c r="X94" s="552">
        <v>657</v>
      </c>
      <c r="Y94" s="286">
        <v>657</v>
      </c>
      <c r="AA94" s="386">
        <f t="shared" si="9"/>
        <v>0</v>
      </c>
      <c r="AB94" s="286">
        <f t="shared" si="10"/>
        <v>0</v>
      </c>
    </row>
    <row r="95" spans="1:28" ht="62.25" customHeight="1" x14ac:dyDescent="0.3">
      <c r="A95" s="212">
        <f>'Unit Data from Audit Worksheet'!A110</f>
        <v>658</v>
      </c>
      <c r="B95" s="225" t="str">
        <f>'Unit Data from Audit Worksheet'!C110</f>
        <v>Electric Fund Net Position Statement</v>
      </c>
      <c r="C95" s="211" t="str">
        <f>'Unit Data from Audit Worksheet'!D110</f>
        <v>Electric-Any current assets that are restricted (Cash, Accounts Rec., etc..) and included in account 657 above</v>
      </c>
      <c r="D95" s="134"/>
      <c r="E95" s="231">
        <f>'Unit Data from Audit Worksheet'!F110</f>
        <v>0</v>
      </c>
      <c r="F95" s="224">
        <f t="shared" si="12"/>
        <v>0</v>
      </c>
      <c r="G95" s="226"/>
      <c r="H95" s="223"/>
      <c r="I95" s="32"/>
      <c r="J95" s="222">
        <v>658</v>
      </c>
      <c r="K95" s="221" t="s">
        <v>447</v>
      </c>
      <c r="L95" s="302">
        <f>IF(D95="",E95,D95)</f>
        <v>0</v>
      </c>
      <c r="P95" s="196"/>
      <c r="X95" s="552">
        <v>658</v>
      </c>
      <c r="Y95" s="286">
        <v>658</v>
      </c>
      <c r="AA95" s="386">
        <f t="shared" si="9"/>
        <v>0</v>
      </c>
      <c r="AB95" s="286">
        <f t="shared" si="10"/>
        <v>0</v>
      </c>
    </row>
    <row r="96" spans="1:28" ht="39.75" customHeight="1" x14ac:dyDescent="0.3">
      <c r="A96" s="212">
        <f>'Unit Data from Audit Worksheet'!A111</f>
        <v>382</v>
      </c>
      <c r="B96" s="225" t="str">
        <f>'Unit Data from Audit Worksheet'!C111</f>
        <v>Electric Fund Net Position Statement</v>
      </c>
      <c r="C96" s="211" t="str">
        <f>'Unit Data from Audit Worksheet'!D111</f>
        <v>Total Assets and deferred outflows</v>
      </c>
      <c r="D96" s="134"/>
      <c r="E96" s="231">
        <f>'Unit Data from Audit Worksheet'!F111</f>
        <v>0</v>
      </c>
      <c r="F96" s="224">
        <f t="shared" si="12"/>
        <v>0</v>
      </c>
      <c r="G96" s="226"/>
      <c r="H96" s="223"/>
      <c r="I96" s="32"/>
      <c r="J96" s="222">
        <v>382</v>
      </c>
      <c r="K96" s="221" t="s">
        <v>106</v>
      </c>
      <c r="L96" s="289">
        <f>IF(D96="",E96,D96)</f>
        <v>0</v>
      </c>
      <c r="P96" s="196"/>
      <c r="X96" s="552">
        <v>382</v>
      </c>
      <c r="Y96" s="286">
        <v>382</v>
      </c>
      <c r="AA96" s="386">
        <f t="shared" si="9"/>
        <v>0</v>
      </c>
      <c r="AB96" s="286">
        <f t="shared" si="10"/>
        <v>0</v>
      </c>
    </row>
    <row r="97" spans="1:28" ht="39.75" customHeight="1" x14ac:dyDescent="0.3">
      <c r="A97" s="212">
        <f>'Unit Data from Audit Worksheet'!A112</f>
        <v>360</v>
      </c>
      <c r="B97" s="225" t="str">
        <f>'Unit Data from Audit Worksheet'!C112</f>
        <v>Electric Fund Net Position Statement</v>
      </c>
      <c r="C97" s="211" t="str">
        <f>'Unit Data from Audit Worksheet'!D112</f>
        <v>Total liabilities and total deferred inflows</v>
      </c>
      <c r="D97" s="134"/>
      <c r="E97" s="231">
        <f>'Unit Data from Audit Worksheet'!F112</f>
        <v>0</v>
      </c>
      <c r="F97" s="224">
        <f t="shared" si="12"/>
        <v>0</v>
      </c>
      <c r="G97" s="226"/>
      <c r="H97" s="223"/>
      <c r="I97" s="32"/>
      <c r="J97" s="222">
        <v>360</v>
      </c>
      <c r="K97" s="101" t="s">
        <v>117</v>
      </c>
      <c r="L97" s="289">
        <f>IF(D97="",E97,D97)</f>
        <v>0</v>
      </c>
      <c r="P97" s="196"/>
      <c r="X97" s="552">
        <v>360</v>
      </c>
      <c r="Y97" s="286">
        <v>360</v>
      </c>
      <c r="AA97" s="386">
        <f t="shared" si="9"/>
        <v>0</v>
      </c>
      <c r="AB97" s="286">
        <f t="shared" si="10"/>
        <v>0</v>
      </c>
    </row>
    <row r="98" spans="1:28" ht="58.5" customHeight="1" x14ac:dyDescent="0.3">
      <c r="A98" s="212">
        <f>'Unit Data from Audit Worksheet'!A113</f>
        <v>580</v>
      </c>
      <c r="B98" s="225" t="str">
        <f>'Unit Data from Audit Worksheet'!C113</f>
        <v>Electric Fund Net Position Statement</v>
      </c>
      <c r="C98" s="211" t="str">
        <f>'Unit Data from Audit Worksheet'!D113</f>
        <v>Electric Fund - Advance From:
Interfund loans payable-portion of repayment plan longer than 12 months</v>
      </c>
      <c r="D98" s="134"/>
      <c r="E98" s="231">
        <f>'Unit Data from Audit Worksheet'!F113</f>
        <v>0</v>
      </c>
      <c r="F98" s="103">
        <f t="shared" si="12"/>
        <v>0</v>
      </c>
      <c r="G98" s="104"/>
      <c r="H98" s="105"/>
      <c r="I98" s="32"/>
      <c r="J98" s="222">
        <v>580</v>
      </c>
      <c r="K98" s="101" t="s">
        <v>319</v>
      </c>
      <c r="L98" s="289">
        <f>IF(D98="",E98,D98)</f>
        <v>0</v>
      </c>
      <c r="N98" s="297"/>
      <c r="P98" s="200"/>
      <c r="X98" s="552">
        <v>580</v>
      </c>
      <c r="Y98" s="286">
        <v>580</v>
      </c>
      <c r="AA98" s="386">
        <f t="shared" si="9"/>
        <v>0</v>
      </c>
      <c r="AB98" s="286">
        <f t="shared" si="10"/>
        <v>0</v>
      </c>
    </row>
    <row r="99" spans="1:28" s="18" customFormat="1" ht="128.4" customHeight="1" x14ac:dyDescent="0.3">
      <c r="A99" s="212">
        <f>'Unit Data from Audit Worksheet'!A114</f>
        <v>639</v>
      </c>
      <c r="B99" s="225" t="str">
        <f>'Unit Data from Audit Worksheet'!C114</f>
        <v>Electric Fund Net Position Statement</v>
      </c>
      <c r="C99" s="211" t="str">
        <f>'Unit Data from Audit Worksheet'!D114</f>
        <v>Current liabilities (as reported on the Statement of Fund Net Position)
Include:   Current liabilities including current portion of long-term debt.  Deferred inflows should not be included in Current Liabilities   
Enter as a positive</v>
      </c>
      <c r="D99" s="134"/>
      <c r="E99" s="671">
        <f>'Unit Data from Audit Worksheet'!F114</f>
        <v>0</v>
      </c>
      <c r="F99"/>
      <c r="G99"/>
      <c r="H99"/>
      <c r="I99" s="32"/>
      <c r="J99" s="222">
        <v>639</v>
      </c>
      <c r="K99" s="221" t="s">
        <v>377</v>
      </c>
      <c r="L99" s="302">
        <f t="shared" ref="L99:L123" si="13">IF(D99="",E99,D99)</f>
        <v>0</v>
      </c>
      <c r="M99"/>
      <c r="P99" s="196"/>
      <c r="Q99" s="279"/>
      <c r="R99" s="3"/>
      <c r="S99" s="3"/>
      <c r="T99" s="3"/>
      <c r="U99" s="3"/>
      <c r="V99" s="3"/>
      <c r="W99" s="3"/>
      <c r="X99" s="552">
        <v>639</v>
      </c>
      <c r="Y99" s="286">
        <v>639</v>
      </c>
      <c r="Z99" s="3"/>
      <c r="AA99" s="386">
        <f t="shared" si="9"/>
        <v>0</v>
      </c>
      <c r="AB99" s="286">
        <f t="shared" si="10"/>
        <v>0</v>
      </c>
    </row>
    <row r="100" spans="1:28" s="18" customFormat="1" ht="132" customHeight="1" x14ac:dyDescent="0.3">
      <c r="A100" s="212">
        <f>'Unit Data from Audit Worksheet'!A115</f>
        <v>640</v>
      </c>
      <c r="B100" s="225" t="str">
        <f>'Unit Data from Audit Worksheet'!C115</f>
        <v>Electric Fund Net Position Statement</v>
      </c>
      <c r="C100" s="211" t="str">
        <f>'Unit Data from Audit Worksheet'!D115</f>
        <v>Please enter any bond anticipation notes that are classified as current liabilities and included in account 639 above (amounts entered should agree to the current amount included in the changes to long-term debt note)
Enter as a positive</v>
      </c>
      <c r="D100" s="134"/>
      <c r="E100" s="231">
        <f>'Unit Data from Audit Worksheet'!F115</f>
        <v>0</v>
      </c>
      <c r="F100" s="41">
        <f t="shared" ref="F100:F105" si="14">IF(L100&lt;0,"Error: Number is normally positive.",)</f>
        <v>0</v>
      </c>
      <c r="G100" s="65"/>
      <c r="H100" s="223"/>
      <c r="I100" s="32"/>
      <c r="J100" s="222">
        <v>640</v>
      </c>
      <c r="K100" s="221" t="s">
        <v>378</v>
      </c>
      <c r="L100" s="302">
        <f t="shared" si="13"/>
        <v>0</v>
      </c>
      <c r="M100"/>
      <c r="P100" s="196"/>
      <c r="Q100" s="279"/>
      <c r="R100" s="3"/>
      <c r="S100" s="3"/>
      <c r="T100" s="3"/>
      <c r="U100" s="3"/>
      <c r="V100" s="3"/>
      <c r="W100" s="3"/>
      <c r="X100" s="552">
        <v>640</v>
      </c>
      <c r="Y100" s="286">
        <v>640</v>
      </c>
      <c r="Z100" s="3"/>
      <c r="AA100" s="386">
        <f t="shared" si="9"/>
        <v>0</v>
      </c>
      <c r="AB100" s="286">
        <f t="shared" si="10"/>
        <v>0</v>
      </c>
    </row>
    <row r="101" spans="1:28" s="18" customFormat="1" ht="128.4" customHeight="1" x14ac:dyDescent="0.3">
      <c r="A101" s="212">
        <f>'Unit Data from Audit Worksheet'!A116</f>
        <v>641</v>
      </c>
      <c r="B101" s="225" t="str">
        <f>'Unit Data from Audit Worksheet'!C116</f>
        <v>Electric Fund Net Position Statement</v>
      </c>
      <c r="C101" s="211" t="str">
        <f>'Unit Data from Audit Worksheet'!D116</f>
        <v>Please enter any compensated absences that are classified as current liabilities and included in account 639 above (amounts entered should agree to the current amount included in the changes to long-term debt note)
Enter as a positive</v>
      </c>
      <c r="D101" s="134"/>
      <c r="E101" s="231">
        <f>'Unit Data from Audit Worksheet'!F116</f>
        <v>0</v>
      </c>
      <c r="F101" s="224">
        <f t="shared" si="14"/>
        <v>0</v>
      </c>
      <c r="G101" s="226"/>
      <c r="H101" s="223"/>
      <c r="I101" s="32"/>
      <c r="J101" s="222">
        <v>641</v>
      </c>
      <c r="K101" s="221" t="s">
        <v>379</v>
      </c>
      <c r="L101" s="302">
        <f t="shared" si="13"/>
        <v>0</v>
      </c>
      <c r="M101"/>
      <c r="P101" s="201"/>
      <c r="Q101" s="279"/>
      <c r="R101" s="3"/>
      <c r="S101" s="3"/>
      <c r="T101" s="3"/>
      <c r="U101" s="3"/>
      <c r="V101" s="3"/>
      <c r="W101" s="3"/>
      <c r="X101" s="552">
        <v>641</v>
      </c>
      <c r="Y101" s="286">
        <v>641</v>
      </c>
      <c r="Z101" s="3"/>
      <c r="AA101" s="386">
        <f t="shared" si="9"/>
        <v>0</v>
      </c>
      <c r="AB101" s="286">
        <f t="shared" si="10"/>
        <v>0</v>
      </c>
    </row>
    <row r="102" spans="1:28" s="18" customFormat="1" ht="104.25" customHeight="1" x14ac:dyDescent="0.3">
      <c r="A102" s="212">
        <f>'Unit Data from Audit Worksheet'!A117</f>
        <v>642</v>
      </c>
      <c r="B102" s="225" t="str">
        <f>'Unit Data from Audit Worksheet'!C117</f>
        <v>Electric Fund Net Position Statement</v>
      </c>
      <c r="C102" s="211" t="str">
        <f>'Unit Data from Audit Worksheet'!D117</f>
        <v>Please enter any pension liabilities that are classified as current liabilities and included account in 639 above (amounts entered should agree to the current amount included in the changes to long-term debt note)
Enter as a positive</v>
      </c>
      <c r="D102" s="134"/>
      <c r="E102" s="231">
        <f>'Unit Data from Audit Worksheet'!F117</f>
        <v>0</v>
      </c>
      <c r="F102" s="224">
        <f t="shared" si="14"/>
        <v>0</v>
      </c>
      <c r="G102" s="226"/>
      <c r="H102" s="223"/>
      <c r="I102" s="32"/>
      <c r="J102" s="222">
        <v>642</v>
      </c>
      <c r="K102" s="221" t="s">
        <v>380</v>
      </c>
      <c r="L102" s="302">
        <f t="shared" si="13"/>
        <v>0</v>
      </c>
      <c r="M102"/>
      <c r="P102" s="201"/>
      <c r="Q102" s="279"/>
      <c r="R102" s="3"/>
      <c r="S102" s="3"/>
      <c r="T102" s="3"/>
      <c r="U102" s="3"/>
      <c r="V102" s="3"/>
      <c r="W102" s="3"/>
      <c r="X102" s="552">
        <v>642</v>
      </c>
      <c r="Y102" s="286">
        <v>642</v>
      </c>
      <c r="Z102" s="3"/>
      <c r="AA102" s="386">
        <f t="shared" si="9"/>
        <v>0</v>
      </c>
      <c r="AB102" s="286">
        <f t="shared" si="10"/>
        <v>0</v>
      </c>
    </row>
    <row r="103" spans="1:28" s="18" customFormat="1" ht="97.95" customHeight="1" x14ac:dyDescent="0.3">
      <c r="A103" s="212">
        <f>'Unit Data from Audit Worksheet'!A118</f>
        <v>643</v>
      </c>
      <c r="B103" s="225" t="str">
        <f>'Unit Data from Audit Worksheet'!C118</f>
        <v>Electric Fund Net Position Statement</v>
      </c>
      <c r="C103" s="211" t="str">
        <f>'Unit Data from Audit Worksheet'!D118</f>
        <v>Please enter any current liabilities that are payable from restricted assets and included in account 639 above. 
Enter as a positive</v>
      </c>
      <c r="D103" s="134"/>
      <c r="E103" s="231">
        <f>'Unit Data from Audit Worksheet'!F118</f>
        <v>0</v>
      </c>
      <c r="F103" s="224">
        <f t="shared" si="14"/>
        <v>0</v>
      </c>
      <c r="G103" s="226"/>
      <c r="H103" s="223"/>
      <c r="I103" s="32"/>
      <c r="J103" s="222">
        <v>643</v>
      </c>
      <c r="K103" s="221" t="s">
        <v>381</v>
      </c>
      <c r="L103" s="302">
        <f t="shared" si="13"/>
        <v>0</v>
      </c>
      <c r="M103"/>
      <c r="P103" s="196"/>
      <c r="Q103" s="279"/>
      <c r="R103" s="3"/>
      <c r="S103" s="3"/>
      <c r="T103" s="3"/>
      <c r="U103" s="3"/>
      <c r="V103" s="3"/>
      <c r="W103" s="3"/>
      <c r="X103" s="552">
        <v>643</v>
      </c>
      <c r="Y103" s="286">
        <v>643</v>
      </c>
      <c r="Z103" s="3"/>
      <c r="AA103" s="386">
        <f t="shared" si="9"/>
        <v>0</v>
      </c>
      <c r="AB103" s="286">
        <f t="shared" si="10"/>
        <v>0</v>
      </c>
    </row>
    <row r="104" spans="1:28" s="18" customFormat="1" ht="102" customHeight="1" x14ac:dyDescent="0.3">
      <c r="A104" s="212">
        <f>'Unit Data from Audit Worksheet'!A119</f>
        <v>644</v>
      </c>
      <c r="B104" s="225" t="str">
        <f>'Unit Data from Audit Worksheet'!C119</f>
        <v>Electric Fund Net Position Statement</v>
      </c>
      <c r="C104" s="211" t="str">
        <f>'Unit Data from Audit Worksheet'!D119</f>
        <v>Please enter any OPEB liabilities that are classified as current liabilities and included in account 639 above (amounts entered should agree to the current amount included in the changes to long-term debt note)
Enter as a positive</v>
      </c>
      <c r="D104" s="134"/>
      <c r="E104" s="231">
        <f>'Unit Data from Audit Worksheet'!F119</f>
        <v>0</v>
      </c>
      <c r="F104" s="224">
        <f t="shared" si="14"/>
        <v>0</v>
      </c>
      <c r="G104" s="226"/>
      <c r="H104" s="223"/>
      <c r="I104" s="32"/>
      <c r="J104" s="182">
        <v>644</v>
      </c>
      <c r="K104" s="221" t="s">
        <v>382</v>
      </c>
      <c r="L104" s="302">
        <f t="shared" si="13"/>
        <v>0</v>
      </c>
      <c r="M104"/>
      <c r="P104" s="196"/>
      <c r="Q104" s="279"/>
      <c r="R104" s="3"/>
      <c r="S104" s="3"/>
      <c r="T104" s="3"/>
      <c r="U104" s="3"/>
      <c r="V104" s="3"/>
      <c r="W104" s="3"/>
      <c r="X104" s="552">
        <v>644</v>
      </c>
      <c r="Y104" s="286">
        <v>644</v>
      </c>
      <c r="Z104" s="3"/>
      <c r="AA104" s="386">
        <f t="shared" si="9"/>
        <v>0</v>
      </c>
      <c r="AB104" s="286">
        <f t="shared" si="10"/>
        <v>0</v>
      </c>
    </row>
    <row r="105" spans="1:28" ht="96" customHeight="1" x14ac:dyDescent="0.3">
      <c r="A105" s="212">
        <f>+'Unit Data from Audit Worksheet'!A120</f>
        <v>384</v>
      </c>
      <c r="B105" s="212" t="str">
        <f>+'Unit Data from Audit Worksheet'!C120</f>
        <v>Electric Fund Net Position Statement</v>
      </c>
      <c r="C105" s="212" t="str">
        <f>+'Unit Data from Audit Worksheet'!D120</f>
        <v>Unearned revenue (arising from cash receipts) that were included in Current Liabilities in account 639 above.
Enter as a positive</v>
      </c>
      <c r="D105" s="134"/>
      <c r="E105" s="231">
        <f>+'Unit Data from Audit Worksheet'!F120</f>
        <v>0</v>
      </c>
      <c r="F105" s="224">
        <f t="shared" si="14"/>
        <v>0</v>
      </c>
      <c r="G105" s="226"/>
      <c r="H105" s="223"/>
      <c r="I105" s="32"/>
      <c r="J105" s="222">
        <v>384</v>
      </c>
      <c r="K105" s="52" t="s">
        <v>116</v>
      </c>
      <c r="L105" s="289">
        <f t="shared" si="13"/>
        <v>0</v>
      </c>
      <c r="P105" s="196"/>
      <c r="X105" s="552">
        <v>384</v>
      </c>
      <c r="Y105" s="286">
        <v>384</v>
      </c>
      <c r="AA105" s="386">
        <f t="shared" si="9"/>
        <v>0</v>
      </c>
      <c r="AB105" s="286">
        <f t="shared" si="10"/>
        <v>0</v>
      </c>
    </row>
    <row r="106" spans="1:28" ht="72" x14ac:dyDescent="0.3">
      <c r="A106" s="212">
        <f>+'Unit Data from Audit Worksheet'!A121</f>
        <v>361</v>
      </c>
      <c r="B106" s="212" t="str">
        <f>+'Unit Data from Audit Worksheet'!C121</f>
        <v>Electric Fund Net Position Statement</v>
      </c>
      <c r="C106" s="212" t="str">
        <f>+'Unit Data from Audit Worksheet'!D121</f>
        <v>Total net position, unrestricted - Amount of negative unrestricted net position should be entered as a negative amount and the amount of positive unrestricted net position should be entered as a positive amount.</v>
      </c>
      <c r="D106" s="134"/>
      <c r="E106" s="231">
        <f>+'Unit Data from Audit Worksheet'!F121</f>
        <v>0</v>
      </c>
      <c r="F106" s="224"/>
      <c r="G106" s="226"/>
      <c r="H106" s="223"/>
      <c r="I106" s="32"/>
      <c r="J106" s="222">
        <v>361</v>
      </c>
      <c r="K106" s="221" t="s">
        <v>98</v>
      </c>
      <c r="L106" s="289">
        <f t="shared" si="13"/>
        <v>0</v>
      </c>
      <c r="P106" s="196"/>
      <c r="X106" s="552">
        <v>361</v>
      </c>
      <c r="Y106" s="286">
        <v>361</v>
      </c>
      <c r="AA106" s="386">
        <f t="shared" si="9"/>
        <v>0</v>
      </c>
      <c r="AB106" s="286">
        <f t="shared" si="10"/>
        <v>0</v>
      </c>
    </row>
    <row r="107" spans="1:28" ht="46.5" customHeight="1" x14ac:dyDescent="0.3">
      <c r="A107" s="212">
        <f>'Unit Data from Audit Worksheet'!A122</f>
        <v>362</v>
      </c>
      <c r="B107" s="225" t="str">
        <f>'Unit Data from Audit Worksheet'!C122</f>
        <v>Electric Fund Net Position Statement</v>
      </c>
      <c r="C107" s="211" t="str">
        <f>'Unit Data from Audit Worksheet'!D122</f>
        <v>Total net position</v>
      </c>
      <c r="D107" s="134"/>
      <c r="E107" s="231">
        <f>'Unit Data from Audit Worksheet'!F122</f>
        <v>0</v>
      </c>
      <c r="F107" s="224">
        <f>IF(L96-L97-L107=0,,"Error: Total assets less total liabilities do not equal net position acct 382-360-362=0")</f>
        <v>0</v>
      </c>
      <c r="G107" s="84">
        <f>+L96-L97-L107</f>
        <v>0</v>
      </c>
      <c r="H107" s="223"/>
      <c r="I107" s="32"/>
      <c r="J107" s="222">
        <v>362</v>
      </c>
      <c r="K107" s="221" t="s">
        <v>99</v>
      </c>
      <c r="L107" s="289">
        <f t="shared" si="13"/>
        <v>0</v>
      </c>
      <c r="O107" s="296" t="e">
        <f>'Unit Data from Audit Worksheet'!E122</f>
        <v>#N/A</v>
      </c>
      <c r="P107" s="196"/>
      <c r="X107" s="552">
        <v>362</v>
      </c>
      <c r="Y107" s="286">
        <v>362</v>
      </c>
      <c r="AA107" s="386">
        <f t="shared" si="9"/>
        <v>0</v>
      </c>
      <c r="AB107" s="286">
        <f t="shared" si="10"/>
        <v>0</v>
      </c>
    </row>
    <row r="108" spans="1:28" ht="61.5" customHeight="1" x14ac:dyDescent="0.3">
      <c r="A108" s="212">
        <f>'Unit Data from Audit Worksheet'!A125</f>
        <v>88</v>
      </c>
      <c r="B108" s="225" t="str">
        <f>'Unit Data from Audit Worksheet'!C125</f>
        <v>Water Sewer Revenue, Expenses &amp; Changes in Fund Net Position</v>
      </c>
      <c r="C108" s="211" t="str">
        <f>'Unit Data from Audit Worksheet'!D125</f>
        <v>Charges for services. 
Exclude tap, capacity fees and other misc. income .</v>
      </c>
      <c r="D108" s="134"/>
      <c r="E108" s="231">
        <f>'Unit Data from Audit Worksheet'!F125</f>
        <v>0</v>
      </c>
      <c r="F108" s="224"/>
      <c r="G108" s="226"/>
      <c r="H108" s="223"/>
      <c r="I108" s="32"/>
      <c r="J108" s="222">
        <v>88</v>
      </c>
      <c r="K108" s="221" t="s">
        <v>217</v>
      </c>
      <c r="L108" s="289">
        <f t="shared" si="13"/>
        <v>0</v>
      </c>
      <c r="P108" s="196"/>
      <c r="X108" s="552">
        <v>88</v>
      </c>
      <c r="Y108" s="286">
        <v>88</v>
      </c>
      <c r="AA108" s="386">
        <f t="shared" si="9"/>
        <v>0</v>
      </c>
      <c r="AB108" s="286">
        <f t="shared" si="10"/>
        <v>0</v>
      </c>
    </row>
    <row r="109" spans="1:28" ht="72" customHeight="1" x14ac:dyDescent="0.3">
      <c r="A109" s="212">
        <f>'Unit Data from Audit Worksheet'!A126</f>
        <v>84</v>
      </c>
      <c r="B109" s="225" t="str">
        <f>'Unit Data from Audit Worksheet'!C126</f>
        <v>Water Sewer Revenue, Expenses &amp; Changes in Fund Net Position</v>
      </c>
      <c r="C109" s="211" t="str">
        <f>'Unit Data from Audit Worksheet'!D126</f>
        <v>Total Operating revenues</v>
      </c>
      <c r="D109" s="134"/>
      <c r="E109" s="231">
        <f>'Unit Data from Audit Worksheet'!F126</f>
        <v>0</v>
      </c>
      <c r="F109" s="224" t="str">
        <f>IF(L108&gt;L109,"Error: Charges for services exceed total operating revenues. Acct # 88&gt;84"," ")</f>
        <v xml:space="preserve"> </v>
      </c>
      <c r="G109" s="226" t="str">
        <f>IF(Q90=1," Included in error count"," ")</f>
        <v xml:space="preserve"> </v>
      </c>
      <c r="H109" s="223"/>
      <c r="I109" s="32"/>
      <c r="J109" s="222">
        <v>84</v>
      </c>
      <c r="K109" s="221" t="s">
        <v>218</v>
      </c>
      <c r="L109" s="289">
        <f t="shared" si="13"/>
        <v>0</v>
      </c>
      <c r="P109" s="196"/>
      <c r="X109" s="552">
        <v>84</v>
      </c>
      <c r="Y109" s="286">
        <v>84</v>
      </c>
      <c r="AA109" s="386">
        <f t="shared" si="9"/>
        <v>0</v>
      </c>
      <c r="AB109" s="286">
        <f t="shared" si="10"/>
        <v>0</v>
      </c>
    </row>
    <row r="110" spans="1:28" ht="72" customHeight="1" x14ac:dyDescent="0.3">
      <c r="A110" s="212">
        <f>'Unit Data from Audit Worksheet'!A127</f>
        <v>49</v>
      </c>
      <c r="B110" s="225" t="str">
        <f>'Unit Data from Audit Worksheet'!C127</f>
        <v>Water Sewer Revenue, Expenses &amp; Changes in Fund Net Position</v>
      </c>
      <c r="C110" s="211" t="str">
        <f>'Unit Data from Audit Worksheet'!D127</f>
        <v>Depreciation and amortization expense</v>
      </c>
      <c r="D110" s="134"/>
      <c r="E110" s="231">
        <f>'Unit Data from Audit Worksheet'!F127</f>
        <v>0</v>
      </c>
      <c r="F110" s="224">
        <f>IF(L110&lt;0,"Error: Number is normally positive.",)</f>
        <v>0</v>
      </c>
      <c r="G110" s="226"/>
      <c r="H110" s="223"/>
      <c r="I110" s="32"/>
      <c r="J110" s="222">
        <v>49</v>
      </c>
      <c r="K110" s="221" t="s">
        <v>219</v>
      </c>
      <c r="L110" s="289">
        <f t="shared" si="13"/>
        <v>0</v>
      </c>
      <c r="O110" s="296"/>
      <c r="P110" s="196"/>
      <c r="X110" s="552">
        <v>49</v>
      </c>
      <c r="Y110" s="286">
        <v>49</v>
      </c>
      <c r="AA110" s="386">
        <f t="shared" si="9"/>
        <v>0</v>
      </c>
      <c r="AB110" s="286">
        <f t="shared" si="10"/>
        <v>0</v>
      </c>
    </row>
    <row r="111" spans="1:28" ht="48" customHeight="1" x14ac:dyDescent="0.3">
      <c r="A111" s="212">
        <f>'Unit Data from Audit Worksheet'!A128</f>
        <v>85</v>
      </c>
      <c r="B111" s="225" t="str">
        <f>'Unit Data from Audit Worksheet'!C128</f>
        <v>Water Sewer Revenue, Expenses &amp; Changes in Fund Net Position</v>
      </c>
      <c r="C111" s="211" t="str">
        <f>'Unit Data from Audit Worksheet'!D128</f>
        <v>Total Operating expenses</v>
      </c>
      <c r="D111" s="134"/>
      <c r="E111" s="231">
        <f>'Unit Data from Audit Worksheet'!F128</f>
        <v>0</v>
      </c>
      <c r="F111" s="224"/>
      <c r="G111" s="226"/>
      <c r="H111" s="223"/>
      <c r="I111" s="32"/>
      <c r="J111" s="222">
        <v>85</v>
      </c>
      <c r="K111" s="221" t="s">
        <v>220</v>
      </c>
      <c r="L111" s="289">
        <f t="shared" si="13"/>
        <v>0</v>
      </c>
      <c r="P111" s="196"/>
      <c r="X111" s="552">
        <v>85</v>
      </c>
      <c r="Y111" s="286">
        <v>85</v>
      </c>
      <c r="AA111" s="386">
        <f t="shared" si="9"/>
        <v>0</v>
      </c>
      <c r="AB111" s="286">
        <f t="shared" si="10"/>
        <v>0</v>
      </c>
    </row>
    <row r="112" spans="1:28" ht="48" customHeight="1" x14ac:dyDescent="0.3">
      <c r="A112" s="212">
        <f>'Unit Data from Audit Worksheet'!A129</f>
        <v>89</v>
      </c>
      <c r="B112" s="225" t="str">
        <f>'Unit Data from Audit Worksheet'!C129</f>
        <v>Water Sewer Revenue, Expenses &amp; Changes in Fund Net Position</v>
      </c>
      <c r="C112" s="211" t="str">
        <f>'Unit Data from Audit Worksheet'!D129</f>
        <v>Interest expense</v>
      </c>
      <c r="D112" s="134"/>
      <c r="E112" s="231">
        <f>'Unit Data from Audit Worksheet'!F129</f>
        <v>0</v>
      </c>
      <c r="F112" s="224"/>
      <c r="G112" s="226"/>
      <c r="H112" s="223"/>
      <c r="I112" s="32"/>
      <c r="J112" s="222">
        <v>89</v>
      </c>
      <c r="K112" s="221" t="s">
        <v>221</v>
      </c>
      <c r="L112" s="289">
        <f t="shared" si="13"/>
        <v>0</v>
      </c>
      <c r="P112" s="196"/>
      <c r="X112" s="552">
        <v>89</v>
      </c>
      <c r="Y112" s="286">
        <v>89</v>
      </c>
      <c r="AA112" s="386">
        <f t="shared" si="9"/>
        <v>0</v>
      </c>
      <c r="AB112" s="286">
        <f t="shared" si="10"/>
        <v>0</v>
      </c>
    </row>
    <row r="113" spans="1:28" ht="48" customHeight="1" x14ac:dyDescent="0.3">
      <c r="A113" s="212">
        <f>'Unit Data from Audit Worksheet'!A130</f>
        <v>350</v>
      </c>
      <c r="B113" s="225" t="str">
        <f>'Unit Data from Audit Worksheet'!C130</f>
        <v>Water Sewer Revenue, Expenses &amp; Changes in Fund Net Position</v>
      </c>
      <c r="C113" s="211" t="str">
        <f>'Unit Data from Audit Worksheet'!D130</f>
        <v>Total all non-operating revenues  
Exclude Capital contributions.</v>
      </c>
      <c r="D113" s="134"/>
      <c r="E113" s="231">
        <f>'Unit Data from Audit Worksheet'!F130</f>
        <v>0</v>
      </c>
      <c r="F113" s="224"/>
      <c r="G113" s="226"/>
      <c r="H113" s="223"/>
      <c r="I113" s="32"/>
      <c r="J113" s="222">
        <v>350</v>
      </c>
      <c r="K113" s="221" t="s">
        <v>222</v>
      </c>
      <c r="L113" s="289">
        <f t="shared" si="13"/>
        <v>0</v>
      </c>
      <c r="P113" s="196"/>
      <c r="X113" s="552">
        <v>350</v>
      </c>
      <c r="Y113" s="286">
        <v>350</v>
      </c>
      <c r="AA113" s="386">
        <f t="shared" si="9"/>
        <v>0</v>
      </c>
      <c r="AB113" s="286">
        <f t="shared" si="10"/>
        <v>0</v>
      </c>
    </row>
    <row r="114" spans="1:28" ht="48" customHeight="1" x14ac:dyDescent="0.3">
      <c r="A114" s="212">
        <f>'Unit Data from Audit Worksheet'!A131</f>
        <v>351</v>
      </c>
      <c r="B114" s="225" t="str">
        <f>'Unit Data from Audit Worksheet'!C131</f>
        <v>Water Sewer Revenue, Expenses &amp; Changes in Fund Net Position</v>
      </c>
      <c r="C114" s="211" t="str">
        <f>'Unit Data from Audit Worksheet'!D131</f>
        <v>Total all non-operating expenses.  
Include any negative special, extraordinary, or capital contribution.</v>
      </c>
      <c r="D114" s="134"/>
      <c r="E114" s="231">
        <f>'Unit Data from Audit Worksheet'!F131</f>
        <v>0</v>
      </c>
      <c r="F114" s="224"/>
      <c r="G114" s="226"/>
      <c r="H114" s="223"/>
      <c r="I114" s="32"/>
      <c r="J114" s="222">
        <v>351</v>
      </c>
      <c r="K114" s="221" t="s">
        <v>223</v>
      </c>
      <c r="L114" s="289">
        <f t="shared" si="13"/>
        <v>0</v>
      </c>
      <c r="P114" s="196"/>
      <c r="X114" s="552">
        <v>351</v>
      </c>
      <c r="Y114" s="286">
        <v>351</v>
      </c>
      <c r="AA114" s="386">
        <f t="shared" si="9"/>
        <v>0</v>
      </c>
      <c r="AB114" s="286">
        <f t="shared" si="10"/>
        <v>0</v>
      </c>
    </row>
    <row r="115" spans="1:28" ht="66" customHeight="1" x14ac:dyDescent="0.3">
      <c r="A115" s="212">
        <f>'Unit Data from Audit Worksheet'!A132</f>
        <v>191</v>
      </c>
      <c r="B115" s="225" t="str">
        <f>'Unit Data from Audit Worksheet'!C132</f>
        <v>Water Sewer Revenue, Expenses &amp; Changes in Fund Net Position</v>
      </c>
      <c r="C115" s="211" t="str">
        <f>'Unit Data from Audit Worksheet'!D132</f>
        <v>Capital contributions. Only include positive capital contributions.  Negative capital contributions should be included with 'Total all non-operating expenses.'</v>
      </c>
      <c r="D115" s="134"/>
      <c r="E115" s="231">
        <f>'Unit Data from Audit Worksheet'!F132</f>
        <v>0</v>
      </c>
      <c r="F115" s="224">
        <f>IF(L115&lt;0,"Error: Enter as a positive.",)</f>
        <v>0</v>
      </c>
      <c r="G115" s="226"/>
      <c r="H115" s="223"/>
      <c r="I115" s="32"/>
      <c r="J115" s="222">
        <v>191</v>
      </c>
      <c r="K115" s="221" t="s">
        <v>224</v>
      </c>
      <c r="L115" s="289">
        <f t="shared" si="13"/>
        <v>0</v>
      </c>
      <c r="P115" s="196"/>
      <c r="S115" s="18"/>
      <c r="T115" s="18"/>
      <c r="U115" s="18"/>
      <c r="V115" s="18"/>
      <c r="X115" s="552">
        <v>191</v>
      </c>
      <c r="Y115" s="286">
        <v>191</v>
      </c>
      <c r="Z115" s="18"/>
      <c r="AA115" s="386">
        <f t="shared" si="9"/>
        <v>0</v>
      </c>
      <c r="AB115" s="286">
        <f t="shared" si="10"/>
        <v>0</v>
      </c>
    </row>
    <row r="116" spans="1:28" s="386" customFormat="1" ht="66.599999999999994" customHeight="1" x14ac:dyDescent="0.3">
      <c r="A116" s="212">
        <f>'Unit Data from Audit Worksheet'!A133</f>
        <v>1053</v>
      </c>
      <c r="B116" s="225" t="str">
        <f>'Unit Data from Audit Worksheet'!C133</f>
        <v>Water &amp; Sewer Revenue, Expenses &amp; Changes in Fund Net Position</v>
      </c>
      <c r="C116" s="211" t="str">
        <f>'Unit Data from Audit Worksheet'!D133</f>
        <v>Mark to Market unrealized losses in the Water and Sewer Fund. (enter as a negative number)</v>
      </c>
      <c r="D116" s="134"/>
      <c r="E116" s="231">
        <f>'Unit Data from Audit Worksheet'!F133</f>
        <v>0</v>
      </c>
      <c r="F116" s="224"/>
      <c r="G116" s="226"/>
      <c r="H116" s="223"/>
      <c r="I116" s="32"/>
      <c r="J116" s="222">
        <v>1053</v>
      </c>
      <c r="K116" s="211" t="s">
        <v>1608</v>
      </c>
      <c r="L116" s="295">
        <f t="shared" si="13"/>
        <v>0</v>
      </c>
      <c r="M116"/>
      <c r="P116" s="196"/>
      <c r="Q116" s="279"/>
      <c r="S116" s="18"/>
      <c r="T116" s="18"/>
      <c r="U116" s="18"/>
      <c r="V116" s="18"/>
      <c r="X116" s="552"/>
      <c r="Y116" s="286"/>
      <c r="Z116" s="18"/>
      <c r="AA116" s="386">
        <f t="shared" si="9"/>
        <v>0</v>
      </c>
      <c r="AB116" s="286"/>
    </row>
    <row r="117" spans="1:28" ht="47.25" customHeight="1" x14ac:dyDescent="0.3">
      <c r="A117" s="212">
        <f>'Unit Data from Audit Worksheet'!A134</f>
        <v>352</v>
      </c>
      <c r="B117" s="225" t="str">
        <f>'Unit Data from Audit Worksheet'!C134</f>
        <v>Water Sewer Revenue, Expenses &amp; Changes in Fund Net Position</v>
      </c>
      <c r="C117" s="211" t="str">
        <f>'Unit Data from Audit Worksheet'!D134</f>
        <v>Total Transfers in - all funds (operating and capital)</v>
      </c>
      <c r="D117" s="134"/>
      <c r="E117" s="231">
        <f>'Unit Data from Audit Worksheet'!F134</f>
        <v>0</v>
      </c>
      <c r="F117" s="224"/>
      <c r="G117" s="226"/>
      <c r="H117" s="223"/>
      <c r="I117" s="32"/>
      <c r="J117" s="222">
        <v>352</v>
      </c>
      <c r="K117" s="221" t="s">
        <v>225</v>
      </c>
      <c r="L117" s="289">
        <f t="shared" si="13"/>
        <v>0</v>
      </c>
      <c r="P117" s="196"/>
      <c r="X117" s="552">
        <v>352</v>
      </c>
      <c r="Y117" s="286">
        <v>352</v>
      </c>
      <c r="AA117" s="386">
        <f t="shared" si="9"/>
        <v>0</v>
      </c>
      <c r="AB117" s="286">
        <f t="shared" si="10"/>
        <v>0</v>
      </c>
    </row>
    <row r="118" spans="1:28" ht="70.5" customHeight="1" x14ac:dyDescent="0.3">
      <c r="A118" s="212">
        <f>'Unit Data from Audit Worksheet'!A135</f>
        <v>986</v>
      </c>
      <c r="B118" s="225" t="str">
        <f>'Unit Data from Audit Worksheet'!C135</f>
        <v>Water Sewer Revenue, Expenses &amp; Changes in Fund Net Position</v>
      </c>
      <c r="C118" s="211" t="str">
        <f>'Unit Data from Audit Worksheet'!D135</f>
        <v>Of the transfers-in above in acct # 352, list amount of transfers-in that were used to support Water Sewer operations  (exclude capital transfers)</v>
      </c>
      <c r="D118" s="134"/>
      <c r="E118" s="231">
        <f>'Unit Data from Audit Worksheet'!F135</f>
        <v>0</v>
      </c>
      <c r="F118" s="224"/>
      <c r="G118" s="226"/>
      <c r="H118" s="223"/>
      <c r="I118" s="32"/>
      <c r="J118" s="222">
        <v>986</v>
      </c>
      <c r="K118" s="211" t="s">
        <v>594</v>
      </c>
      <c r="L118" s="295">
        <f t="shared" si="13"/>
        <v>0</v>
      </c>
      <c r="P118" s="196"/>
      <c r="X118" s="552">
        <v>986</v>
      </c>
      <c r="Y118" s="286">
        <v>986</v>
      </c>
      <c r="AA118" s="386">
        <f t="shared" si="9"/>
        <v>0</v>
      </c>
      <c r="AB118" s="286">
        <f t="shared" si="10"/>
        <v>0</v>
      </c>
    </row>
    <row r="119" spans="1:28" ht="47.25" customHeight="1" x14ac:dyDescent="0.3">
      <c r="A119" s="212">
        <f>'Unit Data from Audit Worksheet'!A136</f>
        <v>353</v>
      </c>
      <c r="B119" s="225" t="str">
        <f>'Unit Data from Audit Worksheet'!C136</f>
        <v>Water Sewer Revenue, Expenses &amp; Changes in Fund Net Position</v>
      </c>
      <c r="C119" s="211" t="str">
        <f>'Unit Data from Audit Worksheet'!D136</f>
        <v>Total Transfers out</v>
      </c>
      <c r="D119" s="134"/>
      <c r="E119" s="231">
        <f>'Unit Data from Audit Worksheet'!F136</f>
        <v>0</v>
      </c>
      <c r="F119" s="224">
        <f>IF(L119&lt;0,"Error: Enter as a positive.",)</f>
        <v>0</v>
      </c>
      <c r="G119" s="226"/>
      <c r="H119" s="223"/>
      <c r="I119" s="32"/>
      <c r="J119" s="34">
        <v>353</v>
      </c>
      <c r="K119" s="221" t="s">
        <v>226</v>
      </c>
      <c r="L119" s="289">
        <f t="shared" si="13"/>
        <v>0</v>
      </c>
      <c r="P119" s="196"/>
      <c r="X119" s="552">
        <v>353</v>
      </c>
      <c r="Y119" s="286">
        <v>353</v>
      </c>
      <c r="AA119" s="386">
        <f t="shared" si="9"/>
        <v>0</v>
      </c>
      <c r="AB119" s="286">
        <f t="shared" si="10"/>
        <v>0</v>
      </c>
    </row>
    <row r="120" spans="1:28" ht="72.75" customHeight="1" x14ac:dyDescent="0.3">
      <c r="A120" s="212">
        <f>'Unit Data from Audit Worksheet'!A137</f>
        <v>50</v>
      </c>
      <c r="B120" s="225" t="str">
        <f>'Unit Data from Audit Worksheet'!C137</f>
        <v>Water Sewer Revenue, Expenses &amp; Changes in Fund Net Position</v>
      </c>
      <c r="C120" s="211" t="str">
        <f>'Unit Data from Audit Worksheet'!D137</f>
        <v>Change in net position - Increase in net position is recorded as a positive and a (Decrease) in net position is recorded as a negative.</v>
      </c>
      <c r="D120" s="134"/>
      <c r="E120" s="139">
        <f>'Unit Data from Audit Worksheet'!F137</f>
        <v>0</v>
      </c>
      <c r="F120" s="224">
        <f>IF(L109-L111+L113-L114+L117+L115-L119-L120=0,,"Error:Total revenues less total expenses do not equal total change in net position. Acct # 84-85+350-351+191+352-353-50")</f>
        <v>0</v>
      </c>
      <c r="G120" s="84">
        <f>+L109-L111+L113-L114+L117+L115-L119-L120</f>
        <v>0</v>
      </c>
      <c r="H120" s="223"/>
      <c r="I120" s="32"/>
      <c r="J120" s="222">
        <v>50</v>
      </c>
      <c r="K120" s="221" t="s">
        <v>92</v>
      </c>
      <c r="L120" s="289">
        <f t="shared" si="13"/>
        <v>0</v>
      </c>
      <c r="P120" s="196"/>
      <c r="X120" s="552">
        <v>50</v>
      </c>
      <c r="Y120" s="286">
        <v>50</v>
      </c>
      <c r="AA120" s="386">
        <f t="shared" si="9"/>
        <v>0</v>
      </c>
      <c r="AB120" s="286">
        <f t="shared" si="10"/>
        <v>0</v>
      </c>
    </row>
    <row r="121" spans="1:28" ht="144" customHeight="1" x14ac:dyDescent="0.3">
      <c r="A121" s="212">
        <f>'Unit Data from Audit Worksheet'!A138</f>
        <v>377</v>
      </c>
      <c r="B121" s="225" t="str">
        <f>'Unit Data from Audit Worksheet'!C138</f>
        <v>Water Sewer Revenue, Expenses &amp; Changes in Fund Net Position</v>
      </c>
      <c r="C121" s="211" t="str">
        <f>'Unit Data from Audit Worksheet'!D138</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Worksheet'!F138</f>
        <v>0</v>
      </c>
      <c r="F121" s="80" t="e">
        <f>IF(L89-L120-L121=O89,,"Error:Beginning Balance does not agree with out records.Acct # 83-50-377 = PY83")</f>
        <v>#N/A</v>
      </c>
      <c r="G121" s="84" t="e">
        <f>+L89-L120-L121-O89</f>
        <v>#N/A</v>
      </c>
      <c r="H121" s="223" t="e">
        <f>'Unit Data from Audit Worksheet'!I138</f>
        <v>#N/A</v>
      </c>
      <c r="I121" s="32"/>
      <c r="J121" s="222">
        <v>377</v>
      </c>
      <c r="K121" s="221" t="s">
        <v>101</v>
      </c>
      <c r="L121" s="289">
        <f t="shared" si="13"/>
        <v>0</v>
      </c>
      <c r="P121" s="196"/>
      <c r="X121" s="552">
        <v>377</v>
      </c>
      <c r="Y121" s="286">
        <v>377</v>
      </c>
      <c r="AA121" s="386">
        <f t="shared" si="9"/>
        <v>0</v>
      </c>
      <c r="AB121" s="286">
        <f t="shared" si="10"/>
        <v>0</v>
      </c>
    </row>
    <row r="122" spans="1:28" ht="63" customHeight="1" x14ac:dyDescent="0.3">
      <c r="A122" s="312">
        <f>'Unit Data from Audit Worksheet'!A139</f>
        <v>537</v>
      </c>
      <c r="B122" s="225" t="str">
        <f>'Unit Data from Audit Worksheet'!C139</f>
        <v>Water Sewer Revenue, Expenses &amp; Changes in Fund Net Position</v>
      </c>
      <c r="C122" s="211" t="str">
        <f>'Unit Data from Audit Worksheet'!D139</f>
        <v>Did unit raise Water Sewer rates during the audited fiscal period? - answer Yes =1 or No= 2</v>
      </c>
      <c r="D122" s="129"/>
      <c r="E122" s="231">
        <f>'Unit Data from Audit Worksheet'!F139</f>
        <v>0</v>
      </c>
      <c r="F122" s="224" t="s">
        <v>311</v>
      </c>
      <c r="G122" s="226"/>
      <c r="H122" s="223"/>
      <c r="I122" s="32"/>
      <c r="J122" s="60">
        <v>537</v>
      </c>
      <c r="K122" s="58" t="s">
        <v>280</v>
      </c>
      <c r="L122" s="289">
        <f t="shared" si="13"/>
        <v>0</v>
      </c>
      <c r="N122" s="54" t="s">
        <v>301</v>
      </c>
      <c r="P122" s="196"/>
      <c r="X122" s="552">
        <v>537</v>
      </c>
      <c r="Y122" s="286">
        <v>537</v>
      </c>
      <c r="AA122" s="386">
        <f t="shared" si="9"/>
        <v>0</v>
      </c>
      <c r="AB122" s="286">
        <f t="shared" si="10"/>
        <v>0</v>
      </c>
    </row>
    <row r="123" spans="1:28" ht="63.75" customHeight="1" x14ac:dyDescent="0.3">
      <c r="A123" s="312">
        <f>'Unit Data from Audit Worksheet'!A140</f>
        <v>538</v>
      </c>
      <c r="B123" s="225" t="str">
        <f>'Unit Data from Audit Worksheet'!C140</f>
        <v>Water Sewer Revenue, Expenses &amp; Changes in Fund Net Position</v>
      </c>
      <c r="C123" s="211" t="str">
        <f>'Unit Data from Audit Worksheet'!D140</f>
        <v>Did unit raise Water Sewer rates during the budget year following the audited fiscal year? - answer Yes=1 or No=2</v>
      </c>
      <c r="D123" s="129"/>
      <c r="E123" s="231">
        <f>'Unit Data from Audit Worksheet'!F140</f>
        <v>0</v>
      </c>
      <c r="F123" s="224" t="s">
        <v>311</v>
      </c>
      <c r="G123" s="226"/>
      <c r="H123" s="223"/>
      <c r="I123" s="32"/>
      <c r="J123" s="60">
        <v>538</v>
      </c>
      <c r="K123" s="58" t="s">
        <v>279</v>
      </c>
      <c r="L123" s="289">
        <f t="shared" si="13"/>
        <v>0</v>
      </c>
      <c r="N123" s="54" t="s">
        <v>301</v>
      </c>
      <c r="P123" s="196"/>
      <c r="X123" s="552">
        <v>538</v>
      </c>
      <c r="Y123" s="286">
        <v>538</v>
      </c>
      <c r="AA123" s="386">
        <f t="shared" si="9"/>
        <v>0</v>
      </c>
      <c r="AB123" s="286">
        <f t="shared" si="10"/>
        <v>0</v>
      </c>
    </row>
    <row r="124" spans="1:28" ht="47.25" customHeight="1" x14ac:dyDescent="0.3">
      <c r="A124" s="212">
        <f>'Unit Data from Audit Worksheet'!A142</f>
        <v>97</v>
      </c>
      <c r="B124" s="225" t="str">
        <f>'Unit Data from Audit Worksheet'!C142</f>
        <v>Electric Fund Revenue, Expenses &amp; Changes in Fund Net Position</v>
      </c>
      <c r="C124" s="211" t="str">
        <f>'Unit Data from Audit Worksheet'!D142</f>
        <v>Charges for services</v>
      </c>
      <c r="D124" s="230"/>
      <c r="E124" s="231">
        <f>'Unit Data from Audit Worksheet'!F142</f>
        <v>0</v>
      </c>
      <c r="F124" s="224">
        <f>IF(L124&lt;0,"Error: Enter as a positive.",)</f>
        <v>0</v>
      </c>
      <c r="G124" s="226"/>
      <c r="H124" s="223"/>
      <c r="I124" s="32"/>
      <c r="J124" s="222">
        <v>97</v>
      </c>
      <c r="K124" s="221" t="s">
        <v>227</v>
      </c>
      <c r="L124" s="289">
        <f t="shared" ref="L124:L200" si="15">IF(D124="",E124,D124)</f>
        <v>0</v>
      </c>
      <c r="P124" s="196"/>
      <c r="X124" s="552">
        <v>97</v>
      </c>
      <c r="Y124" s="286">
        <v>97</v>
      </c>
      <c r="AA124" s="386">
        <f t="shared" si="9"/>
        <v>0</v>
      </c>
      <c r="AB124" s="286">
        <f t="shared" si="10"/>
        <v>0</v>
      </c>
    </row>
    <row r="125" spans="1:28" ht="45.75" customHeight="1" x14ac:dyDescent="0.3">
      <c r="A125" s="212">
        <f>'Unit Data from Audit Worksheet'!A143</f>
        <v>93</v>
      </c>
      <c r="B125" s="225" t="str">
        <f>'Unit Data from Audit Worksheet'!C143</f>
        <v>Electric Fund Revenue, Expenses &amp; Changes in Fund Net Position</v>
      </c>
      <c r="C125" s="211" t="str">
        <f>'Unit Data from Audit Worksheet'!D143</f>
        <v>Total Operating revenues</v>
      </c>
      <c r="D125" s="230"/>
      <c r="E125" s="231">
        <f>'Unit Data from Audit Worksheet'!F143</f>
        <v>0</v>
      </c>
      <c r="F125" s="224" t="str">
        <f>IF(L124&gt;L125,"Error: Charges for services exceeds total operating revenues Acct 97&gt;=93"," ")</f>
        <v xml:space="preserve"> </v>
      </c>
      <c r="G125" s="226" t="str">
        <f>IF(Q105=1," Included in error count"," ")</f>
        <v xml:space="preserve"> </v>
      </c>
      <c r="H125" s="223"/>
      <c r="I125" s="32"/>
      <c r="J125" s="222">
        <v>93</v>
      </c>
      <c r="K125" s="221" t="s">
        <v>228</v>
      </c>
      <c r="L125" s="289">
        <f t="shared" si="15"/>
        <v>0</v>
      </c>
      <c r="P125" s="196"/>
      <c r="X125" s="552">
        <v>93</v>
      </c>
      <c r="Y125" s="286">
        <v>93</v>
      </c>
      <c r="AA125" s="386">
        <f t="shared" si="9"/>
        <v>0</v>
      </c>
      <c r="AB125" s="286">
        <f t="shared" si="10"/>
        <v>0</v>
      </c>
    </row>
    <row r="126" spans="1:28" ht="45.75" customHeight="1" x14ac:dyDescent="0.3">
      <c r="A126" s="212">
        <f>'Unit Data from Audit Worksheet'!A144</f>
        <v>99</v>
      </c>
      <c r="B126" s="225" t="str">
        <f>'Unit Data from Audit Worksheet'!C144</f>
        <v>Electric Fund Revenue, Expenses &amp; Changes in Fund Net Position</v>
      </c>
      <c r="C126" s="211" t="str">
        <f>'Unit Data from Audit Worksheet'!D144</f>
        <v>Electrical power purchases</v>
      </c>
      <c r="D126" s="230"/>
      <c r="E126" s="231">
        <f>'Unit Data from Audit Worksheet'!F144</f>
        <v>0</v>
      </c>
      <c r="F126" s="224">
        <f>IF(L126&lt;0,"Error: Enter as a positive.",)</f>
        <v>0</v>
      </c>
      <c r="G126" s="226"/>
      <c r="H126" s="223"/>
      <c r="I126" s="32"/>
      <c r="J126" s="222">
        <v>99</v>
      </c>
      <c r="K126" s="221" t="s">
        <v>229</v>
      </c>
      <c r="L126" s="289">
        <f t="shared" si="15"/>
        <v>0</v>
      </c>
      <c r="P126" s="196"/>
      <c r="S126" s="18"/>
      <c r="T126" s="18"/>
      <c r="U126" s="18"/>
      <c r="V126" s="18"/>
      <c r="X126" s="552">
        <v>99</v>
      </c>
      <c r="Y126" s="286">
        <v>99</v>
      </c>
      <c r="Z126" s="18"/>
      <c r="AA126" s="386">
        <f t="shared" si="9"/>
        <v>0</v>
      </c>
      <c r="AB126" s="286">
        <f t="shared" si="10"/>
        <v>0</v>
      </c>
    </row>
    <row r="127" spans="1:28" ht="45.75" customHeight="1" x14ac:dyDescent="0.3">
      <c r="A127" s="212">
        <f>'Unit Data from Audit Worksheet'!A145</f>
        <v>52</v>
      </c>
      <c r="B127" s="225" t="str">
        <f>'Unit Data from Audit Worksheet'!C145</f>
        <v>Electric Fund Revenue, Expenses &amp; Changes in Fund Net Position</v>
      </c>
      <c r="C127" s="211" t="str">
        <f>'Unit Data from Audit Worksheet'!D145</f>
        <v>Depreciation and amortization expense</v>
      </c>
      <c r="D127" s="230"/>
      <c r="E127" s="231">
        <f>'Unit Data from Audit Worksheet'!F145</f>
        <v>0</v>
      </c>
      <c r="F127" s="224">
        <f>IF(L127&lt;0,"Error: Enter as a positive.",)</f>
        <v>0</v>
      </c>
      <c r="G127" s="226"/>
      <c r="H127" s="223"/>
      <c r="I127" s="32"/>
      <c r="J127" s="222">
        <v>52</v>
      </c>
      <c r="K127" s="221" t="s">
        <v>230</v>
      </c>
      <c r="L127" s="289">
        <f t="shared" si="15"/>
        <v>0</v>
      </c>
      <c r="P127" s="196"/>
      <c r="X127" s="552">
        <v>52</v>
      </c>
      <c r="Y127" s="286">
        <v>52</v>
      </c>
      <c r="AA127" s="386">
        <f t="shared" si="9"/>
        <v>0</v>
      </c>
      <c r="AB127" s="286">
        <f t="shared" si="10"/>
        <v>0</v>
      </c>
    </row>
    <row r="128" spans="1:28" ht="45.75" customHeight="1" x14ac:dyDescent="0.3">
      <c r="A128" s="212">
        <f>'Unit Data from Audit Worksheet'!A146</f>
        <v>94</v>
      </c>
      <c r="B128" s="225" t="str">
        <f>'Unit Data from Audit Worksheet'!C146</f>
        <v>Electric Fund Revenue, Expenses &amp; Changes in Fund Net Position</v>
      </c>
      <c r="C128" s="211" t="str">
        <f>'Unit Data from Audit Worksheet'!D146</f>
        <v>Total Operating expenses</v>
      </c>
      <c r="D128" s="230"/>
      <c r="E128" s="231">
        <f>'Unit Data from Audit Worksheet'!F146</f>
        <v>0</v>
      </c>
      <c r="F128" s="224">
        <f>IF(L128&lt;0,"Error: Enter as a positive.",)</f>
        <v>0</v>
      </c>
      <c r="G128" s="226"/>
      <c r="H128" s="223"/>
      <c r="I128" s="32"/>
      <c r="J128" s="222">
        <v>94</v>
      </c>
      <c r="K128" s="221" t="s">
        <v>231</v>
      </c>
      <c r="L128" s="289">
        <f t="shared" si="15"/>
        <v>0</v>
      </c>
      <c r="P128" s="196"/>
      <c r="X128" s="552">
        <v>94</v>
      </c>
      <c r="Y128" s="286">
        <v>94</v>
      </c>
      <c r="AA128" s="386">
        <f t="shared" si="9"/>
        <v>0</v>
      </c>
      <c r="AB128" s="286">
        <f t="shared" si="10"/>
        <v>0</v>
      </c>
    </row>
    <row r="129" spans="1:28" ht="46.5" customHeight="1" x14ac:dyDescent="0.3">
      <c r="A129" s="212">
        <f>'Unit Data from Audit Worksheet'!A147</f>
        <v>98</v>
      </c>
      <c r="B129" s="225" t="str">
        <f>'Unit Data from Audit Worksheet'!C147</f>
        <v>Electric Fund Revenue, Expenses &amp; Changes in Fund Net Position</v>
      </c>
      <c r="C129" s="211" t="str">
        <f>'Unit Data from Audit Worksheet'!D147</f>
        <v>Interest expense</v>
      </c>
      <c r="D129" s="230"/>
      <c r="E129" s="231">
        <f>'Unit Data from Audit Worksheet'!F147</f>
        <v>0</v>
      </c>
      <c r="F129" s="224">
        <f>IF(L129&lt;0,"Error: Enter as a positive.",)</f>
        <v>0</v>
      </c>
      <c r="G129" s="226"/>
      <c r="H129" s="223"/>
      <c r="I129" s="32"/>
      <c r="J129" s="222">
        <v>98</v>
      </c>
      <c r="K129" s="221" t="s">
        <v>232</v>
      </c>
      <c r="L129" s="289">
        <f t="shared" si="15"/>
        <v>0</v>
      </c>
      <c r="P129" s="196"/>
      <c r="X129" s="552">
        <v>98</v>
      </c>
      <c r="Y129" s="286">
        <v>98</v>
      </c>
      <c r="AA129" s="386">
        <f t="shared" si="9"/>
        <v>0</v>
      </c>
      <c r="AB129" s="286">
        <f t="shared" si="10"/>
        <v>0</v>
      </c>
    </row>
    <row r="130" spans="1:28" ht="51" customHeight="1" x14ac:dyDescent="0.3">
      <c r="A130" s="212">
        <f>'Unit Data from Audit Worksheet'!A148</f>
        <v>363</v>
      </c>
      <c r="B130" s="225" t="str">
        <f>'Unit Data from Audit Worksheet'!C148</f>
        <v>Electric Fund Revenue, Expenses &amp; Changes in Fund Net Position</v>
      </c>
      <c r="C130" s="211" t="str">
        <f>'Unit Data from Audit Worksheet'!D148</f>
        <v>Total all the non-operating revenues  
Exclude Capital Contributions.</v>
      </c>
      <c r="D130" s="230"/>
      <c r="E130" s="231">
        <f>'Unit Data from Audit Worksheet'!F148</f>
        <v>0</v>
      </c>
      <c r="F130" s="224"/>
      <c r="G130" s="226"/>
      <c r="H130" s="223"/>
      <c r="I130" s="32"/>
      <c r="J130" s="222">
        <v>363</v>
      </c>
      <c r="K130" s="221" t="s">
        <v>233</v>
      </c>
      <c r="L130" s="289">
        <f t="shared" si="15"/>
        <v>0</v>
      </c>
      <c r="P130" s="196"/>
      <c r="X130" s="552">
        <v>363</v>
      </c>
      <c r="Y130" s="286">
        <v>363</v>
      </c>
      <c r="AA130" s="386">
        <f t="shared" si="9"/>
        <v>0</v>
      </c>
      <c r="AB130" s="286">
        <f t="shared" si="10"/>
        <v>0</v>
      </c>
    </row>
    <row r="131" spans="1:28" ht="60" customHeight="1" x14ac:dyDescent="0.3">
      <c r="A131" s="212">
        <f>'Unit Data from Audit Worksheet'!A149</f>
        <v>364</v>
      </c>
      <c r="B131" s="225" t="str">
        <f>'Unit Data from Audit Worksheet'!C149</f>
        <v>Electric Fund Revenue, Expenses &amp; Changes in Fund Net Position</v>
      </c>
      <c r="C131" s="211" t="str">
        <f>'Unit Data from Audit Worksheet'!D149</f>
        <v>Total all non-operating expenses.  
Include negative special, extraordinary, or capital contribution.</v>
      </c>
      <c r="D131" s="230"/>
      <c r="E131" s="231">
        <f>'Unit Data from Audit Worksheet'!F149</f>
        <v>0</v>
      </c>
      <c r="F131" s="224">
        <f>IF(L131&lt;0,"Error: Enter as a positive.",)</f>
        <v>0</v>
      </c>
      <c r="G131" s="226"/>
      <c r="H131" s="223"/>
      <c r="I131" s="32"/>
      <c r="J131" s="222">
        <v>364</v>
      </c>
      <c r="K131" s="221" t="s">
        <v>234</v>
      </c>
      <c r="L131" s="289">
        <f t="shared" si="15"/>
        <v>0</v>
      </c>
      <c r="P131" s="196"/>
      <c r="X131" s="552">
        <v>364</v>
      </c>
      <c r="Y131" s="286">
        <v>364</v>
      </c>
      <c r="AA131" s="386">
        <f t="shared" si="9"/>
        <v>0</v>
      </c>
      <c r="AB131" s="286">
        <f t="shared" si="10"/>
        <v>0</v>
      </c>
    </row>
    <row r="132" spans="1:28" ht="89.25" customHeight="1" x14ac:dyDescent="0.3">
      <c r="A132" s="212">
        <f>'Unit Data from Audit Worksheet'!A150</f>
        <v>192</v>
      </c>
      <c r="B132" s="225" t="str">
        <f>'Unit Data from Audit Worksheet'!C150</f>
        <v>Electric Fund Revenue, Expenses &amp; Changes in Fund Net Position</v>
      </c>
      <c r="C132" s="211" t="str">
        <f>'Unit Data from Audit Worksheet'!D150</f>
        <v>Capital Contributions.  
Include only positive capital Contributions.  Negative capital contributions should be included with 'Total all non-operating expenses.'</v>
      </c>
      <c r="D132" s="230"/>
      <c r="E132" s="231">
        <f>'Unit Data from Audit Worksheet'!F150</f>
        <v>0</v>
      </c>
      <c r="F132" s="224">
        <f>IF(L132&lt;0,"Error: Enter as a positive.",)</f>
        <v>0</v>
      </c>
      <c r="G132" s="226"/>
      <c r="H132" s="223"/>
      <c r="I132" s="32"/>
      <c r="J132" s="222">
        <v>192</v>
      </c>
      <c r="K132" s="221" t="s">
        <v>235</v>
      </c>
      <c r="L132" s="289">
        <f t="shared" si="15"/>
        <v>0</v>
      </c>
      <c r="P132" s="196"/>
      <c r="X132" s="552">
        <v>192</v>
      </c>
      <c r="Y132" s="286">
        <v>192</v>
      </c>
      <c r="AA132" s="386">
        <f t="shared" si="9"/>
        <v>0</v>
      </c>
      <c r="AB132" s="286">
        <f t="shared" si="10"/>
        <v>0</v>
      </c>
    </row>
    <row r="133" spans="1:28" s="386" customFormat="1" ht="89.25" customHeight="1" x14ac:dyDescent="0.3">
      <c r="A133" s="212">
        <f>'Unit Data from Audit Worksheet'!A151</f>
        <v>1054</v>
      </c>
      <c r="B133" s="225" t="str">
        <f>'Unit Data from Audit Worksheet'!C151</f>
        <v>Electric Fund Revenue, Expenses &amp; Changes in Fund Net Position</v>
      </c>
      <c r="C133" s="211" t="str">
        <f>'Unit Data from Audit Worksheet'!D151</f>
        <v xml:space="preserve"> Mark to Market unrealized losses in the Electric Fund. (enter as a negative number)</v>
      </c>
      <c r="D133" s="230"/>
      <c r="E133" s="231">
        <f>'Unit Data from Audit Worksheet'!F151</f>
        <v>0</v>
      </c>
      <c r="F133" s="224"/>
      <c r="G133" s="226"/>
      <c r="H133" s="223"/>
      <c r="I133" s="32"/>
      <c r="J133" s="222">
        <v>1054</v>
      </c>
      <c r="K133" s="211" t="s">
        <v>1511</v>
      </c>
      <c r="L133" s="289">
        <f t="shared" si="15"/>
        <v>0</v>
      </c>
      <c r="M133"/>
      <c r="P133" s="196"/>
      <c r="Q133" s="279"/>
      <c r="X133" s="552"/>
      <c r="Y133" s="286"/>
      <c r="AA133" s="386">
        <f t="shared" si="9"/>
        <v>0</v>
      </c>
      <c r="AB133" s="286"/>
    </row>
    <row r="134" spans="1:28" ht="42.75" customHeight="1" x14ac:dyDescent="0.3">
      <c r="A134" s="212">
        <f>'Unit Data from Audit Worksheet'!A152</f>
        <v>365</v>
      </c>
      <c r="B134" s="225" t="str">
        <f>'Unit Data from Audit Worksheet'!C152</f>
        <v>Electric Fund Revenue, Expenses &amp; Changes in Fund Net Position</v>
      </c>
      <c r="C134" s="211" t="str">
        <f>'Unit Data from Audit Worksheet'!D152</f>
        <v>Total Transfers In (From all Funds)</v>
      </c>
      <c r="D134" s="230"/>
      <c r="E134" s="231">
        <f>'Unit Data from Audit Worksheet'!F152</f>
        <v>0</v>
      </c>
      <c r="F134" s="224"/>
      <c r="G134" s="226"/>
      <c r="H134" s="223"/>
      <c r="I134" s="32"/>
      <c r="J134" s="222">
        <v>365</v>
      </c>
      <c r="K134" s="221" t="s">
        <v>236</v>
      </c>
      <c r="L134" s="289">
        <f t="shared" si="15"/>
        <v>0</v>
      </c>
      <c r="P134" s="196"/>
      <c r="X134" s="552">
        <v>365</v>
      </c>
      <c r="Y134" s="286">
        <v>365</v>
      </c>
      <c r="AA134" s="386">
        <f t="shared" si="9"/>
        <v>0</v>
      </c>
      <c r="AB134" s="286">
        <f t="shared" si="10"/>
        <v>0</v>
      </c>
    </row>
    <row r="135" spans="1:28" ht="42.75" customHeight="1" x14ac:dyDescent="0.3">
      <c r="A135" s="212">
        <f>'Unit Data from Audit Worksheet'!A153</f>
        <v>366</v>
      </c>
      <c r="B135" s="225" t="str">
        <f>'Unit Data from Audit Worksheet'!C153</f>
        <v>Electric Fund Revenue, Expenses &amp; Changes in Fund Net Position</v>
      </c>
      <c r="C135" s="211" t="str">
        <f>'Unit Data from Audit Worksheet'!D153</f>
        <v>Total Transfers Out (To all funds)</v>
      </c>
      <c r="D135" s="230"/>
      <c r="E135" s="231">
        <f>'Unit Data from Audit Worksheet'!F153</f>
        <v>0</v>
      </c>
      <c r="F135" s="224">
        <f>IF(L135&lt;0,"Error: Enter as a positive.",)</f>
        <v>0</v>
      </c>
      <c r="G135" s="226"/>
      <c r="H135" s="223"/>
      <c r="I135" s="32"/>
      <c r="J135" s="222">
        <v>366</v>
      </c>
      <c r="K135" s="221" t="s">
        <v>293</v>
      </c>
      <c r="L135" s="289">
        <f t="shared" si="15"/>
        <v>0</v>
      </c>
      <c r="P135" s="196"/>
      <c r="X135" s="552">
        <v>366</v>
      </c>
      <c r="Y135" s="286">
        <v>366</v>
      </c>
      <c r="AA135" s="386">
        <f t="shared" si="9"/>
        <v>0</v>
      </c>
      <c r="AB135" s="286">
        <f t="shared" si="10"/>
        <v>0</v>
      </c>
    </row>
    <row r="136" spans="1:28" s="18" customFormat="1" ht="76.5" customHeight="1" x14ac:dyDescent="0.3">
      <c r="A136" s="212">
        <f>'Unit Data from Audit Worksheet'!A154</f>
        <v>53</v>
      </c>
      <c r="B136" s="225" t="str">
        <f>'Unit Data from Audit Worksheet'!C154</f>
        <v>Electric Fund Revenue, Expenses &amp; Changes in Fund Net Position</v>
      </c>
      <c r="C136" s="211" t="str">
        <f>'Unit Data from Audit Worksheet'!D154</f>
        <v>Change in net position - Increase in net position is recorded as a positive and a (decrease) in net position is recorded as a negative.</v>
      </c>
      <c r="D136" s="230"/>
      <c r="E136" s="231">
        <f>'Unit Data from Audit Worksheet'!F154</f>
        <v>0</v>
      </c>
      <c r="F136" s="224">
        <f>IF(L125-L128+L130-L131+L132+L134-L135-L136=0,,"Error: Total revenues less total exp. does not equal change in net position Acct 93-94+363-364+192+365-366-53=0")</f>
        <v>0</v>
      </c>
      <c r="G136" s="84">
        <f>+L125-L128+L130-L131+L132+L134-L135-L136</f>
        <v>0</v>
      </c>
      <c r="H136" s="223"/>
      <c r="I136" s="32"/>
      <c r="J136" s="222">
        <v>53</v>
      </c>
      <c r="K136" s="221" t="s">
        <v>93</v>
      </c>
      <c r="L136" s="289">
        <f t="shared" si="15"/>
        <v>0</v>
      </c>
      <c r="M136"/>
      <c r="P136" s="196"/>
      <c r="Q136" s="279"/>
      <c r="R136" s="3"/>
      <c r="S136" s="3"/>
      <c r="T136" s="3"/>
      <c r="U136" s="3"/>
      <c r="V136" s="3"/>
      <c r="W136" s="3"/>
      <c r="X136" s="552">
        <v>53</v>
      </c>
      <c r="Y136" s="286">
        <v>53</v>
      </c>
      <c r="Z136" s="3"/>
      <c r="AA136" s="386">
        <f t="shared" si="9"/>
        <v>0</v>
      </c>
      <c r="AB136" s="286">
        <f t="shared" si="10"/>
        <v>0</v>
      </c>
    </row>
    <row r="137" spans="1:28" ht="140.25" customHeight="1" x14ac:dyDescent="0.3">
      <c r="A137" s="212">
        <f>'Unit Data from Audit Worksheet'!A155</f>
        <v>378</v>
      </c>
      <c r="B137" s="225" t="str">
        <f>'Unit Data from Audit Worksheet'!C155</f>
        <v>Electric Fund Revenue, Expenses &amp; Changes in Fund Net Position</v>
      </c>
      <c r="C137" s="211" t="str">
        <f>'Unit Data from Audit Worksheet'!D155</f>
        <v>Increases or (decreases) to beginning electric net position due to rounding, prior period adjustments and restatements.  Increase amounts to beginning net position should be entered as a positive amount and (decreases) should be entered as a negative amount.</v>
      </c>
      <c r="D137" s="230"/>
      <c r="E137" s="231">
        <f>+'Unit Data from Audit Worksheet'!F155</f>
        <v>0</v>
      </c>
      <c r="F137" s="224" t="e">
        <f>IF(L107-L136-L137=O107,,"Error: Beg. Bal does not agree with our records Acct 362-53-378= pr yr 362")</f>
        <v>#N/A</v>
      </c>
      <c r="G137" s="84" t="e">
        <f>L107-L136-L137-O107</f>
        <v>#N/A</v>
      </c>
      <c r="H137" s="223" t="e">
        <f>'Unit Data from Audit Worksheet'!I155</f>
        <v>#N/A</v>
      </c>
      <c r="I137" s="32"/>
      <c r="J137" s="222">
        <v>378</v>
      </c>
      <c r="K137" s="221" t="s">
        <v>102</v>
      </c>
      <c r="L137" s="289">
        <f t="shared" si="15"/>
        <v>0</v>
      </c>
      <c r="P137" s="196"/>
      <c r="X137" s="552">
        <v>378</v>
      </c>
      <c r="Y137" s="286">
        <v>378</v>
      </c>
      <c r="AA137" s="386">
        <f t="shared" si="9"/>
        <v>0</v>
      </c>
      <c r="AB137" s="286">
        <f t="shared" si="10"/>
        <v>0</v>
      </c>
    </row>
    <row r="138" spans="1:28" ht="35.4" customHeight="1" x14ac:dyDescent="0.3">
      <c r="A138" s="212">
        <f>'Unit Data from Audit Worksheet'!A160</f>
        <v>51</v>
      </c>
      <c r="B138" s="225" t="str">
        <f>'Unit Data from Audit Worksheet'!C160</f>
        <v>Water Sewer Cash Flow Statement</v>
      </c>
      <c r="C138" s="211" t="str">
        <f>'Unit Data from Audit Worksheet'!D160</f>
        <v>Total Cash flow from operating activities  - (Enter negative cash flows as negative)</v>
      </c>
      <c r="D138" s="230"/>
      <c r="E138" s="231">
        <f>'Unit Data from Audit Worksheet'!F160</f>
        <v>0</v>
      </c>
      <c r="F138" s="224"/>
      <c r="G138" s="226"/>
      <c r="H138" s="223"/>
      <c r="I138" s="32"/>
      <c r="J138" s="222">
        <v>51</v>
      </c>
      <c r="K138" s="221" t="s">
        <v>237</v>
      </c>
      <c r="L138" s="289">
        <f t="shared" si="15"/>
        <v>0</v>
      </c>
      <c r="P138" s="196"/>
      <c r="X138" s="552">
        <v>51</v>
      </c>
      <c r="Y138" s="286">
        <v>51</v>
      </c>
      <c r="AA138" s="386">
        <f t="shared" ref="AA138:AA209" si="16">A138-J138</f>
        <v>0</v>
      </c>
      <c r="AB138" s="286">
        <f t="shared" ref="AB138:AB209" si="17">E138-L138</f>
        <v>0</v>
      </c>
    </row>
    <row r="139" spans="1:28" ht="64.5" customHeight="1" x14ac:dyDescent="0.3">
      <c r="A139" s="212">
        <f>'Unit Data from Audit Worksheet'!A161</f>
        <v>332</v>
      </c>
      <c r="B139" s="225" t="str">
        <f>'Unit Data from Audit Worksheet'!C161</f>
        <v>Water Sewer Cash Flow Statement</v>
      </c>
      <c r="C139" s="211" t="str">
        <f>'Unit Data from Audit Worksheet'!D161</f>
        <v>Total Capital outlay. 
Include acquisition and construction of capital assets.</v>
      </c>
      <c r="D139" s="230"/>
      <c r="E139" s="231">
        <f>'Unit Data from Audit Worksheet'!F161</f>
        <v>0</v>
      </c>
      <c r="F139" s="224">
        <f>IF(L139&lt;0,"Error: Enter as a positive.",)</f>
        <v>0</v>
      </c>
      <c r="G139" s="226"/>
      <c r="H139" s="223"/>
      <c r="I139" s="32"/>
      <c r="J139" s="222">
        <v>332</v>
      </c>
      <c r="K139" s="221" t="s">
        <v>239</v>
      </c>
      <c r="L139" s="289">
        <f t="shared" si="15"/>
        <v>0</v>
      </c>
      <c r="O139" s="296"/>
      <c r="P139" s="196"/>
      <c r="X139" s="552">
        <v>332</v>
      </c>
      <c r="Y139" s="286">
        <v>332</v>
      </c>
      <c r="AA139" s="386">
        <f t="shared" si="16"/>
        <v>0</v>
      </c>
      <c r="AB139" s="286">
        <f t="shared" si="17"/>
        <v>0</v>
      </c>
    </row>
    <row r="140" spans="1:28" ht="58.5" customHeight="1" x14ac:dyDescent="0.3">
      <c r="A140" s="212">
        <f>'Unit Data from Audit Worksheet'!A162</f>
        <v>331</v>
      </c>
      <c r="B140" s="225" t="str">
        <f>'Unit Data from Audit Worksheet'!C162</f>
        <v>Water Sewer Cash Flow Statement</v>
      </c>
      <c r="C140" s="211" t="str">
        <f>'Unit Data from Audit Worksheet'!D162</f>
        <v>Principal paid on long-term debt.  Amount should be reduced by principal payments for debt refunding.</v>
      </c>
      <c r="D140" s="230"/>
      <c r="E140" s="231">
        <f>'Unit Data from Audit Worksheet'!F162</f>
        <v>0</v>
      </c>
      <c r="F140" s="224">
        <f>IF(L140&lt;0,"Error: Enter as a positive.",)</f>
        <v>0</v>
      </c>
      <c r="G140" s="226"/>
      <c r="H140" s="223"/>
      <c r="I140" s="32"/>
      <c r="J140" s="222">
        <v>331</v>
      </c>
      <c r="K140" s="221" t="s">
        <v>238</v>
      </c>
      <c r="L140" s="289">
        <f t="shared" si="15"/>
        <v>0</v>
      </c>
      <c r="O140" s="296"/>
      <c r="P140" s="196"/>
      <c r="X140" s="552">
        <v>331</v>
      </c>
      <c r="Y140" s="286">
        <v>331</v>
      </c>
      <c r="AA140" s="386">
        <f t="shared" si="16"/>
        <v>0</v>
      </c>
      <c r="AB140" s="286">
        <f t="shared" si="17"/>
        <v>0</v>
      </c>
    </row>
    <row r="141" spans="1:28" ht="51.75" customHeight="1" x14ac:dyDescent="0.3">
      <c r="A141" s="212">
        <f>'Unit Data from Audit Worksheet'!A164</f>
        <v>55</v>
      </c>
      <c r="B141" s="225" t="str">
        <f>'Unit Data from Audit Worksheet'!C164</f>
        <v>Electric Fund Cash Flow Statement</v>
      </c>
      <c r="C141" s="211" t="str">
        <f>'Unit Data from Audit Worksheet'!D164</f>
        <v>Cash flow from operating activities - (enter negative cash flows as negative)</v>
      </c>
      <c r="D141" s="230"/>
      <c r="E141" s="231">
        <f>'Unit Data from Audit Worksheet'!F164</f>
        <v>0</v>
      </c>
      <c r="F141" s="224"/>
      <c r="G141" s="226"/>
      <c r="H141" s="223"/>
      <c r="I141" s="32"/>
      <c r="J141" s="222">
        <v>55</v>
      </c>
      <c r="K141" s="221" t="s">
        <v>240</v>
      </c>
      <c r="L141" s="289">
        <f t="shared" si="15"/>
        <v>0</v>
      </c>
      <c r="P141" s="196"/>
      <c r="X141" s="552">
        <v>55</v>
      </c>
      <c r="Y141" s="286">
        <v>55</v>
      </c>
      <c r="AA141" s="386">
        <f t="shared" si="16"/>
        <v>0</v>
      </c>
      <c r="AB141" s="286">
        <f t="shared" si="17"/>
        <v>0</v>
      </c>
    </row>
    <row r="142" spans="1:28" ht="58.5" customHeight="1" x14ac:dyDescent="0.3">
      <c r="A142" s="212">
        <f>'Unit Data from Audit Worksheet'!A165</f>
        <v>101</v>
      </c>
      <c r="B142" s="225" t="str">
        <f>'Unit Data from Audit Worksheet'!C165</f>
        <v>Electric Fund Cash Flow Statement</v>
      </c>
      <c r="C142" s="211" t="str">
        <f>'Unit Data from Audit Worksheet'!D165</f>
        <v>Total Capital outlay.  
Include acquisition and construction of capital assets.</v>
      </c>
      <c r="D142" s="230"/>
      <c r="E142" s="231">
        <f>'Unit Data from Audit Worksheet'!F165</f>
        <v>0</v>
      </c>
      <c r="F142" s="224">
        <f>IF(L142&lt;0,"Error: Enter as a positive.",)</f>
        <v>0</v>
      </c>
      <c r="G142" s="226"/>
      <c r="H142" s="223"/>
      <c r="I142" s="32"/>
      <c r="J142" s="222">
        <v>101</v>
      </c>
      <c r="K142" s="221" t="s">
        <v>241</v>
      </c>
      <c r="L142" s="289">
        <f t="shared" si="15"/>
        <v>0</v>
      </c>
      <c r="P142" s="196"/>
      <c r="X142" s="552">
        <v>101</v>
      </c>
      <c r="Y142" s="286">
        <v>101</v>
      </c>
      <c r="AA142" s="386">
        <f t="shared" si="16"/>
        <v>0</v>
      </c>
      <c r="AB142" s="286">
        <f t="shared" si="17"/>
        <v>0</v>
      </c>
    </row>
    <row r="143" spans="1:28" ht="60.75" customHeight="1" x14ac:dyDescent="0.3">
      <c r="A143" s="212">
        <f>'Unit Data from Audit Worksheet'!A166</f>
        <v>100</v>
      </c>
      <c r="B143" s="225" t="str">
        <f>'Unit Data from Audit Worksheet'!C166</f>
        <v>Electric Fund Cash Flow Statement</v>
      </c>
      <c r="C143" s="211" t="str">
        <f>'Unit Data from Audit Worksheet'!D166</f>
        <v>Principal paid on long-term debt.  Amount should be reduced by principal payments for debt refunding.</v>
      </c>
      <c r="D143" s="230"/>
      <c r="E143" s="231">
        <f>'Unit Data from Audit Worksheet'!F166</f>
        <v>0</v>
      </c>
      <c r="F143" s="224">
        <f>IF(L143&lt;0,"Error: Enter as a positive.",)</f>
        <v>0</v>
      </c>
      <c r="G143" s="226"/>
      <c r="H143" s="223"/>
      <c r="I143" s="32"/>
      <c r="J143" s="222">
        <v>100</v>
      </c>
      <c r="K143" s="221" t="s">
        <v>242</v>
      </c>
      <c r="L143" s="289">
        <f t="shared" si="15"/>
        <v>0</v>
      </c>
      <c r="P143" s="196"/>
      <c r="X143" s="552">
        <v>100</v>
      </c>
      <c r="Y143" s="286">
        <v>100</v>
      </c>
      <c r="AA143" s="386">
        <f t="shared" si="16"/>
        <v>0</v>
      </c>
      <c r="AB143" s="286">
        <f t="shared" si="17"/>
        <v>0</v>
      </c>
    </row>
    <row r="144" spans="1:28" s="386" customFormat="1" ht="95.4" customHeight="1" x14ac:dyDescent="0.3">
      <c r="A144" s="212">
        <f>'Unit Data from Audit Worksheet'!A168</f>
        <v>1060</v>
      </c>
      <c r="B144" s="225">
        <f>'Unit Data from Audit Worksheet'!C168</f>
        <v>0</v>
      </c>
      <c r="C144" s="211" t="str">
        <f>'Unit Data from Audit Worksheet'!D168</f>
        <v>Total American Rescue Plan Act (ARPA) of 2021-Coronavrius State &amp; Local Fiscal Recovery Funds actually expended since inception as of June 30th.  Do not include encumbered funds in this number.</v>
      </c>
      <c r="D144" s="230"/>
      <c r="E144" s="231">
        <f>'Unit Data from Audit Worksheet'!F168</f>
        <v>0</v>
      </c>
      <c r="F144" s="224"/>
      <c r="G144" s="226"/>
      <c r="H144" s="223"/>
      <c r="I144" s="32"/>
      <c r="J144" s="222">
        <v>1060</v>
      </c>
      <c r="K144" s="211" t="s">
        <v>1512</v>
      </c>
      <c r="L144" s="289">
        <f t="shared" si="15"/>
        <v>0</v>
      </c>
      <c r="M144"/>
      <c r="P144" s="196"/>
      <c r="Q144" s="279"/>
      <c r="X144" s="552"/>
      <c r="Y144" s="286"/>
      <c r="AB144" s="286"/>
    </row>
    <row r="145" spans="1:28" s="386" customFormat="1" ht="85.95" customHeight="1" x14ac:dyDescent="0.3">
      <c r="A145" s="212">
        <f>'Unit Data from Audit Worksheet'!A169</f>
        <v>1061</v>
      </c>
      <c r="B145" s="225">
        <f>'Unit Data from Audit Worksheet'!C169</f>
        <v>0</v>
      </c>
      <c r="C145" s="211" t="str">
        <f>'Unit Data from Audit Worksheet'!D169</f>
        <v>Total American Rescue Plan Act (ARPA) of 2021-Coronavrius State &amp; Local Fiscal Recovery Funds encumbered or obligated and not yet expended since inception as of June 30th.</v>
      </c>
      <c r="D145" s="230"/>
      <c r="E145" s="231">
        <f>'Unit Data from Audit Worksheet'!F169</f>
        <v>0</v>
      </c>
      <c r="F145" s="224"/>
      <c r="G145" s="226"/>
      <c r="H145" s="223"/>
      <c r="I145" s="32"/>
      <c r="J145" s="222">
        <v>1061</v>
      </c>
      <c r="K145" s="211" t="s">
        <v>1596</v>
      </c>
      <c r="L145" s="289">
        <f t="shared" si="15"/>
        <v>0</v>
      </c>
      <c r="M145"/>
      <c r="P145" s="196"/>
      <c r="Q145" s="279"/>
      <c r="X145" s="552"/>
      <c r="Y145" s="286"/>
      <c r="AB145" s="286"/>
    </row>
    <row r="146" spans="1:28" s="386" customFormat="1" ht="81.599999999999994" customHeight="1" x14ac:dyDescent="0.3">
      <c r="A146" s="212">
        <f>'Unit Data from Audit Worksheet'!A170</f>
        <v>1062</v>
      </c>
      <c r="B146" s="225">
        <f>'Unit Data from Audit Worksheet'!C170</f>
        <v>0</v>
      </c>
      <c r="C146" s="211" t="str">
        <f>'Unit Data from Audit Worksheet'!D170</f>
        <v xml:space="preserve">Are the American Rescue Plan Act (ARPA) of 2021-Coronavrius State &amp; Local Fiscal Recovery Funds on target to be committed by December 31, 2024? (Yes = 1 or No = 2or N/A = 3 if unit did not receive funds) </v>
      </c>
      <c r="D146" s="230"/>
      <c r="E146" s="231">
        <f>'Unit Data from Audit Worksheet'!F170</f>
        <v>0</v>
      </c>
      <c r="F146" s="224"/>
      <c r="G146" s="224"/>
      <c r="H146" s="223"/>
      <c r="I146" s="32"/>
      <c r="J146" s="222">
        <v>1062</v>
      </c>
      <c r="K146" s="211" t="s">
        <v>1595</v>
      </c>
      <c r="L146" s="289">
        <f t="shared" si="15"/>
        <v>0</v>
      </c>
      <c r="M146"/>
      <c r="P146" s="196"/>
      <c r="Q146" s="279"/>
      <c r="X146" s="552"/>
      <c r="Y146" s="286"/>
      <c r="AB146" s="286"/>
    </row>
    <row r="147" spans="1:28" s="386" customFormat="1" ht="99.6" customHeight="1" x14ac:dyDescent="0.3">
      <c r="A147" s="212">
        <f>'Unit Data from Audit Worksheet'!A171</f>
        <v>1063</v>
      </c>
      <c r="B147" s="225">
        <f>'Unit Data from Audit Worksheet'!C171</f>
        <v>0</v>
      </c>
      <c r="C147" s="211" t="str">
        <f>'Unit Data from Audit Worksheet'!D171</f>
        <v>Are the American Rescue Plan Act (ARPA) of 2021-Coronavrius State &amp; Local Fiscal Recovery Funds on target to be completely expended by December 31, 2026? (Yes = 1 or No = 2 or N/A = 3 if unit did not receive funds)</v>
      </c>
      <c r="D147" s="230"/>
      <c r="E147" s="231">
        <f>'Unit Data from Audit Worksheet'!F171</f>
        <v>0</v>
      </c>
      <c r="F147" s="224"/>
      <c r="G147" s="226"/>
      <c r="H147" s="223"/>
      <c r="I147" s="32"/>
      <c r="J147" s="222">
        <v>1063</v>
      </c>
      <c r="K147" s="211" t="s">
        <v>1597</v>
      </c>
      <c r="L147" s="289">
        <f t="shared" si="15"/>
        <v>0</v>
      </c>
      <c r="M147"/>
      <c r="P147" s="196"/>
      <c r="Q147" s="279"/>
      <c r="X147" s="552"/>
      <c r="Y147" s="286"/>
      <c r="AB147" s="286"/>
    </row>
    <row r="148" spans="1:28" ht="71.25" customHeight="1" x14ac:dyDescent="0.3">
      <c r="A148" s="212">
        <f>'Unit Data from Audit Worksheet'!A173</f>
        <v>512</v>
      </c>
      <c r="B148" s="225" t="str">
        <f>'Unit Data from Audit Worksheet'!C173</f>
        <v>Fiduciary Statements</v>
      </c>
      <c r="C148" s="211" t="str">
        <f>'Unit Data from Audit Worksheet'!D173</f>
        <v>Cash and investments.  
Include:  unrestricted and restricted.  
                   cash and investments held 
                   by a third party</v>
      </c>
      <c r="D148" s="230"/>
      <c r="E148" s="231">
        <f>'Unit Data from Audit Worksheet'!F173</f>
        <v>0</v>
      </c>
      <c r="F148" s="224">
        <f>IF(L148&lt;0,"Error: Number is normally positive.",)</f>
        <v>0</v>
      </c>
      <c r="G148" s="226"/>
      <c r="H148" s="223"/>
      <c r="I148" s="32"/>
      <c r="J148" s="222">
        <v>512</v>
      </c>
      <c r="K148" s="221" t="s">
        <v>243</v>
      </c>
      <c r="L148" s="289">
        <f t="shared" si="15"/>
        <v>0</v>
      </c>
      <c r="P148" s="196"/>
      <c r="X148" s="552">
        <v>512</v>
      </c>
      <c r="Y148" s="286">
        <v>512</v>
      </c>
      <c r="AA148" s="386">
        <f t="shared" si="16"/>
        <v>0</v>
      </c>
      <c r="AB148" s="286">
        <f t="shared" si="17"/>
        <v>0</v>
      </c>
    </row>
    <row r="149" spans="1:28" ht="62.25" customHeight="1" x14ac:dyDescent="0.3">
      <c r="A149" s="212">
        <f>'Unit Data from Audit Worksheet'!A175</f>
        <v>656</v>
      </c>
      <c r="B149" s="225">
        <f>'Unit Data from Audit Worksheet'!C175</f>
        <v>0</v>
      </c>
      <c r="C149" s="211" t="str">
        <f>'Unit Data from Audit Worksheet'!D175</f>
        <v>Do you use prepared food/occupancy tax revenue stream to support debt?  Select "1" for Yes and "2" for No from drop down list.</v>
      </c>
      <c r="D149" s="129"/>
      <c r="E149" s="231">
        <f>'Unit Data from Audit Worksheet'!F175</f>
        <v>0</v>
      </c>
      <c r="F149" s="224"/>
      <c r="G149" s="226"/>
      <c r="H149" s="223"/>
      <c r="I149" s="32"/>
      <c r="J149" s="222">
        <v>656</v>
      </c>
      <c r="K149" s="228" t="s">
        <v>422</v>
      </c>
      <c r="L149" s="313">
        <f>E149</f>
        <v>0</v>
      </c>
      <c r="N149" s="18"/>
      <c r="O149" s="18"/>
      <c r="P149" s="196"/>
      <c r="X149" s="552">
        <v>656</v>
      </c>
      <c r="Y149" s="286">
        <v>656</v>
      </c>
      <c r="AA149" s="386">
        <f t="shared" si="16"/>
        <v>0</v>
      </c>
      <c r="AB149" s="286">
        <f t="shared" si="17"/>
        <v>0</v>
      </c>
    </row>
    <row r="150" spans="1:28" s="18" customFormat="1" ht="102.75" customHeight="1" x14ac:dyDescent="0.3">
      <c r="A150" s="212">
        <f>'Unit Data from Audit Worksheet'!A177</f>
        <v>535</v>
      </c>
      <c r="B150" s="225" t="str">
        <f>'Unit Data from Audit Worksheet'!C177</f>
        <v>Cash and Investment Note</v>
      </c>
      <c r="C150" s="211" t="str">
        <f>'Unit Data from Audit Worksheet'!D177</f>
        <v>Cash and Investment - Please list the book value of any unspent debt proceeds (bonds, installment, etc.) in any funds as of June 30.  This information may be on the face of your statements or in the notes</v>
      </c>
      <c r="D150" s="230"/>
      <c r="E150" s="231">
        <f>'Unit Data from Audit Worksheet'!F177</f>
        <v>0</v>
      </c>
      <c r="F150" s="80" t="str">
        <f>IF(L150&gt;1,,"Reminder: Please make sure you have entered all cash and investments from bond proceeds, if applicable")</f>
        <v>Reminder: Please make sure you have entered all cash and investments from bond proceeds, if applicable</v>
      </c>
      <c r="G150" s="226"/>
      <c r="H150" s="223"/>
      <c r="I150" s="32"/>
      <c r="J150" s="222">
        <v>535</v>
      </c>
      <c r="K150" s="55" t="s">
        <v>244</v>
      </c>
      <c r="L150" s="289">
        <f t="shared" si="15"/>
        <v>0</v>
      </c>
      <c r="M150"/>
      <c r="P150" s="196"/>
      <c r="Q150" s="279"/>
      <c r="R150" s="3"/>
      <c r="S150" s="3"/>
      <c r="T150" s="3"/>
      <c r="U150" s="3"/>
      <c r="V150" s="3"/>
      <c r="W150" s="3"/>
      <c r="X150" s="552">
        <v>535</v>
      </c>
      <c r="Y150" s="286">
        <v>535</v>
      </c>
      <c r="Z150" s="3"/>
      <c r="AA150" s="386">
        <f t="shared" si="16"/>
        <v>0</v>
      </c>
      <c r="AB150" s="286">
        <f t="shared" si="17"/>
        <v>0</v>
      </c>
    </row>
    <row r="151" spans="1:28" ht="45.75" customHeight="1" x14ac:dyDescent="0.3">
      <c r="A151" s="212">
        <f>'Unit Data from Audit Worksheet'!A181</f>
        <v>334</v>
      </c>
      <c r="B151" s="225" t="str">
        <f>'Unit Data from Audit Worksheet'!C181</f>
        <v>Gov.-Capital Assets Schedule in the Notes</v>
      </c>
      <c r="C151" s="211" t="str">
        <f>'Unit Data from Audit Worksheet'!D181</f>
        <v>Gross value.  
Exclude non-depreciable.</v>
      </c>
      <c r="D151" s="230"/>
      <c r="E151" s="231">
        <f>'Unit Data from Audit Worksheet'!F181</f>
        <v>0</v>
      </c>
      <c r="F151" s="80"/>
      <c r="G151" s="226"/>
      <c r="H151" s="223"/>
      <c r="I151" s="32"/>
      <c r="J151" s="222">
        <v>334</v>
      </c>
      <c r="K151" s="55" t="s">
        <v>261</v>
      </c>
      <c r="L151" s="289">
        <f t="shared" si="15"/>
        <v>0</v>
      </c>
      <c r="P151" s="196"/>
      <c r="X151" s="552">
        <v>334</v>
      </c>
      <c r="Y151" s="286">
        <v>334</v>
      </c>
      <c r="AA151" s="386">
        <f t="shared" si="16"/>
        <v>0</v>
      </c>
      <c r="AB151" s="286">
        <f t="shared" si="17"/>
        <v>0</v>
      </c>
    </row>
    <row r="152" spans="1:28" ht="57" customHeight="1" x14ac:dyDescent="0.3">
      <c r="A152" s="212">
        <f>'Unit Data from Audit Worksheet'!A182</f>
        <v>373</v>
      </c>
      <c r="B152" s="225" t="str">
        <f>'Unit Data from Audit Worksheet'!C182</f>
        <v>Gov.-Capital Assets Schedule in the Notes</v>
      </c>
      <c r="C152" s="211" t="str">
        <f>'Unit Data from Audit Worksheet'!D182</f>
        <v>Accumulated depreciation</v>
      </c>
      <c r="D152" s="230"/>
      <c r="E152" s="231">
        <f>'Unit Data from Audit Worksheet'!F182</f>
        <v>0</v>
      </c>
      <c r="F152" s="80"/>
      <c r="G152" s="226"/>
      <c r="H152" s="223"/>
      <c r="I152" s="32"/>
      <c r="J152" s="222">
        <v>373</v>
      </c>
      <c r="K152" s="52" t="s">
        <v>304</v>
      </c>
      <c r="L152" s="289">
        <f t="shared" si="15"/>
        <v>0</v>
      </c>
      <c r="P152" s="196"/>
      <c r="X152" s="552">
        <v>373</v>
      </c>
      <c r="Y152" s="286">
        <v>373</v>
      </c>
      <c r="AA152" s="386">
        <f t="shared" si="16"/>
        <v>0</v>
      </c>
      <c r="AB152" s="286">
        <f t="shared" si="17"/>
        <v>0</v>
      </c>
    </row>
    <row r="153" spans="1:28" ht="102.75" customHeight="1" x14ac:dyDescent="0.3">
      <c r="A153" s="212">
        <f>'Unit Data from Audit Worksheet'!A183</f>
        <v>987</v>
      </c>
      <c r="B153" s="225">
        <f>'Unit Data from Audit Worksheet'!C183</f>
        <v>0</v>
      </c>
      <c r="C153" s="211" t="str">
        <f>'Unit Data from Audit Worksheet'!D183</f>
        <v xml:space="preserve">Estimated cost not yet budgeted of any mandate placed on unit by DEQ, a court order or some similar requirement (that has no realistic appeal path). </v>
      </c>
      <c r="D153" s="230"/>
      <c r="E153" s="231">
        <f>'Unit Data from Audit Worksheet'!F183</f>
        <v>0</v>
      </c>
      <c r="F153" s="80"/>
      <c r="G153" s="226"/>
      <c r="H153" s="223"/>
      <c r="I153" s="32"/>
      <c r="J153" s="222">
        <v>987</v>
      </c>
      <c r="K153" s="52" t="s">
        <v>648</v>
      </c>
      <c r="L153" s="295">
        <f t="shared" si="15"/>
        <v>0</v>
      </c>
      <c r="P153" s="196"/>
      <c r="X153" s="552">
        <v>987</v>
      </c>
      <c r="Y153" s="286">
        <v>987</v>
      </c>
      <c r="AA153" s="386">
        <f t="shared" si="16"/>
        <v>0</v>
      </c>
      <c r="AB153" s="286">
        <f t="shared" si="17"/>
        <v>0</v>
      </c>
    </row>
    <row r="154" spans="1:28" ht="69" customHeight="1" x14ac:dyDescent="0.3">
      <c r="A154" s="212">
        <f>'Unit Data from Audit Worksheet'!A184</f>
        <v>988</v>
      </c>
      <c r="B154" s="225">
        <f>'Unit Data from Audit Worksheet'!C184</f>
        <v>0</v>
      </c>
      <c r="C154" s="211" t="str">
        <f>'Unit Data from Audit Worksheet'!D184</f>
        <v>Do you operate a landfill that will be closing  or have a significant portion closing within the next 5 years?  Select "1" for Yes and "2" for No</v>
      </c>
      <c r="D154" s="230"/>
      <c r="E154" s="231">
        <f>'Unit Data from Audit Worksheet'!F184</f>
        <v>0</v>
      </c>
      <c r="F154" s="80"/>
      <c r="G154" s="226"/>
      <c r="H154" s="223"/>
      <c r="I154" s="32"/>
      <c r="J154" s="222">
        <v>988</v>
      </c>
      <c r="K154" s="52" t="s">
        <v>876</v>
      </c>
      <c r="L154" s="295">
        <f t="shared" si="15"/>
        <v>0</v>
      </c>
      <c r="P154" s="196"/>
      <c r="X154" s="552">
        <v>988</v>
      </c>
      <c r="Y154" s="286">
        <v>988</v>
      </c>
      <c r="AA154" s="386">
        <f t="shared" si="16"/>
        <v>0</v>
      </c>
      <c r="AB154" s="286">
        <f t="shared" si="17"/>
        <v>0</v>
      </c>
    </row>
    <row r="155" spans="1:28" ht="95.25" customHeight="1" x14ac:dyDescent="0.3">
      <c r="A155" s="212">
        <f>'Unit Data from Audit Worksheet'!A185</f>
        <v>989</v>
      </c>
      <c r="B155" s="225">
        <f>'Unit Data from Audit Worksheet'!C185</f>
        <v>0</v>
      </c>
      <c r="C155" s="211" t="str">
        <f>'Unit Data from Audit Worksheet'!D185</f>
        <v>If you answered "yes" to question #988 above, will you have the closure/postclosure cost fully funded by the date of closure?  Select "1" for Yes,  "2" for No, or "3" for N/A.</v>
      </c>
      <c r="D155" s="230"/>
      <c r="E155" s="231">
        <f>'Unit Data from Audit Worksheet'!F185</f>
        <v>0</v>
      </c>
      <c r="F155" s="80"/>
      <c r="G155" s="226"/>
      <c r="H155" s="223"/>
      <c r="I155" s="32"/>
      <c r="J155" s="222">
        <v>989</v>
      </c>
      <c r="K155" s="52" t="s">
        <v>810</v>
      </c>
      <c r="L155" s="295">
        <f t="shared" si="15"/>
        <v>0</v>
      </c>
      <c r="P155" s="196"/>
      <c r="X155" s="552">
        <v>989</v>
      </c>
      <c r="Y155" s="286">
        <v>989</v>
      </c>
      <c r="AA155" s="386">
        <f t="shared" si="16"/>
        <v>0</v>
      </c>
      <c r="AB155" s="286">
        <f t="shared" si="17"/>
        <v>0</v>
      </c>
    </row>
    <row r="156" spans="1:28" ht="57" customHeight="1" x14ac:dyDescent="0.3">
      <c r="A156" s="212">
        <f>'Unit Data from Audit Worksheet'!A189</f>
        <v>327</v>
      </c>
      <c r="B156" s="225" t="str">
        <f>'Unit Data from Audit Worksheet'!C189</f>
        <v>WS-Capital Assets Schedule in the Notes</v>
      </c>
      <c r="C156" s="211" t="str">
        <f>'Unit Data from Audit Worksheet'!D189</f>
        <v>Land and all other non depreciable capital assets 
Exclude construction in progress</v>
      </c>
      <c r="D156" s="230"/>
      <c r="E156" s="231">
        <f>'Unit Data from Audit Worksheet'!F189</f>
        <v>0</v>
      </c>
      <c r="F156" s="80"/>
      <c r="G156" s="226"/>
      <c r="H156" s="223"/>
      <c r="I156" s="32"/>
      <c r="J156" s="222">
        <v>327</v>
      </c>
      <c r="K156" s="52" t="s">
        <v>305</v>
      </c>
      <c r="L156" s="289">
        <f t="shared" si="15"/>
        <v>0</v>
      </c>
      <c r="P156" s="196"/>
      <c r="X156" s="552">
        <v>327</v>
      </c>
      <c r="Y156" s="286">
        <v>327</v>
      </c>
      <c r="AA156" s="386">
        <f t="shared" si="16"/>
        <v>0</v>
      </c>
      <c r="AB156" s="286">
        <f t="shared" si="17"/>
        <v>0</v>
      </c>
    </row>
    <row r="157" spans="1:28" ht="57" customHeight="1" x14ac:dyDescent="0.3">
      <c r="A157" s="212">
        <f>'Unit Data from Audit Worksheet'!A190</f>
        <v>328</v>
      </c>
      <c r="B157" s="225" t="str">
        <f>'Unit Data from Audit Worksheet'!C190</f>
        <v>WS-Capital Assets Schedule in the Notes</v>
      </c>
      <c r="C157" s="211" t="str">
        <f>'Unit Data from Audit Worksheet'!D190</f>
        <v>Construction in progress</v>
      </c>
      <c r="D157" s="230"/>
      <c r="E157" s="231">
        <f>'Unit Data from Audit Worksheet'!F190</f>
        <v>0</v>
      </c>
      <c r="F157" s="80"/>
      <c r="G157" s="226"/>
      <c r="H157" s="223"/>
      <c r="I157" s="32"/>
      <c r="J157" s="222">
        <v>328</v>
      </c>
      <c r="K157" s="52" t="s">
        <v>306</v>
      </c>
      <c r="L157" s="289">
        <f t="shared" si="15"/>
        <v>0</v>
      </c>
      <c r="P157" s="196"/>
      <c r="X157" s="552">
        <v>328</v>
      </c>
      <c r="Y157" s="286">
        <v>328</v>
      </c>
      <c r="AA157" s="386">
        <f t="shared" si="16"/>
        <v>0</v>
      </c>
      <c r="AB157" s="286">
        <f t="shared" si="17"/>
        <v>0</v>
      </c>
    </row>
    <row r="158" spans="1:28" ht="46.5" customHeight="1" x14ac:dyDescent="0.3">
      <c r="A158" s="212">
        <f>'Unit Data from Audit Worksheet'!A194</f>
        <v>515</v>
      </c>
      <c r="B158" s="225" t="str">
        <f>'Unit Data from Audit Worksheet'!C194</f>
        <v>WS Capital Assets Schedule-Gross Value</v>
      </c>
      <c r="C158" s="211" t="str">
        <f>'Unit Data from Audit Worksheet'!D194</f>
        <v>Buildings</v>
      </c>
      <c r="D158" s="230"/>
      <c r="E158" s="231">
        <f>'Unit Data from Audit Worksheet'!F194</f>
        <v>0</v>
      </c>
      <c r="F158" s="80"/>
      <c r="G158" s="226"/>
      <c r="H158" s="223"/>
      <c r="I158" s="32"/>
      <c r="J158" s="222">
        <v>515</v>
      </c>
      <c r="K158" s="52" t="s">
        <v>262</v>
      </c>
      <c r="L158" s="289">
        <f t="shared" si="15"/>
        <v>0</v>
      </c>
      <c r="P158" s="196"/>
      <c r="X158" s="552">
        <v>515</v>
      </c>
      <c r="Y158" s="286">
        <v>515</v>
      </c>
      <c r="AA158" s="386">
        <f t="shared" si="16"/>
        <v>0</v>
      </c>
      <c r="AB158" s="286">
        <f t="shared" si="17"/>
        <v>0</v>
      </c>
    </row>
    <row r="159" spans="1:28" ht="46.5" customHeight="1" x14ac:dyDescent="0.3">
      <c r="A159" s="212">
        <f>'Unit Data from Audit Worksheet'!A195</f>
        <v>516</v>
      </c>
      <c r="B159" s="225" t="str">
        <f>'Unit Data from Audit Worksheet'!C195</f>
        <v>WS Capital Assets Schedule-Gross Value</v>
      </c>
      <c r="C159" s="211" t="str">
        <f>'Unit Data from Audit Worksheet'!D195</f>
        <v>Plant / distributions systems / water lines</v>
      </c>
      <c r="D159" s="230"/>
      <c r="E159" s="231">
        <f>'Unit Data from Audit Worksheet'!F195</f>
        <v>0</v>
      </c>
      <c r="F159" s="80"/>
      <c r="G159" s="226"/>
      <c r="H159" s="223"/>
      <c r="I159" s="32"/>
      <c r="J159" s="222">
        <v>516</v>
      </c>
      <c r="K159" s="52" t="s">
        <v>263</v>
      </c>
      <c r="L159" s="289">
        <f t="shared" si="15"/>
        <v>0</v>
      </c>
      <c r="P159" s="196"/>
      <c r="X159" s="552">
        <v>516</v>
      </c>
      <c r="Y159" s="286">
        <v>516</v>
      </c>
      <c r="AA159" s="386">
        <f t="shared" si="16"/>
        <v>0</v>
      </c>
      <c r="AB159" s="286">
        <f t="shared" si="17"/>
        <v>0</v>
      </c>
    </row>
    <row r="160" spans="1:28" ht="46.5" customHeight="1" x14ac:dyDescent="0.3">
      <c r="A160" s="212">
        <f>'Unit Data from Audit Worksheet'!A196</f>
        <v>517</v>
      </c>
      <c r="B160" s="225" t="str">
        <f>'Unit Data from Audit Worksheet'!C196</f>
        <v>WS Capital Assets Schedule-Gross Value</v>
      </c>
      <c r="C160" s="211" t="str">
        <f>'Unit Data from Audit Worksheet'!D196</f>
        <v>Infrastructure(other infrastructure)</v>
      </c>
      <c r="D160" s="230"/>
      <c r="E160" s="231">
        <f>'Unit Data from Audit Worksheet'!F196</f>
        <v>0</v>
      </c>
      <c r="F160" s="80"/>
      <c r="G160" s="226"/>
      <c r="H160" s="223"/>
      <c r="I160" s="32"/>
      <c r="J160" s="222">
        <v>517</v>
      </c>
      <c r="K160" s="314" t="s">
        <v>264</v>
      </c>
      <c r="L160" s="289">
        <f t="shared" si="15"/>
        <v>0</v>
      </c>
      <c r="P160" s="196"/>
      <c r="X160" s="552">
        <v>517</v>
      </c>
      <c r="Y160" s="286">
        <v>517</v>
      </c>
      <c r="AA160" s="386">
        <f t="shared" si="16"/>
        <v>0</v>
      </c>
      <c r="AB160" s="286">
        <f t="shared" si="17"/>
        <v>0</v>
      </c>
    </row>
    <row r="161" spans="1:28" ht="46.5" customHeight="1" x14ac:dyDescent="0.3">
      <c r="A161" s="212">
        <f>'Unit Data from Audit Worksheet'!A197</f>
        <v>518</v>
      </c>
      <c r="B161" s="225" t="str">
        <f>'Unit Data from Audit Worksheet'!C197</f>
        <v>WS Capital Assets Schedule-Gross Value</v>
      </c>
      <c r="C161" s="211" t="str">
        <f>'Unit Data from Audit Worksheet'!D197</f>
        <v>All other depreciable capital assets</v>
      </c>
      <c r="D161" s="230"/>
      <c r="E161" s="231">
        <f>'Unit Data from Audit Worksheet'!F197</f>
        <v>0</v>
      </c>
      <c r="F161" s="80"/>
      <c r="G161" s="226"/>
      <c r="H161" s="223"/>
      <c r="I161" s="32"/>
      <c r="J161" s="222">
        <v>518</v>
      </c>
      <c r="K161" s="314" t="s">
        <v>265</v>
      </c>
      <c r="L161" s="289">
        <f t="shared" si="15"/>
        <v>0</v>
      </c>
      <c r="P161" s="196"/>
      <c r="X161" s="552">
        <v>518</v>
      </c>
      <c r="Y161" s="286">
        <v>518</v>
      </c>
      <c r="AA161" s="386">
        <f t="shared" si="16"/>
        <v>0</v>
      </c>
      <c r="AB161" s="286">
        <f t="shared" si="17"/>
        <v>0</v>
      </c>
    </row>
    <row r="162" spans="1:28" ht="52.5" customHeight="1" x14ac:dyDescent="0.3">
      <c r="A162" s="212">
        <f>'Unit Data from Audit Worksheet'!A200</f>
        <v>519</v>
      </c>
      <c r="B162" s="225" t="str">
        <f>'Unit Data from Audit Worksheet'!C200</f>
        <v>WS Capital Assets Schedule-Annual Depreciation</v>
      </c>
      <c r="C162" s="211" t="str">
        <f>'Unit Data from Audit Worksheet'!D200</f>
        <v>Buildings annual depreciation</v>
      </c>
      <c r="D162" s="230"/>
      <c r="E162" s="231">
        <f>'Unit Data from Audit Worksheet'!F200</f>
        <v>0</v>
      </c>
      <c r="F162" s="80"/>
      <c r="G162" s="226"/>
      <c r="H162" s="223"/>
      <c r="I162" s="32"/>
      <c r="J162" s="222">
        <v>519</v>
      </c>
      <c r="K162" s="314" t="s">
        <v>266</v>
      </c>
      <c r="L162" s="289">
        <f t="shared" si="15"/>
        <v>0</v>
      </c>
      <c r="P162" s="317"/>
      <c r="X162" s="552">
        <v>519</v>
      </c>
      <c r="Y162" s="286">
        <v>519</v>
      </c>
      <c r="AA162" s="386">
        <f t="shared" si="16"/>
        <v>0</v>
      </c>
      <c r="AB162" s="286">
        <f t="shared" si="17"/>
        <v>0</v>
      </c>
    </row>
    <row r="163" spans="1:28" ht="52.5" customHeight="1" x14ac:dyDescent="0.3">
      <c r="A163" s="212">
        <f>'Unit Data from Audit Worksheet'!A201</f>
        <v>520</v>
      </c>
      <c r="B163" s="225" t="str">
        <f>'Unit Data from Audit Worksheet'!C201</f>
        <v>WS Capital Assets Schedule-Annual Depreciation</v>
      </c>
      <c r="C163" s="211" t="str">
        <f>'Unit Data from Audit Worksheet'!D201</f>
        <v>Plant / distributions systems / water lines annual depreciation</v>
      </c>
      <c r="D163" s="230"/>
      <c r="E163" s="231">
        <f>'Unit Data from Audit Worksheet'!F201</f>
        <v>0</v>
      </c>
      <c r="F163" s="80"/>
      <c r="G163" s="226"/>
      <c r="H163" s="223"/>
      <c r="I163" s="32"/>
      <c r="J163" s="222">
        <v>520</v>
      </c>
      <c r="K163" s="314" t="s">
        <v>267</v>
      </c>
      <c r="L163" s="289">
        <f t="shared" si="15"/>
        <v>0</v>
      </c>
      <c r="P163" s="320"/>
      <c r="Q163" s="318"/>
      <c r="X163" s="552">
        <v>520</v>
      </c>
      <c r="Y163" s="286">
        <v>520</v>
      </c>
      <c r="AA163" s="386">
        <f t="shared" si="16"/>
        <v>0</v>
      </c>
      <c r="AB163" s="286">
        <f t="shared" si="17"/>
        <v>0</v>
      </c>
    </row>
    <row r="164" spans="1:28" ht="52.5" customHeight="1" x14ac:dyDescent="0.3">
      <c r="A164" s="212">
        <f>'Unit Data from Audit Worksheet'!A202</f>
        <v>521</v>
      </c>
      <c r="B164" s="225" t="str">
        <f>'Unit Data from Audit Worksheet'!C202</f>
        <v>WS Capital Assets Schedule-Annual Depreciation</v>
      </c>
      <c r="C164" s="211" t="str">
        <f>'Unit Data from Audit Worksheet'!D202</f>
        <v>Infrastructure(other infrastructure) annual depreciation</v>
      </c>
      <c r="D164" s="230"/>
      <c r="E164" s="231">
        <f>'Unit Data from Audit Worksheet'!F202</f>
        <v>0</v>
      </c>
      <c r="F164" s="80"/>
      <c r="G164" s="226"/>
      <c r="H164" s="223"/>
      <c r="I164" s="32"/>
      <c r="J164" s="222">
        <v>521</v>
      </c>
      <c r="K164" s="52" t="s">
        <v>268</v>
      </c>
      <c r="L164" s="289">
        <f t="shared" si="15"/>
        <v>0</v>
      </c>
      <c r="P164" s="196"/>
      <c r="Q164" s="187"/>
      <c r="X164" s="552">
        <v>521</v>
      </c>
      <c r="Y164" s="286">
        <v>521</v>
      </c>
      <c r="AA164" s="386">
        <f t="shared" si="16"/>
        <v>0</v>
      </c>
      <c r="AB164" s="286">
        <f t="shared" si="17"/>
        <v>0</v>
      </c>
    </row>
    <row r="165" spans="1:28" ht="42.75" customHeight="1" x14ac:dyDescent="0.3">
      <c r="A165" s="212">
        <f>'Unit Data from Audit Worksheet'!A203</f>
        <v>522</v>
      </c>
      <c r="B165" s="225" t="str">
        <f>'Unit Data from Audit Worksheet'!C203</f>
        <v>WS Capital Assets Schedule-Annual Depreciation</v>
      </c>
      <c r="C165" s="211" t="str">
        <f>'Unit Data from Audit Worksheet'!D203</f>
        <v>All other depreciable capital assets annual depreciation</v>
      </c>
      <c r="D165" s="230"/>
      <c r="E165" s="231">
        <f>'Unit Data from Audit Worksheet'!F203</f>
        <v>0</v>
      </c>
      <c r="F165" s="80"/>
      <c r="G165" s="226"/>
      <c r="H165" s="223"/>
      <c r="I165" s="32"/>
      <c r="J165" s="222">
        <v>522</v>
      </c>
      <c r="K165" s="52" t="s">
        <v>269</v>
      </c>
      <c r="L165" s="289">
        <f t="shared" si="15"/>
        <v>0</v>
      </c>
      <c r="P165" s="317"/>
      <c r="S165" s="18"/>
      <c r="T165" s="18"/>
      <c r="U165" s="18"/>
      <c r="V165" s="18"/>
      <c r="X165" s="552">
        <v>522</v>
      </c>
      <c r="Y165" s="286">
        <v>522</v>
      </c>
      <c r="Z165" s="18"/>
      <c r="AA165" s="386">
        <f t="shared" si="16"/>
        <v>0</v>
      </c>
      <c r="AB165" s="286">
        <f t="shared" si="17"/>
        <v>0</v>
      </c>
    </row>
    <row r="166" spans="1:28" ht="42.75" customHeight="1" x14ac:dyDescent="0.3">
      <c r="A166" s="212">
        <f>'Unit Data from Audit Worksheet'!A206</f>
        <v>523</v>
      </c>
      <c r="B166" s="225" t="str">
        <f>'Unit Data from Audit Worksheet'!C206</f>
        <v>WS Capital Assets Schedule-Accumulated Depreciation</v>
      </c>
      <c r="C166" s="211" t="str">
        <f>'Unit Data from Audit Worksheet'!D206</f>
        <v>Building accumulated depreciation</v>
      </c>
      <c r="D166" s="230"/>
      <c r="E166" s="231">
        <f>'Unit Data from Audit Worksheet'!F206</f>
        <v>0</v>
      </c>
      <c r="F166" s="80"/>
      <c r="G166" s="226"/>
      <c r="H166" s="223"/>
      <c r="I166" s="32"/>
      <c r="J166" s="222">
        <v>523</v>
      </c>
      <c r="K166" s="52" t="s">
        <v>270</v>
      </c>
      <c r="L166" s="289">
        <f t="shared" si="15"/>
        <v>0</v>
      </c>
      <c r="P166" s="317"/>
      <c r="S166" s="18"/>
      <c r="T166" s="18"/>
      <c r="U166" s="18"/>
      <c r="V166" s="18"/>
      <c r="X166" s="552">
        <v>523</v>
      </c>
      <c r="Y166" s="286">
        <v>523</v>
      </c>
      <c r="Z166" s="18"/>
      <c r="AA166" s="386">
        <f t="shared" si="16"/>
        <v>0</v>
      </c>
      <c r="AB166" s="286">
        <f t="shared" si="17"/>
        <v>0</v>
      </c>
    </row>
    <row r="167" spans="1:28" ht="51" customHeight="1" x14ac:dyDescent="0.3">
      <c r="A167" s="212">
        <f>'Unit Data from Audit Worksheet'!A207</f>
        <v>524</v>
      </c>
      <c r="B167" s="225" t="str">
        <f>'Unit Data from Audit Worksheet'!C207</f>
        <v>WS Capital Assets Schedule-Accumulated Depreciation</v>
      </c>
      <c r="C167" s="211" t="str">
        <f>'Unit Data from Audit Worksheet'!D207</f>
        <v>Plant / distributions systems / water lines accumulated depreciation</v>
      </c>
      <c r="D167" s="230"/>
      <c r="E167" s="231">
        <f>'Unit Data from Audit Worksheet'!F207</f>
        <v>0</v>
      </c>
      <c r="F167" s="80"/>
      <c r="G167" s="226"/>
      <c r="H167" s="223"/>
      <c r="I167" s="32"/>
      <c r="J167" s="222">
        <v>524</v>
      </c>
      <c r="K167" s="52" t="s">
        <v>271</v>
      </c>
      <c r="L167" s="289">
        <f t="shared" si="15"/>
        <v>0</v>
      </c>
      <c r="P167" s="317"/>
      <c r="S167" s="18"/>
      <c r="T167" s="18"/>
      <c r="U167" s="18"/>
      <c r="V167" s="18"/>
      <c r="X167" s="552">
        <v>524</v>
      </c>
      <c r="Y167" s="286">
        <v>524</v>
      </c>
      <c r="Z167" s="18"/>
      <c r="AA167" s="386">
        <f t="shared" si="16"/>
        <v>0</v>
      </c>
      <c r="AB167" s="286">
        <f t="shared" si="17"/>
        <v>0</v>
      </c>
    </row>
    <row r="168" spans="1:28" ht="57.75" customHeight="1" x14ac:dyDescent="0.3">
      <c r="A168" s="212">
        <f>'Unit Data from Audit Worksheet'!A208</f>
        <v>525</v>
      </c>
      <c r="B168" s="225" t="str">
        <f>'Unit Data from Audit Worksheet'!C208</f>
        <v>WS Capital Assets Schedule-Accumulated Depreciation</v>
      </c>
      <c r="C168" s="211" t="str">
        <f>'Unit Data from Audit Worksheet'!D208</f>
        <v>Infrastructure(other infrastructure) accumulated depreciation</v>
      </c>
      <c r="D168" s="230"/>
      <c r="E168" s="231">
        <f>'Unit Data from Audit Worksheet'!F208</f>
        <v>0</v>
      </c>
      <c r="F168" s="80"/>
      <c r="G168" s="226"/>
      <c r="H168" s="223"/>
      <c r="I168" s="32"/>
      <c r="J168" s="222">
        <v>525</v>
      </c>
      <c r="K168" s="52" t="s">
        <v>272</v>
      </c>
      <c r="L168" s="289">
        <f t="shared" si="15"/>
        <v>0</v>
      </c>
      <c r="P168" s="202"/>
      <c r="Q168" s="318"/>
      <c r="X168" s="552">
        <v>525</v>
      </c>
      <c r="Y168" s="286">
        <v>525</v>
      </c>
      <c r="AA168" s="386">
        <f t="shared" si="16"/>
        <v>0</v>
      </c>
      <c r="AB168" s="286">
        <f t="shared" si="17"/>
        <v>0</v>
      </c>
    </row>
    <row r="169" spans="1:28" ht="48" customHeight="1" x14ac:dyDescent="0.3">
      <c r="A169" s="212">
        <f>'Unit Data from Audit Worksheet'!A209</f>
        <v>526</v>
      </c>
      <c r="B169" s="225" t="str">
        <f>'Unit Data from Audit Worksheet'!C209</f>
        <v>WS Capital Assets Schedule-Accumulated Depreciation</v>
      </c>
      <c r="C169" s="211" t="str">
        <f>'Unit Data from Audit Worksheet'!D209</f>
        <v>All other depreciable capital assets accumulated depreciation</v>
      </c>
      <c r="D169" s="230"/>
      <c r="E169" s="231">
        <f>'Unit Data from Audit Worksheet'!F209</f>
        <v>0</v>
      </c>
      <c r="F169" s="80"/>
      <c r="G169" s="226"/>
      <c r="H169" s="223"/>
      <c r="I169" s="32"/>
      <c r="J169" s="222">
        <v>526</v>
      </c>
      <c r="K169" s="52" t="s">
        <v>273</v>
      </c>
      <c r="L169" s="289">
        <f t="shared" si="15"/>
        <v>0</v>
      </c>
      <c r="P169" s="196"/>
      <c r="Q169" s="3"/>
      <c r="X169" s="552">
        <v>526</v>
      </c>
      <c r="Y169" s="286">
        <v>526</v>
      </c>
      <c r="AA169" s="386">
        <f t="shared" si="16"/>
        <v>0</v>
      </c>
      <c r="AB169" s="286">
        <f t="shared" si="17"/>
        <v>0</v>
      </c>
    </row>
    <row r="170" spans="1:28" ht="50.25" customHeight="1" x14ac:dyDescent="0.3">
      <c r="A170" s="212">
        <f>'Unit Data from Audit Worksheet'!A214</f>
        <v>527</v>
      </c>
      <c r="B170" s="225" t="str">
        <f>'Unit Data from Audit Worksheet'!C214</f>
        <v>Electric Assets</v>
      </c>
      <c r="C170" s="211" t="str">
        <f>'Unit Data from Audit Worksheet'!D214</f>
        <v>Total Assets Gross value not being depreciated for Electric Fund</v>
      </c>
      <c r="D170" s="230"/>
      <c r="E170" s="231">
        <f>'Unit Data from Audit Worksheet'!F214</f>
        <v>0</v>
      </c>
      <c r="F170" s="80"/>
      <c r="G170" s="226"/>
      <c r="H170" s="223"/>
      <c r="I170" s="32"/>
      <c r="J170" s="222">
        <v>527</v>
      </c>
      <c r="K170" s="52" t="s">
        <v>274</v>
      </c>
      <c r="L170" s="289">
        <f t="shared" si="15"/>
        <v>0</v>
      </c>
      <c r="P170" s="196"/>
      <c r="X170" s="552">
        <v>527</v>
      </c>
      <c r="Y170" s="286">
        <v>527</v>
      </c>
      <c r="AA170" s="386">
        <f t="shared" si="16"/>
        <v>0</v>
      </c>
      <c r="AB170" s="286">
        <f t="shared" si="17"/>
        <v>0</v>
      </c>
    </row>
    <row r="171" spans="1:28" ht="54.75" customHeight="1" x14ac:dyDescent="0.3">
      <c r="A171" s="212">
        <f>'Unit Data from Audit Worksheet'!A215</f>
        <v>356</v>
      </c>
      <c r="B171" s="225" t="str">
        <f>'Unit Data from Audit Worksheet'!C215</f>
        <v>Electric Assets</v>
      </c>
      <c r="C171" s="211" t="str">
        <f>'Unit Data from Audit Worksheet'!D215</f>
        <v>Total Assets Gross value of assets being depreciated for Electric Fund</v>
      </c>
      <c r="D171" s="230"/>
      <c r="E171" s="231">
        <f>'Unit Data from Audit Worksheet'!F215</f>
        <v>0</v>
      </c>
      <c r="F171" s="80"/>
      <c r="G171" s="226"/>
      <c r="H171" s="223"/>
      <c r="I171" s="32"/>
      <c r="J171" s="222">
        <v>356</v>
      </c>
      <c r="K171" s="52" t="s">
        <v>307</v>
      </c>
      <c r="L171" s="289">
        <f t="shared" si="15"/>
        <v>0</v>
      </c>
      <c r="P171" s="196"/>
      <c r="X171" s="552">
        <v>356</v>
      </c>
      <c r="Y171" s="286">
        <v>356</v>
      </c>
      <c r="AA171" s="386">
        <f t="shared" si="16"/>
        <v>0</v>
      </c>
      <c r="AB171" s="286">
        <f t="shared" si="17"/>
        <v>0</v>
      </c>
    </row>
    <row r="172" spans="1:28" ht="54.75" customHeight="1" x14ac:dyDescent="0.3">
      <c r="A172" s="212">
        <f>'Unit Data from Audit Worksheet'!A216</f>
        <v>357</v>
      </c>
      <c r="B172" s="225" t="str">
        <f>'Unit Data from Audit Worksheet'!C216</f>
        <v>Electric Accumulated Depreciation</v>
      </c>
      <c r="C172" s="211" t="str">
        <f>'Unit Data from Audit Worksheet'!D216</f>
        <v>Total accumulated depreciation for Electric Fund assets</v>
      </c>
      <c r="D172" s="230"/>
      <c r="E172" s="231">
        <f>'Unit Data from Audit Worksheet'!F216</f>
        <v>0</v>
      </c>
      <c r="F172" s="80"/>
      <c r="G172" s="226"/>
      <c r="H172" s="223"/>
      <c r="I172" s="32"/>
      <c r="J172" s="222">
        <v>357</v>
      </c>
      <c r="K172" s="52" t="s">
        <v>308</v>
      </c>
      <c r="L172" s="289">
        <f t="shared" si="15"/>
        <v>0</v>
      </c>
      <c r="P172" s="196"/>
      <c r="X172" s="552">
        <v>357</v>
      </c>
      <c r="Y172" s="286">
        <v>357</v>
      </c>
      <c r="AA172" s="386">
        <f t="shared" si="16"/>
        <v>0</v>
      </c>
      <c r="AB172" s="286">
        <f t="shared" si="17"/>
        <v>0</v>
      </c>
    </row>
    <row r="173" spans="1:28" ht="191.25" customHeight="1" x14ac:dyDescent="0.3">
      <c r="A173" s="212">
        <f>'Unit Data from Audit Worksheet'!A218</f>
        <v>337</v>
      </c>
      <c r="B173" s="225" t="str">
        <f>'Unit Data from Audit Worksheet'!C218</f>
        <v>Long-Term Liability Note - Governmental Activities</v>
      </c>
      <c r="C173" s="225"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0"/>
      <c r="E173" s="231">
        <f>'Unit Data from Audit Worksheet'!F218</f>
        <v>0</v>
      </c>
      <c r="F173" s="224">
        <f>IF(L173&lt;0,"Error: Enter as a positive.",)</f>
        <v>0</v>
      </c>
      <c r="G173" s="226"/>
      <c r="H173" s="223"/>
      <c r="I173" s="32"/>
      <c r="J173" s="222">
        <v>337</v>
      </c>
      <c r="K173" s="221" t="s">
        <v>245</v>
      </c>
      <c r="L173" s="289">
        <f t="shared" si="15"/>
        <v>0</v>
      </c>
      <c r="P173" s="196"/>
      <c r="X173" s="552">
        <v>337</v>
      </c>
      <c r="Y173" s="286">
        <v>337</v>
      </c>
      <c r="AA173" s="386">
        <f t="shared" si="16"/>
        <v>0</v>
      </c>
      <c r="AB173" s="286">
        <f t="shared" si="17"/>
        <v>0</v>
      </c>
    </row>
    <row r="174" spans="1:28" ht="76.5" customHeight="1" x14ac:dyDescent="0.3">
      <c r="A174" s="212">
        <f>'Unit Data from Audit Worksheet'!A219</f>
        <v>343</v>
      </c>
      <c r="B174" s="225" t="str">
        <f>'Unit Data from Audit Worksheet'!C219</f>
        <v>Long-Term Liability Note - Governmental Activities</v>
      </c>
      <c r="C174" s="211" t="str">
        <f>'Unit Data from Audit Worksheet'!D219</f>
        <v>Decreases made (principal paid) on Long-Term Debt in current fiscal year.  Reduce for debt refunding.</v>
      </c>
      <c r="D174" s="230"/>
      <c r="E174" s="231">
        <f>'Unit Data from Audit Worksheet'!F219</f>
        <v>0</v>
      </c>
      <c r="F174" s="224">
        <f>IF(L174&lt;0,"Error: Enter as a positive.",)</f>
        <v>0</v>
      </c>
      <c r="G174" s="226"/>
      <c r="H174" s="223"/>
      <c r="I174" s="32"/>
      <c r="J174" s="222">
        <v>343</v>
      </c>
      <c r="K174" s="221" t="s">
        <v>246</v>
      </c>
      <c r="L174" s="289">
        <f t="shared" si="15"/>
        <v>0</v>
      </c>
      <c r="P174" s="196"/>
      <c r="X174" s="552">
        <v>343</v>
      </c>
      <c r="Y174" s="294">
        <v>343</v>
      </c>
      <c r="AA174" s="386">
        <f t="shared" si="16"/>
        <v>0</v>
      </c>
      <c r="AB174" s="286">
        <f t="shared" si="17"/>
        <v>0</v>
      </c>
    </row>
    <row r="175" spans="1:28" ht="193.5" customHeight="1" x14ac:dyDescent="0.3">
      <c r="A175" s="212">
        <f>'Unit Data from Audit Worksheet'!A220</f>
        <v>82</v>
      </c>
      <c r="B175" s="225" t="str">
        <f>'Unit Data from Audit Worksheet'!C220</f>
        <v>Long-Term Liability Note - Water Sewer Activities</v>
      </c>
      <c r="C175" s="225" t="str">
        <f>'Unit Data from Audit Worksheet'!D220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0"/>
      <c r="E175" s="231">
        <f>'Unit Data from Audit Worksheet'!F220</f>
        <v>0</v>
      </c>
      <c r="F175" s="224">
        <f>IF(L175&lt;0,"Error: Enter as a positive.",)</f>
        <v>0</v>
      </c>
      <c r="G175" s="226"/>
      <c r="H175" s="223"/>
      <c r="I175" s="32"/>
      <c r="J175" s="222">
        <v>82</v>
      </c>
      <c r="K175" s="62" t="s">
        <v>309</v>
      </c>
      <c r="L175" s="289">
        <f t="shared" si="15"/>
        <v>0</v>
      </c>
      <c r="P175" s="196"/>
      <c r="X175" s="552">
        <v>82</v>
      </c>
      <c r="Y175" s="286">
        <v>82</v>
      </c>
      <c r="AA175" s="386">
        <f t="shared" si="16"/>
        <v>0</v>
      </c>
      <c r="AB175" s="286">
        <f t="shared" si="17"/>
        <v>0</v>
      </c>
    </row>
    <row r="176" spans="1:28" ht="206.25" customHeight="1" x14ac:dyDescent="0.3">
      <c r="A176" s="212">
        <f>'Unit Data from Audit Worksheet'!A221</f>
        <v>359</v>
      </c>
      <c r="B176" s="225" t="str">
        <f>'Unit Data from Audit Worksheet'!C221</f>
        <v>Long-Term Liability Note - Electric Activities</v>
      </c>
      <c r="C176" s="225" t="str">
        <f>'Unit Data from Audit Worksheet'!D221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0"/>
      <c r="E176" s="231">
        <f>'Unit Data from Audit Worksheet'!F221</f>
        <v>0</v>
      </c>
      <c r="F176" s="224">
        <f>IF(L176&lt;0,"Error: Enter as a positive.",)</f>
        <v>0</v>
      </c>
      <c r="G176" s="226"/>
      <c r="H176" s="223"/>
      <c r="I176" s="32"/>
      <c r="J176" s="222">
        <v>359</v>
      </c>
      <c r="K176" s="221" t="s">
        <v>247</v>
      </c>
      <c r="L176" s="289">
        <f t="shared" si="15"/>
        <v>0</v>
      </c>
      <c r="P176" s="196"/>
      <c r="X176" s="552">
        <v>359</v>
      </c>
      <c r="Y176" s="286">
        <v>359</v>
      </c>
      <c r="AA176" s="386">
        <f t="shared" si="16"/>
        <v>0</v>
      </c>
      <c r="AB176" s="286">
        <f t="shared" si="17"/>
        <v>0</v>
      </c>
    </row>
    <row r="177" spans="1:28" ht="76.5" customHeight="1" x14ac:dyDescent="0.3">
      <c r="A177" s="212">
        <f>'Unit Data from Audit Worksheet'!A223</f>
        <v>622</v>
      </c>
      <c r="B177" s="225" t="str">
        <f>'Unit Data from Audit Worksheet'!C223</f>
        <v>FS., Pension note or RSI</v>
      </c>
      <c r="C177" s="225" t="str">
        <f>'Unit Data from Audit Worksheet'!D223</f>
        <v xml:space="preserve">Unit's Share of Net Pension Liability ($s)
- unit of government is a participating employer in the State's TSERS (Teachers' and State Employees' Retirement System) or the LGERS (Local Governmental Employees' Retirement System).  </v>
      </c>
      <c r="D177" s="230"/>
      <c r="E177" s="231">
        <f>'Unit Data from Audit Worksheet'!F223</f>
        <v>0</v>
      </c>
      <c r="F177" s="224"/>
      <c r="G177" s="226"/>
      <c r="H177" s="223"/>
      <c r="I177" s="32"/>
      <c r="J177" s="222">
        <v>622</v>
      </c>
      <c r="K177" s="228" t="s">
        <v>359</v>
      </c>
      <c r="L177" s="289">
        <f t="shared" si="15"/>
        <v>0</v>
      </c>
      <c r="P177" s="196"/>
      <c r="S177" s="18"/>
      <c r="T177" s="18"/>
      <c r="U177" s="18"/>
      <c r="V177" s="18"/>
      <c r="X177" s="552">
        <v>622</v>
      </c>
      <c r="Y177" s="286">
        <v>622</v>
      </c>
      <c r="Z177" s="18"/>
      <c r="AA177" s="386">
        <f t="shared" si="16"/>
        <v>0</v>
      </c>
      <c r="AB177" s="286">
        <f t="shared" si="17"/>
        <v>0</v>
      </c>
    </row>
    <row r="178" spans="1:28" ht="138.75" customHeight="1" x14ac:dyDescent="0.3">
      <c r="A178" s="212">
        <f>'Unit Data from Audit Worksheet'!A224</f>
        <v>577</v>
      </c>
      <c r="B178" s="225" t="str">
        <f>'Unit Data from Audit Worksheet'!C224</f>
        <v>Pension Notes</v>
      </c>
      <c r="C178" s="225" t="str">
        <f>'Unit Data from Audit Worksheet'!D224</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0"/>
      <c r="E178" s="231">
        <f>'Unit Data from Audit Worksheet'!F224</f>
        <v>0</v>
      </c>
      <c r="F178" s="224"/>
      <c r="G178" s="226"/>
      <c r="H178" s="223"/>
      <c r="I178" s="32"/>
      <c r="J178" s="222">
        <v>577</v>
      </c>
      <c r="K178" s="228" t="s">
        <v>331</v>
      </c>
      <c r="L178" s="289">
        <f t="shared" si="15"/>
        <v>0</v>
      </c>
      <c r="P178" s="196"/>
      <c r="S178" s="18"/>
      <c r="T178" s="18"/>
      <c r="U178" s="18"/>
      <c r="V178" s="18"/>
      <c r="X178" s="552">
        <v>577</v>
      </c>
      <c r="Y178" s="286">
        <v>577</v>
      </c>
      <c r="Z178" s="18"/>
      <c r="AA178" s="386">
        <f t="shared" si="16"/>
        <v>0</v>
      </c>
      <c r="AB178" s="286">
        <f t="shared" si="17"/>
        <v>0</v>
      </c>
    </row>
    <row r="179" spans="1:28" ht="115.5" customHeight="1" x14ac:dyDescent="0.3">
      <c r="A179" s="315">
        <f>'Unit Data from Audit Worksheet'!A226</f>
        <v>598</v>
      </c>
      <c r="B179" s="225" t="str">
        <f>'Unit Data from Audit Worksheet'!C226</f>
        <v>LEO Note</v>
      </c>
      <c r="C179" s="211" t="str">
        <f>'Unit Data from Audit Worksheet'!D226</f>
        <v>Amount the unit paid out in benefits under LEO special separation allowance to retired law enforcement officers this fiscal year if you report under GASB 68 or GASB 73.</v>
      </c>
      <c r="D179" s="230"/>
      <c r="E179" s="231">
        <f>'Unit Data from Audit Worksheet'!F226</f>
        <v>0</v>
      </c>
      <c r="F179" s="224">
        <f>IF(L179&lt;0,"Error: Enter as a positive.",)</f>
        <v>0</v>
      </c>
      <c r="G179" s="226"/>
      <c r="H179" s="223"/>
      <c r="I179" s="32"/>
      <c r="J179" s="222">
        <v>598</v>
      </c>
      <c r="K179" s="87" t="s">
        <v>343</v>
      </c>
      <c r="L179" s="289">
        <f t="shared" si="15"/>
        <v>0</v>
      </c>
      <c r="P179" s="196"/>
      <c r="S179" s="18"/>
      <c r="T179" s="18"/>
      <c r="U179" s="18"/>
      <c r="V179" s="18"/>
      <c r="X179" s="552">
        <v>598</v>
      </c>
      <c r="Y179" s="286">
        <v>598</v>
      </c>
      <c r="Z179" s="18"/>
      <c r="AA179" s="386">
        <f t="shared" si="16"/>
        <v>0</v>
      </c>
      <c r="AB179" s="286">
        <f t="shared" si="17"/>
        <v>0</v>
      </c>
    </row>
    <row r="180" spans="1:28" ht="84" customHeight="1" x14ac:dyDescent="0.3">
      <c r="A180" s="212">
        <f>'Unit Data from Audit Worksheet'!A227</f>
        <v>599</v>
      </c>
      <c r="B180" s="225" t="str">
        <f>'Unit Data from Audit Worksheet'!C227</f>
        <v>LEO Note</v>
      </c>
      <c r="C180" s="211" t="str">
        <f>'Unit Data from Audit Worksheet'!D227</f>
        <v>The total LEO pension liability if you report under GASB 68 or GASB 73.</v>
      </c>
      <c r="D180" s="230"/>
      <c r="E180" s="231">
        <f>'Unit Data from Audit Worksheet'!F227</f>
        <v>0</v>
      </c>
      <c r="F180" s="224">
        <f>IF(L180&lt;0,"Error: Enter as a positive.",)</f>
        <v>0</v>
      </c>
      <c r="G180" s="226"/>
      <c r="H180" s="223"/>
      <c r="I180" s="32"/>
      <c r="J180" s="222">
        <v>599</v>
      </c>
      <c r="K180" s="86" t="s">
        <v>342</v>
      </c>
      <c r="L180" s="289">
        <f t="shared" si="15"/>
        <v>0</v>
      </c>
      <c r="P180" s="196"/>
      <c r="X180" s="552">
        <v>599</v>
      </c>
      <c r="Y180" s="286">
        <v>599</v>
      </c>
      <c r="AA180" s="386">
        <f t="shared" si="16"/>
        <v>0</v>
      </c>
      <c r="AB180" s="286">
        <f t="shared" si="17"/>
        <v>0</v>
      </c>
    </row>
    <row r="181" spans="1:28" ht="102.75" customHeight="1" x14ac:dyDescent="0.3">
      <c r="A181" s="212">
        <f>'Unit Data from Audit Worksheet'!A228</f>
        <v>602</v>
      </c>
      <c r="B181" s="225" t="str">
        <f>'Unit Data from Audit Worksheet'!C228</f>
        <v>LEO Note</v>
      </c>
      <c r="C181" s="211" t="str">
        <f>'Unit Data from Audit Worksheet'!D228</f>
        <v>If you have LEO pension assets and are reporting under GASB 68 please enter "Plan Fiduciary Net Position" which can be found on your RSI schedules and the Notes.</v>
      </c>
      <c r="D181" s="230"/>
      <c r="E181" s="231">
        <f>'Unit Data from Audit Worksheet'!F228</f>
        <v>0</v>
      </c>
      <c r="F181" s="224">
        <f>IF(L181&lt;0,"Error: Enter as a positive.",)</f>
        <v>0</v>
      </c>
      <c r="G181" s="226"/>
      <c r="H181" s="223"/>
      <c r="I181" s="32"/>
      <c r="J181" s="222">
        <v>602</v>
      </c>
      <c r="K181" s="23" t="s">
        <v>344</v>
      </c>
      <c r="L181" s="289">
        <f t="shared" si="15"/>
        <v>0</v>
      </c>
      <c r="P181" s="196"/>
      <c r="X181" s="552">
        <v>602</v>
      </c>
      <c r="Y181" s="286">
        <v>602</v>
      </c>
      <c r="AA181" s="386">
        <f t="shared" si="16"/>
        <v>0</v>
      </c>
      <c r="AB181" s="286">
        <f t="shared" si="17"/>
        <v>0</v>
      </c>
    </row>
    <row r="182" spans="1:28" ht="123" customHeight="1" x14ac:dyDescent="0.3">
      <c r="A182" s="212">
        <f>'Unit Data from Audit Worksheet'!A229</f>
        <v>619</v>
      </c>
      <c r="B182" s="225" t="str">
        <f>'Unit Data from Audit Worksheet'!C229</f>
        <v>LEO
RSI</v>
      </c>
      <c r="C182" s="87" t="str">
        <f>'Unit Data from Audit Worksheet'!D229</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Worksheet'!F229</f>
        <v>0</v>
      </c>
      <c r="F182" s="224" t="str">
        <f>IF(H182=L182,"","Column L does not equal Column H")</f>
        <v/>
      </c>
      <c r="G182" s="226"/>
      <c r="H182" s="95">
        <f>ROUND(IFERROR((L181/L180)*100,0),1)</f>
        <v>0</v>
      </c>
      <c r="I182" s="32"/>
      <c r="J182" s="214">
        <v>619</v>
      </c>
      <c r="K182" s="94" t="s">
        <v>449</v>
      </c>
      <c r="L182" s="732">
        <f t="shared" si="15"/>
        <v>0</v>
      </c>
      <c r="P182" s="196"/>
      <c r="X182" s="552">
        <v>619</v>
      </c>
      <c r="Y182" s="286">
        <v>619</v>
      </c>
      <c r="AA182" s="386">
        <f t="shared" si="16"/>
        <v>0</v>
      </c>
      <c r="AB182" s="286">
        <f t="shared" si="17"/>
        <v>0</v>
      </c>
    </row>
    <row r="183" spans="1:28" ht="113.25" customHeight="1" x14ac:dyDescent="0.3">
      <c r="A183" s="212">
        <v>621</v>
      </c>
      <c r="B183" s="51" t="s">
        <v>353</v>
      </c>
      <c r="C183" s="319" t="str">
        <f>'Unit Data from Audit Worksheet'!D231</f>
        <v xml:space="preserve">Unit's share of Retirement Health Benefit Fund Net OPEB Liability ($s)
- unit of government is a participating employer in the State's RHBF </v>
      </c>
      <c r="D183" s="88"/>
      <c r="E183" s="231">
        <f>'Unit Data from Audit Worksheet'!F231</f>
        <v>0</v>
      </c>
      <c r="F183" s="224">
        <f>IF(L183&lt;0,"Error: Enter as a positive.",)</f>
        <v>0</v>
      </c>
      <c r="G183" s="120"/>
      <c r="H183" s="223"/>
      <c r="I183" s="32"/>
      <c r="J183" s="320">
        <v>621</v>
      </c>
      <c r="K183" s="121" t="s">
        <v>453</v>
      </c>
      <c r="L183" s="289">
        <f t="shared" si="15"/>
        <v>0</v>
      </c>
      <c r="P183" s="197"/>
      <c r="X183" s="552">
        <v>621</v>
      </c>
      <c r="Y183" s="286">
        <v>621</v>
      </c>
      <c r="AA183" s="386">
        <f t="shared" si="16"/>
        <v>0</v>
      </c>
      <c r="AB183" s="286">
        <f t="shared" si="17"/>
        <v>0</v>
      </c>
    </row>
    <row r="184" spans="1:28" s="18" customFormat="1" ht="127.5" customHeight="1" x14ac:dyDescent="0.3">
      <c r="A184" s="315">
        <f>'Unit Data from Audit Worksheet'!A232</f>
        <v>547</v>
      </c>
      <c r="B184" s="225" t="str">
        <f>'Unit Data from Audit Worksheet'!C232</f>
        <v>OPEB Note</v>
      </c>
      <c r="C184" s="225" t="str">
        <f>'Unit Data from Audit Worksheet'!D232</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0"/>
      <c r="E184" s="231">
        <f>'Unit Data from Audit Worksheet'!F232</f>
        <v>0</v>
      </c>
      <c r="F184" s="224" t="str">
        <f>IF(L187&lt;1,"Please answer this question","")</f>
        <v>Please answer this question</v>
      </c>
      <c r="G184" s="226"/>
      <c r="H184" s="223"/>
      <c r="I184" s="32"/>
      <c r="J184" s="222">
        <v>547</v>
      </c>
      <c r="K184" s="321" t="s">
        <v>297</v>
      </c>
      <c r="L184" s="289">
        <f t="shared" si="15"/>
        <v>0</v>
      </c>
      <c r="M184"/>
      <c r="P184" s="197"/>
      <c r="Q184" s="279"/>
      <c r="R184" s="3"/>
      <c r="S184" s="3"/>
      <c r="T184" s="3"/>
      <c r="U184" s="3"/>
      <c r="V184" s="3"/>
      <c r="W184" s="3"/>
      <c r="X184" s="552">
        <v>547</v>
      </c>
      <c r="Y184" s="286">
        <v>547</v>
      </c>
      <c r="Z184" s="3"/>
      <c r="AA184" s="386">
        <f t="shared" si="16"/>
        <v>0</v>
      </c>
      <c r="AB184" s="286">
        <f t="shared" si="17"/>
        <v>0</v>
      </c>
    </row>
    <row r="185" spans="1:28" s="18" customFormat="1" ht="99" customHeight="1" x14ac:dyDescent="0.3">
      <c r="A185" s="212">
        <f>'Unit Data from Audit Worksheet'!A233</f>
        <v>659</v>
      </c>
      <c r="B185" s="225" t="str">
        <f>'Unit Data from Audit Worksheet'!C233</f>
        <v>OPEB
 Note or RSI</v>
      </c>
      <c r="C185" s="211" t="str">
        <f>'Unit Data from Audit Worksheet'!D233</f>
        <v>Total OPEB benefits - total OPEB liability
If you do not provide benefit, please enter 0</v>
      </c>
      <c r="D185" s="230"/>
      <c r="E185" s="231">
        <f>'Unit Data from Audit Worksheet'!F233</f>
        <v>0</v>
      </c>
      <c r="F185" s="224">
        <f>IF(L185&lt;0,"Error: Enter as a positive.",)</f>
        <v>0</v>
      </c>
      <c r="G185" s="322" t="s">
        <v>1557</v>
      </c>
      <c r="H185" s="223"/>
      <c r="I185" s="32"/>
      <c r="J185" s="214">
        <v>659</v>
      </c>
      <c r="K185" s="213" t="s">
        <v>418</v>
      </c>
      <c r="L185" s="302">
        <f t="shared" si="15"/>
        <v>0</v>
      </c>
      <c r="M185"/>
      <c r="P185" s="197"/>
      <c r="Q185" s="279"/>
      <c r="R185" s="3"/>
      <c r="S185" s="3"/>
      <c r="T185" s="3"/>
      <c r="U185" s="3"/>
      <c r="V185" s="3"/>
      <c r="W185" s="3"/>
      <c r="X185" s="552">
        <v>659</v>
      </c>
      <c r="Y185" s="286">
        <v>659</v>
      </c>
      <c r="Z185" s="3"/>
      <c r="AA185" s="386">
        <f t="shared" si="16"/>
        <v>0</v>
      </c>
      <c r="AB185" s="286">
        <f t="shared" si="17"/>
        <v>0</v>
      </c>
    </row>
    <row r="186" spans="1:28" s="18" customFormat="1" ht="131.25" customHeight="1" x14ac:dyDescent="0.3">
      <c r="A186" s="212">
        <f>'Unit Data from Audit Worksheet'!A234</f>
        <v>660</v>
      </c>
      <c r="B186" s="225" t="str">
        <f>'Unit Data from Audit Worksheet'!C234</f>
        <v>OPEB
 Note or RSI</v>
      </c>
      <c r="C186" s="211" t="str">
        <f>'Unit Data from Audit Worksheet'!D234</f>
        <v>Total OPEB benefits- OPEB plan fiduciary net position
If no fiduciary net position, enter 0</v>
      </c>
      <c r="D186" s="230"/>
      <c r="E186" s="231">
        <f>'Unit Data from Audit Worksheet'!F234</f>
        <v>0</v>
      </c>
      <c r="F186" s="220">
        <f>IF(L186&lt;0,"Note: Number is normally positive.",)</f>
        <v>0</v>
      </c>
      <c r="G186" s="322" t="s">
        <v>1557</v>
      </c>
      <c r="H186" s="223"/>
      <c r="I186" s="32"/>
      <c r="J186" s="214">
        <v>660</v>
      </c>
      <c r="K186" s="213" t="s">
        <v>419</v>
      </c>
      <c r="L186" s="302">
        <f t="shared" si="15"/>
        <v>0</v>
      </c>
      <c r="M186"/>
      <c r="P186" s="197"/>
      <c r="Q186" s="279"/>
      <c r="R186" s="3"/>
      <c r="S186" s="3"/>
      <c r="T186" s="3"/>
      <c r="U186" s="3"/>
      <c r="V186" s="3"/>
      <c r="W186" s="3"/>
      <c r="X186" s="552">
        <v>660</v>
      </c>
      <c r="Y186" s="286">
        <v>660</v>
      </c>
      <c r="Z186" s="3"/>
      <c r="AA186" s="386">
        <f t="shared" si="16"/>
        <v>0</v>
      </c>
      <c r="AB186" s="286">
        <f t="shared" si="17"/>
        <v>0</v>
      </c>
    </row>
    <row r="187" spans="1:28" ht="134.25" customHeight="1" x14ac:dyDescent="0.3">
      <c r="A187" s="212">
        <f>'Unit Data from Audit Worksheet'!A235</f>
        <v>661</v>
      </c>
      <c r="B187" s="225" t="str">
        <f>'Unit Data from Audit Worksheet'!C235</f>
        <v>OPEB
RSI</v>
      </c>
      <c r="C187" s="211" t="str">
        <f>'Unit Data from Audit Worksheet'!D235</f>
        <v>Total OPEB benefits - What is the plan’s fiduciary net position as a percentage of the total OPEB liability?  Please enter as percentage value; for example, 83.5% should be entered as 83.5.  If assets have not been set aside in a trust, please enter 0.0</v>
      </c>
      <c r="D187" s="88"/>
      <c r="E187" s="210">
        <f>'Unit Data from Audit Worksheet'!F235</f>
        <v>0</v>
      </c>
      <c r="F187" s="224" t="str">
        <f>IF(H187=L187,"","Column L does not equal Column H")</f>
        <v/>
      </c>
      <c r="G187" s="322" t="s">
        <v>1557</v>
      </c>
      <c r="H187" s="160">
        <f>ROUND(IFERROR((L186/L185)*100,0),1)</f>
        <v>0</v>
      </c>
      <c r="I187" s="32"/>
      <c r="J187" s="214">
        <v>661</v>
      </c>
      <c r="K187" s="228" t="s">
        <v>421</v>
      </c>
      <c r="L187" s="733">
        <f>IF(D187="",E187,D187)</f>
        <v>0</v>
      </c>
      <c r="P187" s="197"/>
      <c r="X187" s="552">
        <v>661</v>
      </c>
      <c r="Y187" s="3">
        <v>661</v>
      </c>
      <c r="AA187" s="386">
        <f t="shared" si="16"/>
        <v>0</v>
      </c>
      <c r="AB187" s="286">
        <f t="shared" si="17"/>
        <v>0</v>
      </c>
    </row>
    <row r="188" spans="1:28" ht="65.25" customHeight="1" x14ac:dyDescent="0.3">
      <c r="A188" s="212">
        <f>'Unit Data from Audit Worksheet'!A238</f>
        <v>371</v>
      </c>
      <c r="B188" s="225" t="str">
        <f>'Unit Data from Audit Worksheet'!C238</f>
        <v>Transfer Note</v>
      </c>
      <c r="C188" s="211" t="str">
        <f>'Unit Data from Audit Worksheet'!D238</f>
        <v>Amount of Transfers from the General Fund to the Debt Service Fund (Enter as positive)</v>
      </c>
      <c r="D188" s="230"/>
      <c r="E188" s="231">
        <f>'Unit Data from Audit Worksheet'!F238</f>
        <v>0</v>
      </c>
      <c r="F188" s="224">
        <f>IF(L188&lt;0,"Error: Enter as a positive.",)</f>
        <v>0</v>
      </c>
      <c r="G188" s="226"/>
      <c r="H188" s="223"/>
      <c r="I188" s="32"/>
      <c r="J188" s="33">
        <v>371</v>
      </c>
      <c r="K188" s="221" t="s">
        <v>248</v>
      </c>
      <c r="L188" s="289">
        <f t="shared" si="15"/>
        <v>0</v>
      </c>
      <c r="P188" s="199"/>
      <c r="X188" s="552">
        <v>371</v>
      </c>
      <c r="Y188" s="3">
        <v>371</v>
      </c>
      <c r="AA188" s="386">
        <f t="shared" si="16"/>
        <v>0</v>
      </c>
      <c r="AB188" s="286">
        <f t="shared" si="17"/>
        <v>0</v>
      </c>
    </row>
    <row r="189" spans="1:28" s="386" customFormat="1" ht="65.25" customHeight="1" x14ac:dyDescent="0.3">
      <c r="A189" s="304">
        <f>'Unit Data from Audit Worksheet'!A239</f>
        <v>1075</v>
      </c>
      <c r="B189" s="229" t="str">
        <f>'Unit Data from Audit Worksheet'!C239</f>
        <v>Transfer Note</v>
      </c>
      <c r="C189" s="305" t="str">
        <f>'Unit Data from Audit Worksheet'!D239</f>
        <v>Transfers from General Fund to Water and Sewer Fund.  (Enter as positive)</v>
      </c>
      <c r="D189" s="230"/>
      <c r="E189" s="232">
        <f>'Unit Data from Audit Worksheet'!F239</f>
        <v>0</v>
      </c>
      <c r="F189" s="224"/>
      <c r="G189" s="226"/>
      <c r="H189" s="223"/>
      <c r="I189" s="32"/>
      <c r="J189" s="799">
        <v>1075</v>
      </c>
      <c r="K189" s="118" t="s">
        <v>1654</v>
      </c>
      <c r="L189" s="306">
        <f t="shared" si="15"/>
        <v>0</v>
      </c>
      <c r="M189" s="180"/>
      <c r="P189" s="199"/>
      <c r="Q189" s="279"/>
      <c r="X189" s="552"/>
      <c r="AB189" s="286"/>
    </row>
    <row r="190" spans="1:28" s="386" customFormat="1" ht="65.25" customHeight="1" x14ac:dyDescent="0.3">
      <c r="A190" s="304">
        <f>'Unit Data from Audit Worksheet'!A240</f>
        <v>1076</v>
      </c>
      <c r="B190" s="229" t="str">
        <f>'Unit Data from Audit Worksheet'!C240</f>
        <v>Transfer Note</v>
      </c>
      <c r="C190" s="305" t="str">
        <f>'Unit Data from Audit Worksheet'!D240</f>
        <v>Transfers from Water and Sewer to General Fund.  (Enter as positive)</v>
      </c>
      <c r="D190" s="230"/>
      <c r="E190" s="232">
        <f>'Unit Data from Audit Worksheet'!F240</f>
        <v>0</v>
      </c>
      <c r="F190" s="224"/>
      <c r="G190" s="226"/>
      <c r="H190" s="223"/>
      <c r="I190" s="32"/>
      <c r="J190" s="799">
        <v>1076</v>
      </c>
      <c r="K190" s="118" t="s">
        <v>1655</v>
      </c>
      <c r="L190" s="306">
        <f t="shared" si="15"/>
        <v>0</v>
      </c>
      <c r="M190" s="180"/>
      <c r="P190" s="199"/>
      <c r="Q190" s="279"/>
      <c r="X190" s="552"/>
      <c r="AB190" s="286"/>
    </row>
    <row r="191" spans="1:28" s="386" customFormat="1" ht="65.25" customHeight="1" x14ac:dyDescent="0.3">
      <c r="A191" s="304">
        <f>'Unit Data from Audit Worksheet'!A241</f>
        <v>1077</v>
      </c>
      <c r="B191" s="229" t="str">
        <f>'Unit Data from Audit Worksheet'!C241</f>
        <v>Water and Sewer - Fund Revenue, Expenses &amp; Changes in Fund Net Position or Notes to Financial Statements</v>
      </c>
      <c r="C191" s="305" t="str">
        <f>'Unit Data from Audit Worksheet'!D241</f>
        <v>Amount transferred from the Water and Sewer Fund to a Water and Sewer Capital Project Fund</v>
      </c>
      <c r="D191" s="230"/>
      <c r="E191" s="232">
        <f>'Unit Data from Audit Worksheet'!F241</f>
        <v>0</v>
      </c>
      <c r="F191" s="224"/>
      <c r="G191" s="226"/>
      <c r="H191" s="223"/>
      <c r="I191" s="32"/>
      <c r="J191" s="799">
        <v>1077</v>
      </c>
      <c r="K191" s="118" t="s">
        <v>2617</v>
      </c>
      <c r="L191" s="306">
        <f t="shared" si="15"/>
        <v>0</v>
      </c>
      <c r="M191" s="180"/>
      <c r="P191" s="199"/>
      <c r="Q191" s="279"/>
      <c r="X191" s="552"/>
      <c r="AB191" s="286"/>
    </row>
    <row r="192" spans="1:28" ht="63" customHeight="1" x14ac:dyDescent="0.3">
      <c r="A192" s="212">
        <f>'Unit Data from Audit Worksheet'!A242</f>
        <v>513</v>
      </c>
      <c r="B192" s="225" t="str">
        <f>'Unit Data from Audit Worksheet'!C242</f>
        <v>Transfer Note</v>
      </c>
      <c r="C192" s="211" t="str">
        <f>'Unit Data from Audit Worksheet'!D242</f>
        <v>Amount of Transfers from the General Fund to the Electric Fund  (Enter as positive)</v>
      </c>
      <c r="D192" s="230"/>
      <c r="E192" s="231">
        <f>'Unit Data from Audit Worksheet'!F242</f>
        <v>0</v>
      </c>
      <c r="F192" s="224">
        <f>IF(L192&lt;0,"Error: Enter as a positive.",)</f>
        <v>0</v>
      </c>
      <c r="G192" s="226"/>
      <c r="H192" s="223"/>
      <c r="I192" s="32"/>
      <c r="J192" s="222">
        <v>513</v>
      </c>
      <c r="K192" s="221" t="s">
        <v>249</v>
      </c>
      <c r="L192" s="289">
        <f t="shared" si="15"/>
        <v>0</v>
      </c>
      <c r="P192" s="199"/>
      <c r="X192" s="552">
        <v>513</v>
      </c>
      <c r="Y192" s="3">
        <v>513</v>
      </c>
      <c r="AA192" s="386">
        <f t="shared" si="16"/>
        <v>0</v>
      </c>
      <c r="AB192" s="286">
        <f t="shared" si="17"/>
        <v>0</v>
      </c>
    </row>
    <row r="193" spans="1:28" ht="89.25" customHeight="1" x14ac:dyDescent="0.3">
      <c r="A193" s="212">
        <f>'Unit Data from Audit Worksheet'!A243</f>
        <v>514</v>
      </c>
      <c r="B193" s="225" t="str">
        <f>'Unit Data from Audit Worksheet'!C243</f>
        <v>Transfer Note</v>
      </c>
      <c r="C193" s="211" t="str">
        <f>'Unit Data from Audit Worksheet'!D243</f>
        <v>Amount of Transfers from the Electric Fund to the General Fund  (Enter as positive)
Include:  Payment in Lieu of Taxes (PILOT)</v>
      </c>
      <c r="D193" s="230"/>
      <c r="E193" s="231">
        <f>'Unit Data from Audit Worksheet'!F243</f>
        <v>0</v>
      </c>
      <c r="F193" s="224">
        <f>IF(L193&lt;0,"Error: Enter as a positive.",)</f>
        <v>0</v>
      </c>
      <c r="G193" s="226"/>
      <c r="H193" s="223"/>
      <c r="I193" s="32"/>
      <c r="J193" s="222">
        <v>514</v>
      </c>
      <c r="K193" s="221" t="s">
        <v>250</v>
      </c>
      <c r="L193" s="289">
        <f t="shared" si="15"/>
        <v>0</v>
      </c>
      <c r="P193" s="199"/>
      <c r="X193" s="552">
        <v>514</v>
      </c>
      <c r="Y193" s="3">
        <v>514</v>
      </c>
      <c r="AA193" s="386">
        <f t="shared" si="16"/>
        <v>0</v>
      </c>
      <c r="AB193" s="286">
        <f t="shared" si="17"/>
        <v>0</v>
      </c>
    </row>
    <row r="194" spans="1:28" ht="89.25" customHeight="1" x14ac:dyDescent="0.3">
      <c r="A194" s="212">
        <f>'Unit Data from Audit Worksheet'!A244</f>
        <v>990</v>
      </c>
      <c r="B194" s="225" t="str">
        <f>'Unit Data from Audit Worksheet'!C244</f>
        <v>Transfer Note</v>
      </c>
      <c r="C194" s="211" t="str">
        <f>'Unit Data from Audit Worksheet'!D244</f>
        <v>Amount of transfer out of the Electric to the General Fund that is for Payment in Lieu of Taxes (PILOT)</v>
      </c>
      <c r="D194" s="230"/>
      <c r="E194" s="231">
        <f>'Unit Data from Audit Worksheet'!F244</f>
        <v>0</v>
      </c>
      <c r="F194" s="224"/>
      <c r="G194" s="226"/>
      <c r="H194" s="223"/>
      <c r="I194" s="32"/>
      <c r="J194" s="222">
        <v>990</v>
      </c>
      <c r="K194" s="221" t="s">
        <v>583</v>
      </c>
      <c r="L194" s="289">
        <f t="shared" si="15"/>
        <v>0</v>
      </c>
      <c r="P194" s="199"/>
      <c r="X194" s="552">
        <v>990</v>
      </c>
      <c r="Y194" s="3">
        <v>990</v>
      </c>
      <c r="AA194" s="386">
        <f t="shared" si="16"/>
        <v>0</v>
      </c>
      <c r="AB194" s="286">
        <f t="shared" si="17"/>
        <v>0</v>
      </c>
    </row>
    <row r="195" spans="1:28" s="386" customFormat="1" ht="89.25" customHeight="1" x14ac:dyDescent="0.3">
      <c r="A195" s="212">
        <f>'Unit Data from Audit Worksheet'!A245</f>
        <v>1051</v>
      </c>
      <c r="B195" s="225" t="str">
        <f>'Unit Data from Audit Worksheet'!C245</f>
        <v>Electric Fund Revenue, Expenses &amp; Changes in Fund Net Position or Notes to Financial Statements</v>
      </c>
      <c r="C195" s="211" t="str">
        <f>'Unit Data from Audit Worksheet'!D245</f>
        <v>Transfers to Electric Capital Projects</v>
      </c>
      <c r="D195" s="230"/>
      <c r="E195" s="231">
        <f>'Unit Data from Audit Worksheet'!F245</f>
        <v>0</v>
      </c>
      <c r="F195" s="224"/>
      <c r="G195" s="226"/>
      <c r="H195" s="223"/>
      <c r="I195" s="32"/>
      <c r="J195" s="222">
        <v>1051</v>
      </c>
      <c r="K195" s="221" t="s">
        <v>1500</v>
      </c>
      <c r="L195" s="295">
        <f t="shared" si="15"/>
        <v>0</v>
      </c>
      <c r="M195"/>
      <c r="P195" s="199"/>
      <c r="Q195" s="279"/>
      <c r="X195" s="552"/>
      <c r="AB195" s="286"/>
    </row>
    <row r="196" spans="1:28" ht="84.75" customHeight="1" x14ac:dyDescent="0.3">
      <c r="A196" s="323">
        <f>'Unit Data from Audit Worksheet'!A247</f>
        <v>6</v>
      </c>
      <c r="B196" s="47" t="str">
        <f>'Unit Data from Audit Worksheet'!C247</f>
        <v>Fund Balance Note</v>
      </c>
      <c r="C196" s="298" t="str">
        <f>'Unit Data from Audit Worksheet'!D247</f>
        <v>General Fund -  Total Encumbrances.  You will probably have to refer to the note disclosure where the amount of encumbrances is listed.</v>
      </c>
      <c r="D196" s="230"/>
      <c r="E196" s="144">
        <f>'Unit Data from Audit Worksheet'!F247</f>
        <v>0</v>
      </c>
      <c r="F196" s="31">
        <f>IF(L196&lt;0,"Error: Enter as a positive.",)</f>
        <v>0</v>
      </c>
      <c r="G196" s="66"/>
      <c r="H196" s="223"/>
      <c r="I196" s="32"/>
      <c r="J196" s="35">
        <v>6</v>
      </c>
      <c r="K196" s="125" t="s">
        <v>251</v>
      </c>
      <c r="L196" s="289">
        <f t="shared" si="15"/>
        <v>0</v>
      </c>
      <c r="P196" s="199"/>
      <c r="X196" s="552">
        <v>6</v>
      </c>
      <c r="Y196" s="3">
        <v>6</v>
      </c>
      <c r="AA196" s="386">
        <f t="shared" si="16"/>
        <v>0</v>
      </c>
      <c r="AB196" s="286">
        <f t="shared" si="17"/>
        <v>0</v>
      </c>
    </row>
    <row r="197" spans="1:28" ht="117.75" customHeight="1" x14ac:dyDescent="0.3">
      <c r="A197" s="212">
        <f>'Unit Data from Audit Worksheet'!A249</f>
        <v>541</v>
      </c>
      <c r="B197" s="225" t="str">
        <f>'Unit Data from Audit Worksheet'!C249</f>
        <v>Water Sewer - Budget Actual Statement</v>
      </c>
      <c r="C197" s="225" t="str">
        <f>'Unit Data from Audit Worksheet'!D249</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7" s="230"/>
      <c r="E197" s="231">
        <f>'Unit Data from Audit Worksheet'!F249</f>
        <v>0</v>
      </c>
      <c r="F197" s="224"/>
      <c r="G197" s="226"/>
      <c r="H197" s="223"/>
      <c r="I197" s="32"/>
      <c r="J197" s="222">
        <v>541</v>
      </c>
      <c r="K197" s="81" t="s">
        <v>310</v>
      </c>
      <c r="L197" s="289">
        <f t="shared" si="15"/>
        <v>0</v>
      </c>
      <c r="P197" s="199"/>
      <c r="X197" s="552">
        <v>541</v>
      </c>
      <c r="Y197" s="3">
        <v>541</v>
      </c>
      <c r="AA197" s="386">
        <f t="shared" si="16"/>
        <v>0</v>
      </c>
      <c r="AB197" s="286">
        <f t="shared" si="17"/>
        <v>0</v>
      </c>
    </row>
    <row r="198" spans="1:28" ht="94.5" customHeight="1" x14ac:dyDescent="0.3">
      <c r="A198" s="212">
        <f>'Unit Data from Audit Worksheet'!A251</f>
        <v>542</v>
      </c>
      <c r="B198" s="225" t="str">
        <f>'Unit Data from Audit Worksheet'!C251</f>
        <v>Water Sewer - Disclosed in the Notes or in the recently approved Budget for next year.</v>
      </c>
      <c r="C198" s="211" t="str">
        <f>'Unit Data from Audit Worksheet'!D251</f>
        <v>Amount of the Water Sewer Fund Balance appropriated in next year's budget?</v>
      </c>
      <c r="D198" s="230"/>
      <c r="E198" s="231">
        <f>'Unit Data from Audit Worksheet'!F251</f>
        <v>0</v>
      </c>
      <c r="F198" s="224"/>
      <c r="G198" s="226"/>
      <c r="H198" s="223"/>
      <c r="I198" s="32"/>
      <c r="J198" s="222">
        <v>542</v>
      </c>
      <c r="K198" s="221" t="s">
        <v>252</v>
      </c>
      <c r="L198" s="289">
        <f t="shared" si="15"/>
        <v>0</v>
      </c>
      <c r="N198" s="54" t="s">
        <v>301</v>
      </c>
      <c r="P198" s="199"/>
      <c r="X198" s="552">
        <v>542</v>
      </c>
      <c r="Y198" s="3">
        <v>542</v>
      </c>
      <c r="AA198" s="386">
        <f t="shared" si="16"/>
        <v>0</v>
      </c>
      <c r="AB198" s="286">
        <f t="shared" si="17"/>
        <v>0</v>
      </c>
    </row>
    <row r="199" spans="1:28" ht="93.75" customHeight="1" x14ac:dyDescent="0.3">
      <c r="A199" s="212">
        <f>'Unit Data from Audit Worksheet'!A254</f>
        <v>528</v>
      </c>
      <c r="B199" s="225" t="str">
        <f>'Unit Data from Audit Worksheet'!C254</f>
        <v>Analysis of Current Tax Levy Schedule</v>
      </c>
      <c r="C199" s="211" t="str">
        <f>'Unit Data from Audit Worksheet'!D254</f>
        <v>Please enter the Net Current year's levy for property excluding registered motor vehicles-- (after adjusting for discoveries and abatements) - 
Exclude Supplemental Taxes</v>
      </c>
      <c r="D199" s="230"/>
      <c r="E199" s="231">
        <f>'Unit Data from Audit Worksheet'!F254</f>
        <v>0</v>
      </c>
      <c r="F199" s="75" t="str">
        <f>IF(L199=0,"Must be completed if unit levys taxes","")</f>
        <v>Must be completed if unit levys taxes</v>
      </c>
      <c r="G199" s="226"/>
      <c r="H199" s="223"/>
      <c r="I199" s="32"/>
      <c r="J199" s="222">
        <v>528</v>
      </c>
      <c r="K199" s="324" t="s">
        <v>257</v>
      </c>
      <c r="L199" s="289">
        <f t="shared" si="15"/>
        <v>0</v>
      </c>
      <c r="N199" s="76"/>
      <c r="P199" s="199"/>
      <c r="X199" s="552">
        <v>528</v>
      </c>
      <c r="Y199" s="3">
        <v>528</v>
      </c>
      <c r="AA199" s="386">
        <f t="shared" si="16"/>
        <v>0</v>
      </c>
      <c r="AB199" s="286">
        <f t="shared" si="17"/>
        <v>0</v>
      </c>
    </row>
    <row r="200" spans="1:28" s="18" customFormat="1" ht="79.5" customHeight="1" x14ac:dyDescent="0.3">
      <c r="A200" s="212">
        <f>'Unit Data from Audit Worksheet'!A255</f>
        <v>529</v>
      </c>
      <c r="B200" s="225" t="str">
        <f>'Unit Data from Audit Worksheet'!C255</f>
        <v>Analysis of Current Tax Levy Schedule</v>
      </c>
      <c r="C200" s="211" t="str">
        <f>'Unit Data from Audit Worksheet'!D255</f>
        <v>Please enter the Net Current year's levy -- Motor vehicles (only) (after adjusting for discoveries and abatements)
Exclude supplemental taxes</v>
      </c>
      <c r="D200" s="230"/>
      <c r="E200" s="231">
        <f>'Unit Data from Audit Worksheet'!F255</f>
        <v>0</v>
      </c>
      <c r="F200" s="75" t="str">
        <f>IF(L200=0,"Must be completed if unit levys taxes","")</f>
        <v>Must be completed if unit levys taxes</v>
      </c>
      <c r="G200" s="226"/>
      <c r="H200" s="223"/>
      <c r="I200" s="32"/>
      <c r="J200" s="222">
        <v>529</v>
      </c>
      <c r="K200" s="324" t="s">
        <v>258</v>
      </c>
      <c r="L200" s="289">
        <f t="shared" si="15"/>
        <v>0</v>
      </c>
      <c r="M200"/>
      <c r="N200" s="76"/>
      <c r="P200" s="199"/>
      <c r="Q200" s="279"/>
      <c r="R200" s="3"/>
      <c r="S200" s="3"/>
      <c r="T200" s="3"/>
      <c r="U200" s="3"/>
      <c r="V200" s="3"/>
      <c r="W200" s="3"/>
      <c r="X200" s="552">
        <v>529</v>
      </c>
      <c r="Y200" s="3">
        <v>529</v>
      </c>
      <c r="Z200" s="3"/>
      <c r="AA200" s="386">
        <f t="shared" si="16"/>
        <v>0</v>
      </c>
      <c r="AB200" s="286">
        <f t="shared" si="17"/>
        <v>0</v>
      </c>
    </row>
    <row r="201" spans="1:28" s="18" customFormat="1" ht="75" customHeight="1" x14ac:dyDescent="0.3">
      <c r="A201" s="212">
        <f>'Unit Data from Audit Worksheet'!A256</f>
        <v>530</v>
      </c>
      <c r="B201" s="225" t="str">
        <f>'Unit Data from Audit Worksheet'!C256</f>
        <v>Analysis of Current Tax Levy Schedule</v>
      </c>
      <c r="C201" s="211" t="str">
        <f>'Unit Data from Audit Worksheet'!D256</f>
        <v>Uncollected Taxes - Curr Year's Levy Exclude Motor Vehicles
Exclude supplemental taxes</v>
      </c>
      <c r="D201" s="230"/>
      <c r="E201" s="231">
        <f>'Unit Data from Audit Worksheet'!F256</f>
        <v>0</v>
      </c>
      <c r="F201" s="75" t="str">
        <f>IF(L201=0,"Must be completed if unit levys taxes","")</f>
        <v>Must be completed if unit levys taxes</v>
      </c>
      <c r="G201" s="226"/>
      <c r="H201" s="223"/>
      <c r="I201" s="32"/>
      <c r="J201" s="222">
        <v>530</v>
      </c>
      <c r="K201" s="324" t="s">
        <v>259</v>
      </c>
      <c r="L201" s="289">
        <f t="shared" ref="L201:L207" si="18">IF(D201="",E201,D201)</f>
        <v>0</v>
      </c>
      <c r="M201"/>
      <c r="N201" s="76"/>
      <c r="P201" s="199"/>
      <c r="Q201" s="279"/>
      <c r="R201" s="3"/>
      <c r="S201" s="3"/>
      <c r="T201" s="3"/>
      <c r="U201" s="3"/>
      <c r="V201" s="3"/>
      <c r="W201" s="3"/>
      <c r="X201" s="552">
        <v>530</v>
      </c>
      <c r="Y201" s="3">
        <v>530</v>
      </c>
      <c r="Z201" s="3"/>
      <c r="AA201" s="386">
        <f t="shared" si="16"/>
        <v>0</v>
      </c>
      <c r="AB201" s="286">
        <f t="shared" si="17"/>
        <v>0</v>
      </c>
    </row>
    <row r="202" spans="1:28" s="18" customFormat="1" ht="68.25" customHeight="1" x14ac:dyDescent="0.3">
      <c r="A202" s="212">
        <f>'Unit Data from Audit Worksheet'!A257</f>
        <v>531</v>
      </c>
      <c r="B202" s="225" t="str">
        <f>'Unit Data from Audit Worksheet'!C257</f>
        <v>Analysis of Current Tax Levy Schedule</v>
      </c>
      <c r="C202" s="211" t="str">
        <f>'Unit Data from Audit Worksheet'!D257</f>
        <v>Uncollected Taxes - Curr Year's Levy Motor Vehicles
Exclude supplemental taxes</v>
      </c>
      <c r="D202" s="230"/>
      <c r="E202" s="231">
        <f>'Unit Data from Audit Worksheet'!F257</f>
        <v>0</v>
      </c>
      <c r="F202" s="75"/>
      <c r="G202" s="226"/>
      <c r="H202" s="223"/>
      <c r="I202" s="32"/>
      <c r="J202" s="222">
        <v>531</v>
      </c>
      <c r="K202" s="324" t="s">
        <v>260</v>
      </c>
      <c r="L202" s="289">
        <f t="shared" si="18"/>
        <v>0</v>
      </c>
      <c r="M202"/>
      <c r="N202" s="76" t="str">
        <f>IF(T183=0,"Must be completed if unit levys taxes, zero acceptable if Motor Vehicle collection rate is 100%","")</f>
        <v>Must be completed if unit levys taxes, zero acceptable if Motor Vehicle collection rate is 100%</v>
      </c>
      <c r="P202" s="199"/>
      <c r="Q202" s="279"/>
      <c r="R202" s="3"/>
      <c r="S202" s="3"/>
      <c r="T202" s="3"/>
      <c r="U202" s="3"/>
      <c r="V202" s="3"/>
      <c r="W202" s="3"/>
      <c r="X202" s="552">
        <v>531</v>
      </c>
      <c r="Y202" s="3">
        <v>531</v>
      </c>
      <c r="Z202" s="3"/>
      <c r="AA202" s="386">
        <f t="shared" si="16"/>
        <v>0</v>
      </c>
      <c r="AB202" s="286">
        <f t="shared" si="17"/>
        <v>0</v>
      </c>
    </row>
    <row r="203" spans="1:28" ht="90.75" customHeight="1" x14ac:dyDescent="0.3">
      <c r="A203" s="212">
        <f>'Unit Data from Audit Worksheet'!A258</f>
        <v>61</v>
      </c>
      <c r="B203" s="225" t="str">
        <f>'Unit Data from Audit Worksheet'!C258</f>
        <v>Analysis of Current Tax Levy Schedule</v>
      </c>
      <c r="C203" s="211" t="str">
        <f>'Unit Data from Audit Worksheet'!D258</f>
        <v>Tax collection rate- Total Levy UNIT-WIDE
Exclude supplemental taxes
(Enter as a percentage with two decimal places)</v>
      </c>
      <c r="D203" s="82"/>
      <c r="E203" s="141">
        <f>'Unit Data from Audit Worksheet'!F258</f>
        <v>0</v>
      </c>
      <c r="F203" s="80" t="str">
        <f>IF(L203=H203,"","Column H calculates the percentage using accounts 528, 529, 530, 531, please enter the correct amounts from the audit schedule for these cells")</f>
        <v/>
      </c>
      <c r="G203" s="226" t="str">
        <f>IF(Q180=1," Included in error count"," ")</f>
        <v xml:space="preserve"> </v>
      </c>
      <c r="H203" s="226">
        <f>ROUND(IFERROR(((L199+L200)-(L201+L202))/(L199+L200)*100,0),2)</f>
        <v>0</v>
      </c>
      <c r="I203" s="32"/>
      <c r="J203" s="222">
        <v>61</v>
      </c>
      <c r="K203" s="52" t="s">
        <v>254</v>
      </c>
      <c r="L203" s="734">
        <f t="shared" si="18"/>
        <v>0</v>
      </c>
      <c r="N203" s="76"/>
      <c r="P203" s="199"/>
      <c r="X203" s="552">
        <v>61</v>
      </c>
      <c r="Y203" s="3">
        <v>61</v>
      </c>
      <c r="AA203" s="386">
        <f t="shared" si="16"/>
        <v>0</v>
      </c>
      <c r="AB203" s="286">
        <f t="shared" si="17"/>
        <v>0</v>
      </c>
    </row>
    <row r="204" spans="1:28" ht="89.25" customHeight="1" x14ac:dyDescent="0.3">
      <c r="A204" s="212">
        <f>'Unit Data from Audit Worksheet'!A259</f>
        <v>102</v>
      </c>
      <c r="B204" s="225" t="str">
        <f>'Unit Data from Audit Worksheet'!C259</f>
        <v>Analysis of Current Tax Levy Schedule</v>
      </c>
      <c r="C204" s="211" t="str">
        <f>'Unit Data from Audit Worksheet'!D259</f>
        <v>Tax collection rate - Excluding Registered motor vehicles
Exclude supplemental taxes
(Enter as a percentage with two decimal places)</v>
      </c>
      <c r="D204" s="82"/>
      <c r="E204" s="141">
        <f>'Unit Data from Audit Worksheet'!F259</f>
        <v>0</v>
      </c>
      <c r="F204" s="80" t="str">
        <f>IF(L204=H204,"","Column H calculates the percentage using accounts 528 and 530,  please enter the correct amounts from the audit schedule for these cells")</f>
        <v/>
      </c>
      <c r="G204" s="226" t="str">
        <f>IF(Q181=1," Included in error count"," ")</f>
        <v xml:space="preserve"> </v>
      </c>
      <c r="H204" s="226">
        <f>ROUND(IFERROR(((L199)-(L201))/(L199)*100,0),2)</f>
        <v>0</v>
      </c>
      <c r="I204" s="32"/>
      <c r="J204" s="222">
        <v>102</v>
      </c>
      <c r="K204" s="52" t="s">
        <v>255</v>
      </c>
      <c r="L204" s="734">
        <f t="shared" si="18"/>
        <v>0</v>
      </c>
      <c r="N204" s="76"/>
      <c r="P204" s="199"/>
      <c r="X204" s="552">
        <v>102</v>
      </c>
      <c r="Y204" s="3">
        <v>102</v>
      </c>
      <c r="AA204" s="386">
        <f t="shared" si="16"/>
        <v>0</v>
      </c>
      <c r="AB204" s="286">
        <f t="shared" si="17"/>
        <v>0</v>
      </c>
    </row>
    <row r="205" spans="1:28" ht="87.75" customHeight="1" x14ac:dyDescent="0.3">
      <c r="A205" s="212">
        <f>'Unit Data from Audit Worksheet'!A260</f>
        <v>103</v>
      </c>
      <c r="B205" s="225" t="str">
        <f>'Unit Data from Audit Worksheet'!C260</f>
        <v>Analysis of Current Tax Levy Schedule</v>
      </c>
      <c r="C205" s="211" t="str">
        <f>'Unit Data from Audit Worksheet'!D260</f>
        <v>Tax collection rate - Registered motor vehicles
Exclude supplemental taxes
(Enter as a percentage with two decimal places)</v>
      </c>
      <c r="D205" s="82"/>
      <c r="E205" s="141">
        <f>'Unit Data from Audit Worksheet'!F260</f>
        <v>0</v>
      </c>
      <c r="F205" s="80" t="str">
        <f>IF(L205=H205,"","Column H calculates the percentage using accounts 529 and 531, please enter the correct amounts from the audit schedule for these cells")</f>
        <v/>
      </c>
      <c r="G205" s="226" t="str">
        <f>IF(Q182=1," Included in error count"," ")</f>
        <v xml:space="preserve"> </v>
      </c>
      <c r="H205" s="226">
        <f>ROUND(IFERROR(((L200)-(L202))/(L200)*100,0),2)</f>
        <v>0</v>
      </c>
      <c r="I205" s="32"/>
      <c r="J205" s="222">
        <v>103</v>
      </c>
      <c r="K205" s="52" t="s">
        <v>256</v>
      </c>
      <c r="L205" s="734">
        <f t="shared" si="18"/>
        <v>0</v>
      </c>
      <c r="N205" s="76"/>
      <c r="P205" s="199"/>
      <c r="X205" s="552">
        <v>103</v>
      </c>
      <c r="Y205" s="3">
        <v>103</v>
      </c>
      <c r="AA205" s="386">
        <f t="shared" si="16"/>
        <v>0</v>
      </c>
      <c r="AB205" s="286">
        <f t="shared" si="17"/>
        <v>0</v>
      </c>
    </row>
    <row r="206" spans="1:28" ht="86.25" customHeight="1" x14ac:dyDescent="0.3">
      <c r="A206" s="212">
        <f>'Unit Data from Audit Worksheet'!A261</f>
        <v>544</v>
      </c>
      <c r="B206" s="225" t="str">
        <f>'Unit Data from Audit Worksheet'!C261</f>
        <v>Analysis of Current Tax Levy Schedule</v>
      </c>
      <c r="C206" s="211" t="str">
        <f>'Unit Data from Audit Worksheet'!D261</f>
        <v>Property Tax Increase for Year Audited- enter amount of  increase in cents per $100 - leave blank if no increase 
Exclude supplemental taxes</v>
      </c>
      <c r="D206" s="230"/>
      <c r="E206" s="138">
        <f>'Unit Data from Audit Worksheet'!F261</f>
        <v>0</v>
      </c>
      <c r="F206" s="96"/>
      <c r="G206" s="226"/>
      <c r="H206" s="223">
        <f>'Unit Data from Audit Worksheet'!I261</f>
        <v>0</v>
      </c>
      <c r="I206" s="32"/>
      <c r="J206" s="222">
        <v>544</v>
      </c>
      <c r="K206" s="52" t="s">
        <v>52</v>
      </c>
      <c r="L206" s="325">
        <f t="shared" si="18"/>
        <v>0</v>
      </c>
      <c r="N206" s="54" t="s">
        <v>301</v>
      </c>
      <c r="P206" s="199"/>
      <c r="X206" s="552">
        <v>544</v>
      </c>
      <c r="Y206" s="3">
        <v>544</v>
      </c>
      <c r="AA206" s="386">
        <f t="shared" si="16"/>
        <v>0</v>
      </c>
      <c r="AB206" s="286">
        <f t="shared" si="17"/>
        <v>0</v>
      </c>
    </row>
    <row r="207" spans="1:28" ht="93.75" customHeight="1" x14ac:dyDescent="0.3">
      <c r="A207" s="212">
        <f>'Unit Data from Audit Worksheet'!A262</f>
        <v>545</v>
      </c>
      <c r="B207" s="225" t="str">
        <f>'Unit Data from Audit Worksheet'!C262</f>
        <v>Analysis of Current Tax Levy Schedule</v>
      </c>
      <c r="C207" s="211" t="str">
        <f>'Unit Data from Audit Worksheet'!D262</f>
        <v>Property Tax Increase for budget year after fiscal year being reported - enter amount of increase in cents per $100- leave blank if no increase
Exclude supplemental taxes</v>
      </c>
      <c r="D207" s="230"/>
      <c r="E207" s="138">
        <f>'Unit Data from Audit Worksheet'!F262</f>
        <v>0</v>
      </c>
      <c r="F207" s="224"/>
      <c r="G207" s="226"/>
      <c r="H207" s="223">
        <f>'Unit Data from Audit Worksheet'!I262</f>
        <v>0</v>
      </c>
      <c r="I207" s="32"/>
      <c r="J207" s="97">
        <v>545</v>
      </c>
      <c r="K207" s="52" t="s">
        <v>53</v>
      </c>
      <c r="L207" s="325">
        <f t="shared" si="18"/>
        <v>0</v>
      </c>
      <c r="N207" s="54" t="s">
        <v>301</v>
      </c>
      <c r="O207" s="297"/>
      <c r="P207" s="199"/>
      <c r="X207" s="552">
        <v>545</v>
      </c>
      <c r="Y207" s="3">
        <v>545</v>
      </c>
      <c r="AA207" s="386">
        <f t="shared" si="16"/>
        <v>0</v>
      </c>
      <c r="AB207" s="286">
        <f t="shared" si="17"/>
        <v>0</v>
      </c>
    </row>
    <row r="208" spans="1:28" ht="72.75" customHeight="1" x14ac:dyDescent="0.3">
      <c r="A208" s="212">
        <f>'Unit Data from Audit Worksheet'!A263</f>
        <v>624</v>
      </c>
      <c r="B208" s="225"/>
      <c r="C208" s="211" t="str">
        <f>'Unit Data from Audit Worksheet'!D263</f>
        <v>Does the County collect real estate property taxes on your behalf? Select "1" for "yes and "2" for "No"</v>
      </c>
      <c r="D208" s="230"/>
      <c r="E208" s="146">
        <f>'Unit Data from Audit Worksheet'!F263</f>
        <v>0</v>
      </c>
      <c r="F208" s="224"/>
      <c r="G208" s="226"/>
      <c r="H208" s="223"/>
      <c r="I208" s="32"/>
      <c r="J208" s="97">
        <v>624</v>
      </c>
      <c r="K208" s="52" t="s">
        <v>358</v>
      </c>
      <c r="L208" s="289">
        <f t="shared" ref="L208:L226" si="19">IF(D208="",E208,D208)</f>
        <v>0</v>
      </c>
      <c r="P208" s="199"/>
      <c r="X208" s="552">
        <v>624</v>
      </c>
      <c r="Y208" s="3">
        <v>624</v>
      </c>
      <c r="AA208" s="386">
        <f t="shared" si="16"/>
        <v>0</v>
      </c>
      <c r="AB208" s="286">
        <f t="shared" si="17"/>
        <v>0</v>
      </c>
    </row>
    <row r="209" spans="1:28" ht="72.75" customHeight="1" x14ac:dyDescent="0.3">
      <c r="A209" s="212">
        <f>'Unit Data from Audit Worksheet'!A264</f>
        <v>648</v>
      </c>
      <c r="B209" s="225"/>
      <c r="C209" s="211" t="str">
        <f>'Unit Data from Audit Worksheet'!D264</f>
        <v>Please enter your tax rate for ad valorem in effect for fiscal year audited.  Example 60 cents per 100 would be entered as .60</v>
      </c>
      <c r="D209" s="230"/>
      <c r="E209" s="138">
        <f>'Unit Data from Audit Worksheet'!F264</f>
        <v>0</v>
      </c>
      <c r="F209" s="224"/>
      <c r="G209" s="226"/>
      <c r="H209" s="223"/>
      <c r="I209" s="32"/>
      <c r="J209" s="97">
        <v>648</v>
      </c>
      <c r="K209" s="326" t="s">
        <v>608</v>
      </c>
      <c r="L209" s="735">
        <f t="shared" si="19"/>
        <v>0</v>
      </c>
      <c r="P209" s="199"/>
      <c r="X209" s="552">
        <v>648</v>
      </c>
      <c r="Y209" s="3">
        <v>648</v>
      </c>
      <c r="AA209" s="386">
        <f t="shared" si="16"/>
        <v>0</v>
      </c>
      <c r="AB209" s="286">
        <f t="shared" si="17"/>
        <v>0</v>
      </c>
    </row>
    <row r="210" spans="1:28" ht="161.25" customHeight="1" x14ac:dyDescent="0.3">
      <c r="A210" s="212">
        <f>'Unit Data from Audit Worksheet'!A265</f>
        <v>991</v>
      </c>
      <c r="B210" s="225"/>
      <c r="C210" s="211" t="str">
        <f>'Unit Data from Audit Worksheet'!D265</f>
        <v>The Counties listed in cell H260 and municipalities within these counties are scheduled to revalue property listing by 1/1/2024 according to the Dept. of Revenue records.  Please indicate if you expect your revaluation to: 
Enter  "20" for increase, 
            "21" for decrease, 
            "22" for no change,
            "23" if this question is not applicable
Select from drop list.</v>
      </c>
      <c r="D210" s="230"/>
      <c r="E210" s="146">
        <f>'Unit Data from Audit Worksheet'!F265</f>
        <v>0</v>
      </c>
      <c r="F210" s="224"/>
      <c r="G210" s="226"/>
      <c r="H210" s="223" t="str">
        <f>'Unit Data from Audit Worksheet'!H265</f>
        <v>Cabarrus, Carteret, Edgecome, Franklin, Granville, Halifax, Nash, Perquimans, Pitt, Richmond, Roberson, Rockingham, Vance, Wake, Wilson, Yancey</v>
      </c>
      <c r="I210" s="32"/>
      <c r="J210" s="97">
        <v>991</v>
      </c>
      <c r="K210" s="52" t="s">
        <v>874</v>
      </c>
      <c r="L210" s="289">
        <f t="shared" si="19"/>
        <v>0</v>
      </c>
      <c r="P210" s="199"/>
      <c r="X210" s="552">
        <v>991</v>
      </c>
      <c r="Y210" s="3">
        <v>991</v>
      </c>
      <c r="AA210" s="386">
        <f t="shared" ref="AA210:AA260" si="20">A210-J210</f>
        <v>0</v>
      </c>
      <c r="AB210" s="286">
        <f t="shared" ref="AB210:AB246" si="21">E210-L210</f>
        <v>0</v>
      </c>
    </row>
    <row r="211" spans="1:28" ht="87.75" customHeight="1" x14ac:dyDescent="0.3">
      <c r="A211" s="212">
        <f>'Unit Data from Audit Worksheet'!A267</f>
        <v>620</v>
      </c>
      <c r="B211" s="225"/>
      <c r="C211" s="211" t="str">
        <f>'Unit Data from Audit Worksheet'!D267</f>
        <v>Do you expect to issue debt requiring LGC approval within 12 months from the date that the audit is submitted - select "1" for yes and "2" for no</v>
      </c>
      <c r="D211" s="230"/>
      <c r="E211" s="146">
        <f>'Unit Data from Audit Worksheet'!F267</f>
        <v>0</v>
      </c>
      <c r="F211" s="224"/>
      <c r="G211" s="226"/>
      <c r="H211" s="223">
        <f>'Unit Data from Audit Worksheet'!I267</f>
        <v>0</v>
      </c>
      <c r="I211" s="32"/>
      <c r="J211" s="97">
        <v>620</v>
      </c>
      <c r="K211" s="52" t="s">
        <v>603</v>
      </c>
      <c r="L211" s="289">
        <f t="shared" si="19"/>
        <v>0</v>
      </c>
      <c r="N211" s="128"/>
      <c r="P211" s="199"/>
      <c r="X211" s="552">
        <v>620</v>
      </c>
      <c r="Y211" s="3">
        <v>620</v>
      </c>
      <c r="AA211" s="386">
        <f t="shared" si="20"/>
        <v>0</v>
      </c>
      <c r="AB211" s="286">
        <f t="shared" si="21"/>
        <v>0</v>
      </c>
    </row>
    <row r="212" spans="1:28" ht="87.75" customHeight="1" x14ac:dyDescent="0.3">
      <c r="A212" s="212">
        <f>'TD Info Completed by Auditor'!A11</f>
        <v>906</v>
      </c>
      <c r="B212" s="124" t="s">
        <v>600</v>
      </c>
      <c r="C212" s="212" t="str">
        <f>'TD Info Completed by Auditor'!B11</f>
        <v>Is the Independent Auditor's Report Opinion Unmodified?</v>
      </c>
      <c r="D212" s="230"/>
      <c r="E212" s="214">
        <f>IF(+'TD Info Completed by Auditor'!C11="Yes",1,IF(+'TD Info Completed by Auditor'!C11="No",2,IF(+'TD Info Completed by Auditor'!C11="N/A",3,0)))</f>
        <v>0</v>
      </c>
      <c r="F212" s="224"/>
      <c r="G212" s="226"/>
      <c r="H212" s="223"/>
      <c r="I212" s="32"/>
      <c r="J212" s="182">
        <v>906</v>
      </c>
      <c r="K212" s="52" t="s">
        <v>472</v>
      </c>
      <c r="L212" s="295">
        <f t="shared" si="19"/>
        <v>0</v>
      </c>
      <c r="N212" s="246" t="s">
        <v>657</v>
      </c>
      <c r="P212" s="195"/>
      <c r="X212" s="286" t="e">
        <v>#N/A</v>
      </c>
      <c r="AA212" s="386">
        <f t="shared" si="20"/>
        <v>0</v>
      </c>
      <c r="AB212" s="286">
        <f t="shared" si="21"/>
        <v>0</v>
      </c>
    </row>
    <row r="213" spans="1:28" ht="87.75" customHeight="1" x14ac:dyDescent="0.3">
      <c r="A213" s="212">
        <f>'TD Info Completed by Auditor'!A12</f>
        <v>907</v>
      </c>
      <c r="B213" s="124" t="s">
        <v>600</v>
      </c>
      <c r="C213" s="212" t="str">
        <f>'TD Info Completed by Auditor'!B12</f>
        <v xml:space="preserve">Is there a finding for lack of segregation of duties at this unit? </v>
      </c>
      <c r="D213" s="230"/>
      <c r="E213" s="214">
        <f>IF(+'TD Info Completed by Auditor'!C12="Yes",1,IF(+'TD Info Completed by Auditor'!C12="No",2,IF(+'TD Info Completed by Auditor'!C12="N/A",3,0)))</f>
        <v>0</v>
      </c>
      <c r="F213" s="224"/>
      <c r="G213" s="226"/>
      <c r="H213" s="223"/>
      <c r="I213" s="32"/>
      <c r="J213" s="182">
        <v>907</v>
      </c>
      <c r="K213" s="52" t="s">
        <v>473</v>
      </c>
      <c r="L213" s="295">
        <f t="shared" si="19"/>
        <v>0</v>
      </c>
      <c r="N213" s="246" t="s">
        <v>657</v>
      </c>
      <c r="P213" s="196"/>
      <c r="X213" s="286" t="e">
        <v>#N/A</v>
      </c>
      <c r="Y213" s="386"/>
      <c r="AA213" s="386">
        <f t="shared" si="20"/>
        <v>0</v>
      </c>
      <c r="AB213" s="286">
        <f t="shared" si="21"/>
        <v>0</v>
      </c>
    </row>
    <row r="214" spans="1:28" s="386" customFormat="1" ht="87.75" customHeight="1" x14ac:dyDescent="0.3">
      <c r="A214" s="212">
        <f>'TD Info Completed by Auditor'!A13</f>
        <v>1055</v>
      </c>
      <c r="B214" s="124"/>
      <c r="C214" s="212" t="str">
        <f>'TD Info Completed by Auditor'!B13</f>
        <v xml:space="preserve"> Did your audit disclose bank reconciliations or subsidiary ledger reconciliations not performed timely? (Yes or No)</v>
      </c>
      <c r="D214" s="230"/>
      <c r="E214" s="214">
        <f>IF(+'TD Info Completed by Auditor'!C13="Yes",1,IF(+'TD Info Completed by Auditor'!C13="No",2,IF(+'TD Info Completed by Auditor'!C13="N/A",3,0)))</f>
        <v>0</v>
      </c>
      <c r="F214" s="224"/>
      <c r="G214" s="226"/>
      <c r="H214" s="223"/>
      <c r="I214" s="32"/>
      <c r="J214" s="182">
        <v>1055</v>
      </c>
      <c r="K214" s="212" t="s">
        <v>1598</v>
      </c>
      <c r="L214" s="295">
        <f t="shared" si="19"/>
        <v>0</v>
      </c>
      <c r="M214"/>
      <c r="N214" s="246" t="s">
        <v>657</v>
      </c>
      <c r="P214" s="197"/>
      <c r="Q214" s="279"/>
      <c r="X214" s="286"/>
      <c r="AA214" s="386">
        <f t="shared" si="20"/>
        <v>0</v>
      </c>
      <c r="AB214" s="286"/>
    </row>
    <row r="215" spans="1:28" s="386" customFormat="1" ht="87.75" customHeight="1" x14ac:dyDescent="0.3">
      <c r="A215" s="212">
        <f>'TD Info Completed by Auditor'!A14</f>
        <v>1056</v>
      </c>
      <c r="B215" s="124"/>
      <c r="C215" s="212" t="str">
        <f>'TD Info Completed by Auditor'!B14</f>
        <v>Did your audit disclose as a finding that the unit’s records were not completed by the agreed upon time? (Yes or No)</v>
      </c>
      <c r="D215" s="230"/>
      <c r="E215" s="214">
        <f>IF(+'TD Info Completed by Auditor'!C14="Yes",1,IF(+'TD Info Completed by Auditor'!C14="No",2,IF(+'TD Info Completed by Auditor'!C14="N/A",3,0)))</f>
        <v>0</v>
      </c>
      <c r="F215" s="224"/>
      <c r="G215" s="226"/>
      <c r="H215" s="223"/>
      <c r="I215" s="32"/>
      <c r="J215" s="182">
        <v>1056</v>
      </c>
      <c r="K215" s="212" t="s">
        <v>1599</v>
      </c>
      <c r="L215" s="295">
        <f t="shared" si="19"/>
        <v>0</v>
      </c>
      <c r="M215"/>
      <c r="N215" s="246" t="s">
        <v>657</v>
      </c>
      <c r="P215" s="197"/>
      <c r="Q215" s="279"/>
      <c r="X215" s="286"/>
      <c r="AA215" s="386">
        <f t="shared" si="20"/>
        <v>0</v>
      </c>
      <c r="AB215" s="286"/>
    </row>
    <row r="216" spans="1:28" s="386" customFormat="1" ht="87.75" customHeight="1" x14ac:dyDescent="0.3">
      <c r="A216" s="212">
        <f>'TD Info Completed by Auditor'!A15</f>
        <v>1057</v>
      </c>
      <c r="B216" s="124"/>
      <c r="C216" s="212" t="str">
        <f>'TD Info Completed by Auditor'!B15</f>
        <v>Did your audit disclose any budget violations at the adopted ordinance level? (Yes or No)</v>
      </c>
      <c r="D216" s="230"/>
      <c r="E216" s="214">
        <f>IF(+'TD Info Completed by Auditor'!C15="Yes",1,IF(+'TD Info Completed by Auditor'!C15="No",2,IF(+'TD Info Completed by Auditor'!C15="N/A",3,0)))</f>
        <v>0</v>
      </c>
      <c r="F216" s="224"/>
      <c r="G216" s="226"/>
      <c r="H216" s="223"/>
      <c r="I216" s="32"/>
      <c r="J216" s="182">
        <v>1057</v>
      </c>
      <c r="K216" s="779" t="s">
        <v>2600</v>
      </c>
      <c r="L216" s="295">
        <f t="shared" si="19"/>
        <v>0</v>
      </c>
      <c r="M216"/>
      <c r="N216" s="246" t="s">
        <v>657</v>
      </c>
      <c r="P216" s="197"/>
      <c r="Q216" s="279"/>
      <c r="X216" s="286"/>
      <c r="AA216" s="386">
        <f t="shared" si="20"/>
        <v>0</v>
      </c>
      <c r="AB216" s="286"/>
    </row>
    <row r="217" spans="1:28" s="386" customFormat="1" ht="87.75" customHeight="1" x14ac:dyDescent="0.3">
      <c r="A217" s="212">
        <f>'TD Info Completed by Auditor'!A16</f>
        <v>1058</v>
      </c>
      <c r="B217" s="124"/>
      <c r="C217" s="212" t="str">
        <f>'TD Info Completed by Auditor'!B16</f>
        <v>Did your audit disclose as a finding any statutory violations? (not including budget violations) (Yes or No) If the answer  is "Yes", review whether this needs to be disclosed in the Stewardship, Compliance and Accountability Note</v>
      </c>
      <c r="D217" s="230"/>
      <c r="E217" s="214">
        <f>IF(+'TD Info Completed by Auditor'!C16="Yes",1,IF(+'TD Info Completed by Auditor'!C16="No",2,IF(+'TD Info Completed by Auditor'!C16="N/A",3,0)))</f>
        <v>0</v>
      </c>
      <c r="F217" s="224"/>
      <c r="G217" s="226"/>
      <c r="H217" s="223"/>
      <c r="I217" s="32"/>
      <c r="J217" s="182">
        <v>1058</v>
      </c>
      <c r="K217" s="179" t="s">
        <v>1600</v>
      </c>
      <c r="L217" s="295">
        <f t="shared" si="19"/>
        <v>0</v>
      </c>
      <c r="M217"/>
      <c r="N217" s="246" t="s">
        <v>657</v>
      </c>
      <c r="P217" s="197"/>
      <c r="Q217" s="279"/>
      <c r="X217" s="286"/>
      <c r="AA217" s="386">
        <f t="shared" si="20"/>
        <v>0</v>
      </c>
      <c r="AB217" s="286"/>
    </row>
    <row r="218" spans="1:28" s="386" customFormat="1" ht="159" customHeight="1" x14ac:dyDescent="0.3">
      <c r="A218" s="212">
        <f>'TD Info Completed by Auditor'!A17</f>
        <v>1059</v>
      </c>
      <c r="B218" s="124"/>
      <c r="C218" s="304" t="str">
        <f>'TD Info Completed by Auditor'!B17</f>
        <v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218" s="230"/>
      <c r="E218" s="214">
        <f>IF(+'TD Info Completed by Auditor'!C17="Yes",1,IF(+'TD Info Completed by Auditor'!C17="No",2,IF(+'TD Info Completed by Auditor'!C17="N/A",3,0)))</f>
        <v>0</v>
      </c>
      <c r="F218" s="224"/>
      <c r="G218" s="226"/>
      <c r="H218" s="223"/>
      <c r="I218" s="32"/>
      <c r="J218" s="182">
        <v>1059</v>
      </c>
      <c r="K218" s="779" t="s">
        <v>1638</v>
      </c>
      <c r="L218" s="295">
        <f t="shared" si="19"/>
        <v>0</v>
      </c>
      <c r="M218"/>
      <c r="N218" s="246" t="s">
        <v>657</v>
      </c>
      <c r="P218" s="197"/>
      <c r="Q218" s="279"/>
      <c r="X218" s="286"/>
      <c r="AA218" s="386">
        <f t="shared" si="20"/>
        <v>0</v>
      </c>
      <c r="AB218" s="286"/>
    </row>
    <row r="219" spans="1:28" s="386" customFormat="1" ht="159" customHeight="1" x14ac:dyDescent="0.3">
      <c r="A219" s="304">
        <v>1078</v>
      </c>
      <c r="B219" s="209"/>
      <c r="C219" s="304" t="str">
        <f>'TD Info Completed by Auditor'!B18</f>
        <v>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v>
      </c>
      <c r="D219" s="230"/>
      <c r="E219" s="992">
        <f>IF(+'TD Info Completed by Auditor'!C18="Yes",1,IF(+'TD Info Completed by Auditor'!C18="No",2,IF(+'TD Info Completed by Auditor'!C18="N/A",3,0)))</f>
        <v>0</v>
      </c>
      <c r="F219" s="227"/>
      <c r="G219" s="226"/>
      <c r="H219" s="223"/>
      <c r="I219" s="32"/>
      <c r="J219" s="119">
        <v>1078</v>
      </c>
      <c r="K219" s="304" t="s">
        <v>2603</v>
      </c>
      <c r="L219" s="993">
        <f t="shared" si="19"/>
        <v>0</v>
      </c>
      <c r="M219" s="180"/>
      <c r="N219" s="246"/>
      <c r="P219" s="197"/>
      <c r="Q219" s="279"/>
      <c r="X219" s="286"/>
      <c r="AB219" s="286"/>
    </row>
    <row r="220" spans="1:28" s="386" customFormat="1" ht="133.19999999999999" customHeight="1" x14ac:dyDescent="0.3">
      <c r="A220" s="304">
        <v>1067</v>
      </c>
      <c r="B220" s="209"/>
      <c r="C220" s="304" t="str">
        <f>'TD Info Completed by Auditor'!B19</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220" s="230"/>
      <c r="E220" s="214">
        <f>IF(+'TD Info Completed by Auditor'!C19="Yes",1,IF(+'TD Info Completed by Auditor'!C19="No",2,IF(+'TD Info Completed by Auditor'!C19="N/A",3,0)))</f>
        <v>0</v>
      </c>
      <c r="G220" s="224"/>
      <c r="H220" s="223"/>
      <c r="I220" s="32"/>
      <c r="J220" s="119">
        <v>1067</v>
      </c>
      <c r="K220" s="304" t="s">
        <v>1977</v>
      </c>
      <c r="L220" s="306">
        <f t="shared" si="19"/>
        <v>0</v>
      </c>
      <c r="M220" s="180"/>
      <c r="N220" s="246" t="s">
        <v>657</v>
      </c>
      <c r="P220" s="197"/>
      <c r="Q220" s="279"/>
      <c r="X220" s="286"/>
      <c r="AB220" s="286"/>
    </row>
    <row r="221" spans="1:28" s="386" customFormat="1" ht="87.75" customHeight="1" x14ac:dyDescent="0.3">
      <c r="A221" s="212">
        <f>'TD Info Completed by Auditor'!A20</f>
        <v>951</v>
      </c>
      <c r="B221" s="124" t="s">
        <v>600</v>
      </c>
      <c r="C221" s="212" t="str">
        <f>'TD Info Completed by Auditor'!B20</f>
        <v>Is there a finding for lack of technical skills, knowledge and experience (SKE) at this unit?</v>
      </c>
      <c r="D221" s="230"/>
      <c r="E221" s="214">
        <f>IF(+'TD Info Completed by Auditor'!C20="Yes",1,IF(+'TD Info Completed by Auditor'!C20="No",2,IF(+'TD Info Completed by Auditor'!C20="N/A",3,0)))</f>
        <v>0</v>
      </c>
      <c r="F221" s="224"/>
      <c r="G221" s="226"/>
      <c r="H221" s="223"/>
      <c r="I221" s="32"/>
      <c r="J221" s="182">
        <v>951</v>
      </c>
      <c r="K221" s="52" t="s">
        <v>474</v>
      </c>
      <c r="L221" s="295">
        <f>IF(D221="",E221,D221)</f>
        <v>0</v>
      </c>
      <c r="M221"/>
      <c r="N221" s="246" t="s">
        <v>657</v>
      </c>
      <c r="P221" s="197"/>
      <c r="Q221" s="279"/>
      <c r="X221" s="286"/>
      <c r="AB221" s="286"/>
    </row>
    <row r="222" spans="1:28" ht="87.75" customHeight="1" x14ac:dyDescent="0.3">
      <c r="A222" s="212">
        <f>'TD Info Completed by Auditor'!A21</f>
        <v>953</v>
      </c>
      <c r="B222" s="124" t="s">
        <v>600</v>
      </c>
      <c r="C222" s="212" t="str">
        <f>'TD Info Completed by Auditor'!B21</f>
        <v xml:space="preserve">Is there is a going concern noted in the audit report? </v>
      </c>
      <c r="D222" s="230"/>
      <c r="E222" s="214">
        <f>IF(+'TD Info Completed by Auditor'!C21="Yes",1,IF(+'TD Info Completed by Auditor'!C21="No",2,IF(+'TD Info Completed by Auditor'!C21="N/A",3,0)))</f>
        <v>0</v>
      </c>
      <c r="F222" s="224"/>
      <c r="G222" s="226"/>
      <c r="H222" s="223"/>
      <c r="I222" s="32"/>
      <c r="J222" s="182">
        <v>953</v>
      </c>
      <c r="K222" s="994" t="s">
        <v>2601</v>
      </c>
      <c r="L222" s="295">
        <f t="shared" si="19"/>
        <v>0</v>
      </c>
      <c r="N222" s="246" t="s">
        <v>657</v>
      </c>
      <c r="P222" s="197"/>
      <c r="X222" s="286" t="e">
        <v>#N/A</v>
      </c>
      <c r="Y222" s="386"/>
      <c r="AA222" s="386">
        <f t="shared" si="20"/>
        <v>0</v>
      </c>
      <c r="AB222" s="286">
        <f t="shared" si="21"/>
        <v>0</v>
      </c>
    </row>
    <row r="223" spans="1:28" ht="87.75" customHeight="1" x14ac:dyDescent="0.3">
      <c r="A223" s="212">
        <f>'TD Info Completed by Auditor'!A22</f>
        <v>955</v>
      </c>
      <c r="B223" s="124" t="s">
        <v>600</v>
      </c>
      <c r="C223" s="212" t="str">
        <f>'TD Info Completed by Auditor'!B22</f>
        <v>Number of significant deficiency findings (financial statement findings only)
Exclude findings reported in questions  907, 951</v>
      </c>
      <c r="D223" s="230"/>
      <c r="E223" s="214">
        <f>'TD Info Completed by Auditor'!C22</f>
        <v>0</v>
      </c>
      <c r="F223" s="224"/>
      <c r="G223" s="226"/>
      <c r="H223" s="223"/>
      <c r="I223" s="32"/>
      <c r="J223" s="182">
        <v>955</v>
      </c>
      <c r="K223" s="52" t="s">
        <v>604</v>
      </c>
      <c r="L223" s="295">
        <f t="shared" si="19"/>
        <v>0</v>
      </c>
      <c r="N223" s="246" t="s">
        <v>657</v>
      </c>
      <c r="P223" s="197"/>
      <c r="X223" s="286" t="e">
        <v>#N/A</v>
      </c>
      <c r="Y223" s="386"/>
      <c r="AA223" s="386">
        <f t="shared" si="20"/>
        <v>0</v>
      </c>
      <c r="AB223" s="286">
        <f t="shared" si="21"/>
        <v>0</v>
      </c>
    </row>
    <row r="224" spans="1:28" ht="87.75" customHeight="1" x14ac:dyDescent="0.3">
      <c r="A224" s="212">
        <f>'TD Info Completed by Auditor'!A23</f>
        <v>957</v>
      </c>
      <c r="B224" s="124" t="s">
        <v>600</v>
      </c>
      <c r="C224" s="212" t="str">
        <f>'TD Info Completed by Auditor'!B23</f>
        <v>Number of material weakness findings (financial statement findings only)
Exclude findings reported in questions  907, 951</v>
      </c>
      <c r="D224" s="230"/>
      <c r="E224" s="214">
        <f>'TD Info Completed by Auditor'!C23</f>
        <v>0</v>
      </c>
      <c r="F224" s="224"/>
      <c r="G224" s="226"/>
      <c r="H224" s="223"/>
      <c r="I224" s="32"/>
      <c r="J224" s="182">
        <v>957</v>
      </c>
      <c r="K224" s="52" t="s">
        <v>605</v>
      </c>
      <c r="L224" s="295">
        <f t="shared" si="19"/>
        <v>0</v>
      </c>
      <c r="N224" s="246" t="s">
        <v>657</v>
      </c>
      <c r="P224" s="197"/>
      <c r="X224" s="286" t="e">
        <v>#N/A</v>
      </c>
      <c r="Y224" s="386"/>
      <c r="AA224" s="386">
        <f t="shared" si="20"/>
        <v>0</v>
      </c>
      <c r="AB224" s="286">
        <f t="shared" si="21"/>
        <v>0</v>
      </c>
    </row>
    <row r="225" spans="1:28" ht="289.2" customHeight="1" x14ac:dyDescent="0.3">
      <c r="A225" s="212">
        <f>'TD Info Completed by Auditor'!A24</f>
        <v>973</v>
      </c>
      <c r="B225" s="124" t="s">
        <v>600</v>
      </c>
      <c r="C225" s="212" t="str">
        <f>'TD Info Completed by Auditor'!B24</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225" s="230"/>
      <c r="E225" s="214">
        <f>IF(+'TD Info Completed by Auditor'!C24&gt;0,1,IF(+'TD Info Completed by Auditor'!C24&gt;0,2,IF(+'TD Info Completed by Auditor'!C24&gt;0,3,0)))</f>
        <v>0</v>
      </c>
      <c r="F225" s="224"/>
      <c r="G225" s="226"/>
      <c r="H225" s="223"/>
      <c r="I225" s="32"/>
      <c r="J225" s="182">
        <v>973</v>
      </c>
      <c r="K225" s="52" t="s">
        <v>1560</v>
      </c>
      <c r="L225" s="295">
        <f>IF(D225="",E225,D225)</f>
        <v>0</v>
      </c>
      <c r="N225" s="246" t="s">
        <v>657</v>
      </c>
      <c r="P225" s="203"/>
      <c r="X225" s="286" t="e">
        <v>#N/A</v>
      </c>
      <c r="Y225" s="386"/>
      <c r="AA225" s="386">
        <f>A225-J225</f>
        <v>0</v>
      </c>
      <c r="AB225" s="286">
        <f>E225-L225</f>
        <v>0</v>
      </c>
    </row>
    <row r="226" spans="1:28" ht="87.75" customHeight="1" x14ac:dyDescent="0.3">
      <c r="A226" s="212">
        <f>'TD Info Completed by Auditor'!A25</f>
        <v>959</v>
      </c>
      <c r="B226" s="124" t="s">
        <v>600</v>
      </c>
      <c r="C226" s="212" t="str">
        <f>'TD Info Completed by Auditor'!B25</f>
        <v>Did the Unit have debt service payments deferred or restructured in this fiscal year? (does not include refinancings designed to take advantage of lower interest rates)  Select Yes, No, or NA</v>
      </c>
      <c r="D226" s="230"/>
      <c r="E226" s="214">
        <f>IF(+'TD Info Completed by Auditor'!C25="Yes",1,IF(+'TD Info Completed by Auditor'!C25="No",2,IF(+'TD Info Completed by Auditor'!C25="N/A",3,0)))</f>
        <v>0</v>
      </c>
      <c r="F226" s="224"/>
      <c r="G226" s="226"/>
      <c r="H226" s="223"/>
      <c r="I226" s="32"/>
      <c r="J226" s="182">
        <v>959</v>
      </c>
      <c r="K226" s="52" t="s">
        <v>659</v>
      </c>
      <c r="L226" s="295">
        <f t="shared" si="19"/>
        <v>0</v>
      </c>
      <c r="N226" s="246" t="s">
        <v>657</v>
      </c>
      <c r="P226" s="197"/>
      <c r="X226" s="286" t="e">
        <v>#N/A</v>
      </c>
      <c r="Y226" s="386"/>
      <c r="AA226" s="386">
        <f t="shared" si="20"/>
        <v>0</v>
      </c>
      <c r="AB226" s="286">
        <f t="shared" si="21"/>
        <v>0</v>
      </c>
    </row>
    <row r="227" spans="1:28" s="386" customFormat="1" ht="119.4" customHeight="1" x14ac:dyDescent="0.3">
      <c r="A227" s="212">
        <f>'TD Info Completed by Auditor'!A26</f>
        <v>974</v>
      </c>
      <c r="B227" s="124" t="s">
        <v>600</v>
      </c>
      <c r="C227" s="212" t="str">
        <f>'TD Info Completed by Auditor'!B26</f>
        <v>Did the Unit have any of the following occur:
1.  Bond covenants were not met
2.  Debt service payments made late?  Deferred payments authorized by LGC or other state
     agencies should not be counted as late for purposes of this question.</v>
      </c>
      <c r="D227" s="230"/>
      <c r="E227" s="214">
        <f>IF(+'TD Info Completed by Auditor'!C26="Yes",1,IF(+'TD Info Completed by Auditor'!C26="No",2,IF(+'TD Info Completed by Auditor'!C26="N/A",3,0)))</f>
        <v>0</v>
      </c>
      <c r="F227" s="224"/>
      <c r="G227" s="226"/>
      <c r="H227" s="223"/>
      <c r="I227" s="32"/>
      <c r="J227" s="182">
        <v>974</v>
      </c>
      <c r="K227" s="52" t="s">
        <v>809</v>
      </c>
      <c r="L227" s="295">
        <f t="shared" ref="L227" si="22">IF(D227="",E227,D227)</f>
        <v>0</v>
      </c>
      <c r="M227"/>
      <c r="N227" s="246" t="s">
        <v>657</v>
      </c>
      <c r="P227" s="203"/>
      <c r="Q227" s="279"/>
      <c r="X227" s="286"/>
      <c r="AB227" s="286"/>
    </row>
    <row r="228" spans="1:28" ht="87.75" customHeight="1" x14ac:dyDescent="0.3">
      <c r="A228" s="212">
        <f>'TD Info Completed by Auditor'!A33</f>
        <v>975</v>
      </c>
      <c r="B228" s="124" t="s">
        <v>600</v>
      </c>
      <c r="C228" s="211" t="str">
        <f>'TD Info Completed by Auditor'!B33</f>
        <v>Does the Performance Indicator Print worksheet in this workbook have a red shaded cell?</v>
      </c>
      <c r="D228" s="230"/>
      <c r="E228" s="214">
        <f>IF(+'TD Info Completed by Auditor'!C33="Yes",1,IF(+'TD Info Completed by Auditor'!C33="No",2,IF(+'TD Info Completed by Auditor'!C33="N/A",3,0)))</f>
        <v>0</v>
      </c>
      <c r="F228" s="224"/>
      <c r="G228" s="226"/>
      <c r="H228" s="223"/>
      <c r="I228" s="32"/>
      <c r="J228" s="182">
        <v>975</v>
      </c>
      <c r="K228" s="994" t="s">
        <v>2602</v>
      </c>
      <c r="L228" s="295">
        <f>IF(D228="",E228,D228)</f>
        <v>0</v>
      </c>
      <c r="N228" s="246" t="s">
        <v>657</v>
      </c>
      <c r="P228" s="203"/>
      <c r="Q228" s="318"/>
      <c r="X228" s="286" t="e">
        <v>#N/A</v>
      </c>
      <c r="Y228" s="386"/>
      <c r="AA228" s="386">
        <f t="shared" si="20"/>
        <v>0</v>
      </c>
      <c r="AB228" s="286">
        <f t="shared" si="21"/>
        <v>0</v>
      </c>
    </row>
    <row r="229" spans="1:28" s="386" customFormat="1" ht="87.75" customHeight="1" x14ac:dyDescent="0.3">
      <c r="A229" s="304">
        <v>1068</v>
      </c>
      <c r="B229" s="304" t="s">
        <v>600</v>
      </c>
      <c r="C229" s="304" t="str">
        <f>'TD Info Completed by Auditor'!B35</f>
        <v xml:space="preserve">Does the unit have a self-insurance fund? </v>
      </c>
      <c r="D229" s="230"/>
      <c r="E229" s="781">
        <f>IF(+'TD Info Completed by Auditor'!C35="Yes",1,IF(+'TD Info Completed by Auditor'!C35="No",2,IF(+'TD Info Completed by Auditor'!C35="N/A",3,0)))</f>
        <v>0</v>
      </c>
      <c r="F229" s="782"/>
      <c r="G229" s="783"/>
      <c r="H229" s="784"/>
      <c r="I229" s="32"/>
      <c r="J229" s="785">
        <v>1068</v>
      </c>
      <c r="K229" s="304" t="s">
        <v>1643</v>
      </c>
      <c r="L229" s="792">
        <f t="shared" ref="L229:L232" si="23">IF(D229="",E229,D229)</f>
        <v>0</v>
      </c>
      <c r="M229" s="180"/>
      <c r="N229" s="246" t="s">
        <v>657</v>
      </c>
      <c r="P229" s="203"/>
      <c r="Q229" s="318"/>
      <c r="X229" s="286"/>
      <c r="AB229" s="286"/>
    </row>
    <row r="230" spans="1:28" s="386" customFormat="1" ht="87.75" customHeight="1" x14ac:dyDescent="0.3">
      <c r="A230" s="304">
        <v>1069</v>
      </c>
      <c r="B230" s="304" t="s">
        <v>600</v>
      </c>
      <c r="C230" s="627" t="str">
        <f>'TD Info Completed by Auditor'!B36</f>
        <v>If the unit is self-insured for employee health care, does the unit use a qualified consultant to establish rates and appropriate reserve levels?</v>
      </c>
      <c r="D230" s="230"/>
      <c r="E230" s="781">
        <f>IF(+'TD Info Completed by Auditor'!C36="Yes",1,IF(+'TD Info Completed by Auditor'!C36="No",2,IF(+'TD Info Completed by Auditor'!C36="N/A",3,0)))</f>
        <v>0</v>
      </c>
      <c r="F230" s="782"/>
      <c r="G230" s="783"/>
      <c r="H230" s="784"/>
      <c r="I230" s="32"/>
      <c r="J230" s="785">
        <v>1069</v>
      </c>
      <c r="K230" s="627" t="s">
        <v>1651</v>
      </c>
      <c r="L230" s="792">
        <f t="shared" si="23"/>
        <v>0</v>
      </c>
      <c r="M230" s="180"/>
      <c r="N230" s="246" t="s">
        <v>657</v>
      </c>
      <c r="P230" s="203"/>
      <c r="Q230" s="318"/>
      <c r="X230" s="286"/>
      <c r="AB230" s="286"/>
    </row>
    <row r="231" spans="1:28" s="386" customFormat="1" ht="96" customHeight="1" x14ac:dyDescent="0.3">
      <c r="A231" s="304">
        <v>1070</v>
      </c>
      <c r="B231" s="304" t="s">
        <v>600</v>
      </c>
      <c r="C231" s="304" t="str">
        <f>'TD Info Completed by Auditor'!B37</f>
        <v>Does the Unit have a non-state administered pension plan?
(Note - OPEB is not a pension plan.)</v>
      </c>
      <c r="D231" s="230"/>
      <c r="E231" s="781">
        <f>IF(+'TD Info Completed by Auditor'!C37="Yes",1,IF(+'TD Info Completed by Auditor'!C37="No",2,IF(+'TD Info Completed by Auditor'!C37="N/A",3,0)))</f>
        <v>0</v>
      </c>
      <c r="F231" s="782"/>
      <c r="G231" s="783"/>
      <c r="H231" s="784"/>
      <c r="I231" s="32"/>
      <c r="J231" s="785">
        <v>1070</v>
      </c>
      <c r="K231" s="304" t="s">
        <v>2616</v>
      </c>
      <c r="L231" s="788">
        <f t="shared" si="23"/>
        <v>0</v>
      </c>
      <c r="M231" s="180"/>
      <c r="N231" s="246" t="s">
        <v>657</v>
      </c>
      <c r="P231" s="203"/>
      <c r="Q231" s="318"/>
      <c r="X231" s="286"/>
      <c r="AB231" s="286"/>
    </row>
    <row r="232" spans="1:28" s="386" customFormat="1" ht="87.75" customHeight="1" x14ac:dyDescent="0.3">
      <c r="A232" s="304">
        <v>1071</v>
      </c>
      <c r="B232" s="304" t="s">
        <v>600</v>
      </c>
      <c r="C232" s="304" t="str">
        <f>'TD Info Completed by Auditor'!B38</f>
        <v>Please list the amount of ARPA funds expended in total this fiscal year for non-capital purposes.  Enter "0" if no ARPA funds expended for this fiscal year for non-capital purposes.</v>
      </c>
      <c r="D232" s="230"/>
      <c r="E232" s="787">
        <f>'TD Info Completed by Auditor'!C38</f>
        <v>0</v>
      </c>
      <c r="F232" s="782"/>
      <c r="G232" s="783"/>
      <c r="H232" s="784"/>
      <c r="I232" s="32"/>
      <c r="J232" s="785">
        <v>1071</v>
      </c>
      <c r="K232" s="304" t="s">
        <v>2596</v>
      </c>
      <c r="L232" s="792">
        <f t="shared" si="23"/>
        <v>0</v>
      </c>
      <c r="M232" s="180"/>
      <c r="N232" s="246" t="s">
        <v>657</v>
      </c>
      <c r="P232" s="203"/>
      <c r="Q232" s="318"/>
      <c r="X232" s="286"/>
      <c r="AB232" s="286"/>
    </row>
    <row r="233" spans="1:28" ht="121.2" customHeight="1" x14ac:dyDescent="0.3">
      <c r="A233" s="327">
        <v>336</v>
      </c>
      <c r="B233" s="237"/>
      <c r="C233" s="328" t="s">
        <v>667</v>
      </c>
      <c r="D233" s="329" t="s">
        <v>636</v>
      </c>
      <c r="E233" s="330" t="s">
        <v>637</v>
      </c>
      <c r="F233" s="238" t="s">
        <v>1132</v>
      </c>
      <c r="G233" s="226"/>
      <c r="H233" s="223"/>
      <c r="I233" s="32"/>
      <c r="J233" s="239">
        <v>336</v>
      </c>
      <c r="K233" s="331" t="s">
        <v>640</v>
      </c>
      <c r="L233" s="332">
        <f>L10-L11-L12-L13-L14-L15-L16</f>
        <v>0</v>
      </c>
      <c r="N233" s="247" t="s">
        <v>638</v>
      </c>
      <c r="P233" s="203"/>
      <c r="Q233" s="318"/>
      <c r="X233" s="286" t="e">
        <v>#N/A</v>
      </c>
      <c r="Y233" s="386"/>
      <c r="AA233" s="386">
        <f t="shared" si="20"/>
        <v>0</v>
      </c>
      <c r="AB233" s="286" t="e">
        <f t="shared" si="21"/>
        <v>#VALUE!</v>
      </c>
    </row>
    <row r="234" spans="1:28" ht="129" customHeight="1" x14ac:dyDescent="0.3">
      <c r="A234" s="327">
        <v>44</v>
      </c>
      <c r="B234" s="237"/>
      <c r="C234" s="238" t="s">
        <v>668</v>
      </c>
      <c r="D234" s="329" t="s">
        <v>628</v>
      </c>
      <c r="E234" s="333" t="s">
        <v>629</v>
      </c>
      <c r="F234" s="238" t="s">
        <v>1133</v>
      </c>
      <c r="G234" s="226"/>
      <c r="H234" s="223"/>
      <c r="I234" s="32"/>
      <c r="J234" s="239">
        <v>44</v>
      </c>
      <c r="K234" s="331" t="s">
        <v>641</v>
      </c>
      <c r="L234" s="332">
        <f>L76-L77-L74</f>
        <v>0</v>
      </c>
      <c r="N234" s="247" t="s">
        <v>639</v>
      </c>
      <c r="P234" s="203"/>
      <c r="Q234" s="318"/>
      <c r="X234" s="286" t="e">
        <v>#N/A</v>
      </c>
      <c r="Y234" s="386"/>
      <c r="AA234" s="386">
        <f t="shared" si="20"/>
        <v>0</v>
      </c>
      <c r="AB234" s="286" t="e">
        <f t="shared" si="21"/>
        <v>#VALUE!</v>
      </c>
    </row>
    <row r="235" spans="1:28" ht="169.5" customHeight="1" x14ac:dyDescent="0.3">
      <c r="A235" s="327">
        <v>45</v>
      </c>
      <c r="B235" s="237"/>
      <c r="C235" s="238" t="s">
        <v>669</v>
      </c>
      <c r="D235" s="329" t="s">
        <v>630</v>
      </c>
      <c r="E235" s="330" t="s">
        <v>631</v>
      </c>
      <c r="F235" s="238" t="s">
        <v>1132</v>
      </c>
      <c r="G235" s="226"/>
      <c r="H235" s="223"/>
      <c r="I235" s="32"/>
      <c r="J235" s="239">
        <v>45</v>
      </c>
      <c r="K235" s="331" t="s">
        <v>642</v>
      </c>
      <c r="L235" s="332">
        <f>L80-L81-L82-L83-L84-L85-L79</f>
        <v>0</v>
      </c>
      <c r="N235" s="247" t="s">
        <v>650</v>
      </c>
      <c r="P235" s="203"/>
      <c r="Q235" s="318"/>
      <c r="X235" s="286" t="e">
        <v>#N/A</v>
      </c>
      <c r="Y235" s="386"/>
      <c r="AA235" s="386">
        <f t="shared" si="20"/>
        <v>0</v>
      </c>
      <c r="AB235" s="286" t="e">
        <f t="shared" si="21"/>
        <v>#VALUE!</v>
      </c>
    </row>
    <row r="236" spans="1:28" ht="87.75" customHeight="1" x14ac:dyDescent="0.3">
      <c r="A236" s="327">
        <v>47</v>
      </c>
      <c r="B236" s="237"/>
      <c r="C236" s="238" t="s">
        <v>644</v>
      </c>
      <c r="D236" s="329" t="s">
        <v>632</v>
      </c>
      <c r="E236" s="330" t="s">
        <v>634</v>
      </c>
      <c r="F236" s="238" t="s">
        <v>1132</v>
      </c>
      <c r="G236" s="226"/>
      <c r="H236" s="223"/>
      <c r="I236" s="32"/>
      <c r="J236" s="239">
        <v>47</v>
      </c>
      <c r="K236" s="331" t="s">
        <v>643</v>
      </c>
      <c r="L236" s="332">
        <f>L94-L95-L92</f>
        <v>0</v>
      </c>
      <c r="N236" s="247" t="s">
        <v>651</v>
      </c>
      <c r="P236" s="203"/>
      <c r="Q236" s="318"/>
      <c r="X236" s="286" t="e">
        <v>#N/A</v>
      </c>
      <c r="Y236" s="386"/>
      <c r="AA236" s="386">
        <f t="shared" si="20"/>
        <v>0</v>
      </c>
      <c r="AB236" s="286" t="e">
        <f t="shared" si="21"/>
        <v>#VALUE!</v>
      </c>
    </row>
    <row r="237" spans="1:28" ht="152.25" customHeight="1" x14ac:dyDescent="0.3">
      <c r="A237" s="327">
        <v>48</v>
      </c>
      <c r="B237" s="237"/>
      <c r="C237" s="238" t="s">
        <v>645</v>
      </c>
      <c r="D237" s="329" t="s">
        <v>633</v>
      </c>
      <c r="E237" s="330" t="s">
        <v>635</v>
      </c>
      <c r="F237" s="238" t="s">
        <v>1132</v>
      </c>
      <c r="G237" s="226"/>
      <c r="H237" s="223"/>
      <c r="I237" s="32"/>
      <c r="J237" s="239">
        <v>48</v>
      </c>
      <c r="K237" s="331" t="s">
        <v>115</v>
      </c>
      <c r="L237" s="332">
        <f>L99-L100-L101-L102-L103-L104-L98</f>
        <v>0</v>
      </c>
      <c r="N237" s="247" t="s">
        <v>652</v>
      </c>
      <c r="P237" s="203"/>
      <c r="Q237" s="318"/>
      <c r="X237" s="286" t="e">
        <v>#N/A</v>
      </c>
      <c r="Y237" s="386"/>
      <c r="AA237" s="386">
        <f t="shared" si="20"/>
        <v>0</v>
      </c>
      <c r="AB237" s="286" t="e">
        <f t="shared" si="21"/>
        <v>#VALUE!</v>
      </c>
    </row>
    <row r="238" spans="1:28" ht="113.4" customHeight="1" x14ac:dyDescent="0.3">
      <c r="A238" s="334"/>
      <c r="B238" s="90"/>
      <c r="C238" s="335"/>
      <c r="D238" s="129"/>
      <c r="E238" s="137"/>
      <c r="F238" s="59"/>
      <c r="G238" s="131"/>
      <c r="H238" s="132"/>
      <c r="I238" s="32"/>
      <c r="J238" s="240">
        <v>998</v>
      </c>
      <c r="K238" s="241" t="s">
        <v>277</v>
      </c>
      <c r="L238" s="336" t="e">
        <f>VLOOKUP('Unit Data from Audit Worksheet'!D2,'Unit Names(H)'!$A$2:$C$95,3,FALSE)</f>
        <v>#N/A</v>
      </c>
      <c r="N238" s="247" t="s">
        <v>646</v>
      </c>
      <c r="P238" s="203"/>
      <c r="Q238" s="318"/>
      <c r="X238" s="286" t="e">
        <v>#N/A</v>
      </c>
      <c r="Y238" s="386"/>
      <c r="AA238" s="386">
        <f t="shared" si="20"/>
        <v>-998</v>
      </c>
      <c r="AB238" s="286" t="e">
        <f t="shared" si="21"/>
        <v>#N/A</v>
      </c>
    </row>
    <row r="239" spans="1:28" ht="119.4" customHeight="1" x14ac:dyDescent="0.3">
      <c r="A239" s="334"/>
      <c r="B239" s="90"/>
      <c r="C239" s="335"/>
      <c r="D239" s="337"/>
      <c r="E239" s="338"/>
      <c r="F239" s="339"/>
      <c r="G239" s="340"/>
      <c r="H239" s="341"/>
      <c r="I239" s="32"/>
      <c r="J239" s="242">
        <v>995</v>
      </c>
      <c r="K239" s="243" t="s">
        <v>275</v>
      </c>
      <c r="L239" s="736" t="e">
        <f>INDEX('PY1 Data(H)'!$A$1:$CZ$282,MATCH('PY1 Data(H)'!$A236,'PY1 Data(H)'!$A$1:$A$282,0),MATCH('Unit Data from Audit Worksheet'!$D$2,'PY1 Data(H)'!$A$1:$CZ$1,0))</f>
        <v>#N/A</v>
      </c>
      <c r="N239" s="247" t="s">
        <v>653</v>
      </c>
      <c r="P239" s="203"/>
      <c r="Q239" s="318"/>
      <c r="X239" s="286" t="e">
        <v>#N/A</v>
      </c>
      <c r="Y239" s="386"/>
      <c r="AA239" s="386">
        <f t="shared" si="20"/>
        <v>-995</v>
      </c>
      <c r="AB239" s="577" t="e">
        <f t="shared" si="21"/>
        <v>#N/A</v>
      </c>
    </row>
    <row r="240" spans="1:28" ht="104.4" customHeight="1" x14ac:dyDescent="0.3">
      <c r="A240" s="334"/>
      <c r="B240" s="90"/>
      <c r="C240" s="335"/>
      <c r="D240" s="337"/>
      <c r="E240" s="338"/>
      <c r="F240" s="339"/>
      <c r="G240" s="340"/>
      <c r="H240" s="341"/>
      <c r="I240" s="32"/>
      <c r="J240" s="242">
        <v>996</v>
      </c>
      <c r="K240" s="243" t="s">
        <v>276</v>
      </c>
      <c r="L240" s="736" t="e">
        <f>INDEX('PY1 Data(H)'!$A$1:$CZ$282,MATCH('PY1 Data(H)'!$A237,'PY1 Data(H)'!$A$1:$A$282,0),MATCH('Unit Data from Audit Worksheet'!$D$2,'PY1 Data(H)'!$A$1:$CZ$1,0))</f>
        <v>#N/A</v>
      </c>
      <c r="N240" s="247" t="s">
        <v>654</v>
      </c>
      <c r="P240" s="203"/>
      <c r="Q240" s="318"/>
      <c r="X240" s="286" t="e">
        <v>#N/A</v>
      </c>
      <c r="Y240" s="386"/>
      <c r="AA240" s="386">
        <f t="shared" si="20"/>
        <v>-996</v>
      </c>
      <c r="AB240" s="577" t="e">
        <f t="shared" si="21"/>
        <v>#N/A</v>
      </c>
    </row>
    <row r="241" spans="1:28" ht="43.2" x14ac:dyDescent="0.3">
      <c r="A241" s="334"/>
      <c r="B241" s="90"/>
      <c r="C241" s="335"/>
      <c r="D241" s="337"/>
      <c r="E241" s="338"/>
      <c r="F241" s="339"/>
      <c r="G241" s="340"/>
      <c r="H241" s="342"/>
      <c r="I241" s="32"/>
      <c r="J241" s="158">
        <v>554</v>
      </c>
      <c r="K241" s="343" t="s">
        <v>320</v>
      </c>
      <c r="L241" s="313"/>
      <c r="N241" s="344"/>
      <c r="P241" s="203"/>
      <c r="Q241" s="318"/>
      <c r="X241" s="286" t="e">
        <v>#N/A</v>
      </c>
      <c r="Y241" s="386"/>
      <c r="AA241" s="386">
        <f t="shared" si="20"/>
        <v>-554</v>
      </c>
      <c r="AB241" s="286">
        <f t="shared" si="21"/>
        <v>0</v>
      </c>
    </row>
    <row r="242" spans="1:28" ht="43.2" x14ac:dyDescent="0.3">
      <c r="A242" s="334"/>
      <c r="B242" s="90"/>
      <c r="C242" s="335"/>
      <c r="D242" s="337"/>
      <c r="E242" s="338"/>
      <c r="F242" s="339"/>
      <c r="G242" s="340"/>
      <c r="H242" s="342"/>
      <c r="I242" s="32"/>
      <c r="J242" s="158">
        <v>555</v>
      </c>
      <c r="K242" s="343" t="s">
        <v>321</v>
      </c>
      <c r="L242" s="313"/>
      <c r="N242" s="344"/>
      <c r="P242" s="203"/>
      <c r="Q242" s="318"/>
      <c r="X242" s="286" t="e">
        <v>#N/A</v>
      </c>
      <c r="Y242" s="386"/>
      <c r="AA242" s="386">
        <f t="shared" si="20"/>
        <v>-555</v>
      </c>
      <c r="AB242" s="286">
        <f t="shared" si="21"/>
        <v>0</v>
      </c>
    </row>
    <row r="243" spans="1:28" ht="43.2" x14ac:dyDescent="0.3">
      <c r="A243" s="334"/>
      <c r="B243" s="90"/>
      <c r="C243" s="335"/>
      <c r="D243" s="337"/>
      <c r="E243" s="338"/>
      <c r="F243" s="339"/>
      <c r="G243" s="340"/>
      <c r="H243" s="342"/>
      <c r="I243" s="32"/>
      <c r="J243" s="158">
        <v>556</v>
      </c>
      <c r="K243" s="343" t="s">
        <v>322</v>
      </c>
      <c r="L243" s="313"/>
      <c r="N243" s="344"/>
      <c r="P243" s="203"/>
      <c r="Q243" s="318"/>
      <c r="X243" s="286" t="e">
        <v>#N/A</v>
      </c>
      <c r="Y243" s="386"/>
      <c r="AA243" s="386">
        <f t="shared" si="20"/>
        <v>-556</v>
      </c>
      <c r="AB243" s="286">
        <f t="shared" si="21"/>
        <v>0</v>
      </c>
    </row>
    <row r="244" spans="1:28" ht="43.2" x14ac:dyDescent="0.3">
      <c r="A244" s="334"/>
      <c r="B244" s="90"/>
      <c r="C244" s="335"/>
      <c r="D244" s="337"/>
      <c r="E244" s="338"/>
      <c r="F244" s="339"/>
      <c r="G244" s="340"/>
      <c r="H244" s="342"/>
      <c r="I244" s="32"/>
      <c r="J244" s="158">
        <v>557</v>
      </c>
      <c r="K244" s="343" t="s">
        <v>323</v>
      </c>
      <c r="L244" s="313"/>
      <c r="N244" s="344"/>
      <c r="P244" s="204"/>
      <c r="X244" s="286" t="e">
        <v>#N/A</v>
      </c>
      <c r="Y244" s="386"/>
      <c r="AA244" s="386">
        <f t="shared" si="20"/>
        <v>-557</v>
      </c>
      <c r="AB244" s="286">
        <f t="shared" si="21"/>
        <v>0</v>
      </c>
    </row>
    <row r="245" spans="1:28" ht="43.2" x14ac:dyDescent="0.3">
      <c r="A245" s="334"/>
      <c r="B245" s="90"/>
      <c r="C245" s="335"/>
      <c r="D245" s="337"/>
      <c r="E245" s="338"/>
      <c r="F245" s="339"/>
      <c r="G245" s="340"/>
      <c r="H245" s="342"/>
      <c r="I245" s="32"/>
      <c r="J245" s="158">
        <v>606</v>
      </c>
      <c r="K245" s="343" t="s">
        <v>450</v>
      </c>
      <c r="L245" s="313"/>
      <c r="N245" s="344"/>
      <c r="P245" s="204"/>
      <c r="X245" s="286" t="e">
        <v>#N/A</v>
      </c>
      <c r="Y245" s="386"/>
      <c r="AA245" s="386">
        <f t="shared" si="20"/>
        <v>-606</v>
      </c>
      <c r="AB245" s="286">
        <f t="shared" si="21"/>
        <v>0</v>
      </c>
    </row>
    <row r="246" spans="1:28" s="18" customFormat="1" ht="22.5" customHeight="1" x14ac:dyDescent="0.3">
      <c r="A246" s="334"/>
      <c r="B246" s="90"/>
      <c r="C246" s="335"/>
      <c r="D246" s="129"/>
      <c r="E246" s="130"/>
      <c r="F246" s="59"/>
      <c r="G246" s="131"/>
      <c r="H246" s="132"/>
      <c r="I246" s="32"/>
      <c r="J246" s="133"/>
      <c r="K246" s="346"/>
      <c r="L246" s="347"/>
      <c r="M246"/>
      <c r="N246" s="246"/>
      <c r="P246" s="204"/>
      <c r="Q246" s="279"/>
      <c r="R246" s="3"/>
      <c r="S246" s="3"/>
      <c r="T246" s="3"/>
      <c r="U246" s="3"/>
      <c r="V246" s="3"/>
      <c r="W246" s="3"/>
      <c r="X246" s="286" t="e">
        <v>#N/A</v>
      </c>
      <c r="Y246" s="386"/>
      <c r="Z246" s="3"/>
      <c r="AA246" s="386">
        <f t="shared" si="20"/>
        <v>0</v>
      </c>
      <c r="AB246" s="286">
        <f t="shared" si="21"/>
        <v>0</v>
      </c>
    </row>
    <row r="247" spans="1:28" ht="99" customHeight="1" x14ac:dyDescent="0.3">
      <c r="A247" s="212">
        <f>'Unit Data from Audit Worksheet'!A269</f>
        <v>947</v>
      </c>
      <c r="B247" s="124"/>
      <c r="C247" s="211" t="str">
        <f>'Unit Data from Audit Worksheet'!D269</f>
        <v>First name of finance officer or interim finance officer (please enter “vacant” for first name if the position is currently vacant)</v>
      </c>
      <c r="D247" s="233"/>
      <c r="E247" s="172">
        <f>'Unit Data from Audit Worksheet'!F269</f>
        <v>0</v>
      </c>
      <c r="F247" s="224" t="str">
        <f>'Unit Data from Audit Worksheet'!G269</f>
        <v>Please do not leave blank</v>
      </c>
      <c r="G247" s="226"/>
      <c r="H247" s="223"/>
      <c r="I247" s="32"/>
      <c r="J247" s="161">
        <v>947</v>
      </c>
      <c r="K247" s="348" t="s">
        <v>409</v>
      </c>
      <c r="L247" s="349">
        <f t="shared" ref="L247:L258" si="24">IF(D247="",E247,D247)</f>
        <v>0</v>
      </c>
      <c r="N247" s="344"/>
      <c r="P247" s="204"/>
      <c r="Q247" s="78"/>
      <c r="X247" s="286">
        <v>947</v>
      </c>
      <c r="Y247" s="3">
        <v>947</v>
      </c>
      <c r="AA247" s="386">
        <f t="shared" si="20"/>
        <v>0</v>
      </c>
      <c r="AB247" s="286" t="b">
        <f>EXACT(E247,L247)</f>
        <v>1</v>
      </c>
    </row>
    <row r="248" spans="1:28" ht="128.25" customHeight="1" x14ac:dyDescent="0.3">
      <c r="A248" s="212">
        <f>'Unit Data from Audit Worksheet'!A270</f>
        <v>948</v>
      </c>
      <c r="B248" s="124"/>
      <c r="C248" s="211" t="str">
        <f>'Unit Data from Audit Worksheet'!D270</f>
        <v>Last name of finance officer or interim finance officer (please enter “vacant” for last name if the position is currently vacant)</v>
      </c>
      <c r="D248" s="233"/>
      <c r="E248" s="350">
        <f>'Unit Data from Audit Worksheet'!F270</f>
        <v>0</v>
      </c>
      <c r="F248" s="224" t="str">
        <f>'Unit Data from Audit Worksheet'!G270</f>
        <v>Please do not leave blank</v>
      </c>
      <c r="G248" s="226"/>
      <c r="H248" s="223"/>
      <c r="I248" s="32"/>
      <c r="J248" s="161">
        <v>948</v>
      </c>
      <c r="K248" s="348" t="s">
        <v>410</v>
      </c>
      <c r="L248" s="349">
        <f t="shared" si="24"/>
        <v>0</v>
      </c>
      <c r="N248" s="344"/>
      <c r="P248" s="204"/>
      <c r="X248" s="286">
        <v>948</v>
      </c>
      <c r="Y248" s="3">
        <v>948</v>
      </c>
      <c r="AA248" s="386">
        <f t="shared" si="20"/>
        <v>0</v>
      </c>
      <c r="AB248" s="286" t="b">
        <f t="shared" ref="AB248:AB260" si="25">EXACT(E248,L248)</f>
        <v>1</v>
      </c>
    </row>
    <row r="249" spans="1:28" ht="61.5" customHeight="1" x14ac:dyDescent="0.3">
      <c r="A249" s="212">
        <f>'Unit Data from Audit Worksheet'!A271</f>
        <v>949</v>
      </c>
      <c r="B249" s="124"/>
      <c r="C249" s="211" t="str">
        <f>'Unit Data from Audit Worksheet'!D271</f>
        <v>Is the finance officer serving in a permanent role or an interim role? (select permanent/interim/vacant)</v>
      </c>
      <c r="D249" s="233"/>
      <c r="E249" s="172">
        <f>'Unit Data from Audit Worksheet'!F271</f>
        <v>0</v>
      </c>
      <c r="F249" s="224" t="str">
        <f>'Unit Data from Audit Worksheet'!G271</f>
        <v>Please do not leave blank</v>
      </c>
      <c r="G249" s="226"/>
      <c r="H249" s="223"/>
      <c r="I249" s="32"/>
      <c r="J249" s="161">
        <v>949</v>
      </c>
      <c r="K249" s="348" t="s">
        <v>433</v>
      </c>
      <c r="L249" s="349">
        <f t="shared" si="24"/>
        <v>0</v>
      </c>
      <c r="N249" s="344"/>
      <c r="P249" s="204"/>
      <c r="X249" s="286">
        <v>949</v>
      </c>
      <c r="Y249" s="3">
        <v>949</v>
      </c>
      <c r="AA249" s="386">
        <f t="shared" si="20"/>
        <v>0</v>
      </c>
      <c r="AB249" s="286" t="b">
        <f t="shared" si="25"/>
        <v>1</v>
      </c>
    </row>
    <row r="250" spans="1:28" ht="93.75" customHeight="1" x14ac:dyDescent="0.3">
      <c r="A250" s="212">
        <f>'Unit Data from Audit Worksheet'!A272</f>
        <v>950</v>
      </c>
      <c r="B250" s="124"/>
      <c r="C250" s="211" t="str">
        <f>'Unit Data from Audit Worksheet'!D272</f>
        <v>Has the finance officer or interim finance officer been formally appointed by the local government, public authority, or designated official?  (Y/N)</v>
      </c>
      <c r="D250" s="233"/>
      <c r="E250" s="172">
        <f>'Unit Data from Audit Worksheet'!F272</f>
        <v>0</v>
      </c>
      <c r="F250" s="224" t="str">
        <f>'Unit Data from Audit Worksheet'!G272</f>
        <v>Please do not leave blank</v>
      </c>
      <c r="G250" s="226"/>
      <c r="H250" s="223"/>
      <c r="I250" s="32"/>
      <c r="J250" s="161">
        <v>950</v>
      </c>
      <c r="K250" s="348" t="s">
        <v>434</v>
      </c>
      <c r="L250" s="349">
        <f t="shared" si="24"/>
        <v>0</v>
      </c>
      <c r="N250" s="344"/>
      <c r="P250" s="204"/>
      <c r="X250" s="286">
        <v>950</v>
      </c>
      <c r="Y250" s="3">
        <v>950</v>
      </c>
      <c r="AA250" s="386">
        <f t="shared" si="20"/>
        <v>0</v>
      </c>
      <c r="AB250" s="286" t="b">
        <f t="shared" si="25"/>
        <v>1</v>
      </c>
    </row>
    <row r="251" spans="1:28" ht="153.75" customHeight="1" x14ac:dyDescent="0.3">
      <c r="A251" s="212">
        <f>'Unit Data from Audit Worksheet'!A273</f>
        <v>952</v>
      </c>
      <c r="B251" s="124"/>
      <c r="C251" s="211" t="str">
        <f>'Unit Data from Audit Worksheet'!D273</f>
        <v>Date on which the local government, public authority, or designated official appointed the finance officer?      Date Format  MM/DD/YYYY</v>
      </c>
      <c r="D251" s="233"/>
      <c r="E251" s="656" t="str">
        <f>IF('Unit Data from Audit Worksheet'!F273&gt;0,'Unit Data from Audit Worksheet'!F273," ")</f>
        <v xml:space="preserve"> </v>
      </c>
      <c r="F251" s="224" t="str">
        <f>'Unit Data from Audit Worksheet'!G273</f>
        <v>Leave blank if data not available</v>
      </c>
      <c r="G251" s="226"/>
      <c r="H251" s="223"/>
      <c r="I251" s="32"/>
      <c r="J251" s="161">
        <v>952</v>
      </c>
      <c r="K251" s="348" t="s">
        <v>435</v>
      </c>
      <c r="L251" s="351" t="str">
        <f t="shared" si="24"/>
        <v xml:space="preserve"> </v>
      </c>
      <c r="N251" s="344"/>
      <c r="P251" s="204"/>
      <c r="X251" s="286">
        <v>952</v>
      </c>
      <c r="Y251" s="3">
        <v>952</v>
      </c>
      <c r="AA251" s="386">
        <f t="shared" si="20"/>
        <v>0</v>
      </c>
      <c r="AB251" s="286" t="b">
        <f t="shared" si="25"/>
        <v>1</v>
      </c>
    </row>
    <row r="252" spans="1:28" ht="30.75" customHeight="1" x14ac:dyDescent="0.3">
      <c r="A252" s="352">
        <f>'Unit Data from Audit Worksheet'!A281</f>
        <v>960</v>
      </c>
      <c r="B252" s="168"/>
      <c r="C252" s="169" t="str">
        <f>'Unit Data from Audit Worksheet'!B281</f>
        <v>Name of Finance Officer</v>
      </c>
      <c r="D252" s="233"/>
      <c r="E252" s="353">
        <f>'Unit Data from Audit Worksheet'!D281</f>
        <v>0</v>
      </c>
      <c r="F252" s="354" t="str">
        <f>'Unit Data from Audit Worksheet'!F281</f>
        <v>Required</v>
      </c>
      <c r="G252" s="226"/>
      <c r="H252" s="223"/>
      <c r="I252" s="32"/>
      <c r="J252" s="171">
        <v>960</v>
      </c>
      <c r="K252" s="355" t="s">
        <v>429</v>
      </c>
      <c r="L252" s="356">
        <f t="shared" si="24"/>
        <v>0</v>
      </c>
      <c r="N252" s="311"/>
      <c r="P252" s="204"/>
      <c r="X252" s="286">
        <v>960</v>
      </c>
      <c r="Y252" s="3">
        <v>960</v>
      </c>
      <c r="AA252" s="386">
        <f t="shared" si="20"/>
        <v>0</v>
      </c>
      <c r="AB252" s="286" t="b">
        <f t="shared" si="25"/>
        <v>1</v>
      </c>
    </row>
    <row r="253" spans="1:28" ht="30.75" customHeight="1" x14ac:dyDescent="0.3">
      <c r="A253" s="352">
        <f>'Unit Data from Audit Worksheet'!A282</f>
        <v>962</v>
      </c>
      <c r="B253" s="168"/>
      <c r="C253" s="169" t="str">
        <f>'Unit Data from Audit Worksheet'!B282</f>
        <v>Title of Official</v>
      </c>
      <c r="D253" s="233"/>
      <c r="E253" s="353">
        <f>'Unit Data from Audit Worksheet'!D282</f>
        <v>0</v>
      </c>
      <c r="F253" s="354" t="str">
        <f>'Unit Data from Audit Worksheet'!F282</f>
        <v>Required</v>
      </c>
      <c r="G253" s="226"/>
      <c r="H253" s="223"/>
      <c r="I253" s="32"/>
      <c r="J253" s="171">
        <v>962</v>
      </c>
      <c r="K253" s="355" t="s">
        <v>405</v>
      </c>
      <c r="L253" s="356">
        <f t="shared" si="24"/>
        <v>0</v>
      </c>
      <c r="N253" s="311"/>
      <c r="P253" s="204"/>
      <c r="X253" s="286">
        <v>962</v>
      </c>
      <c r="Y253" s="3">
        <v>962</v>
      </c>
      <c r="AA253" s="386">
        <f t="shared" si="20"/>
        <v>0</v>
      </c>
      <c r="AB253" s="286" t="b">
        <f t="shared" si="25"/>
        <v>1</v>
      </c>
    </row>
    <row r="254" spans="1:28" ht="30.75" customHeight="1" x14ac:dyDescent="0.3">
      <c r="A254" s="352">
        <f>'Unit Data from Audit Worksheet'!A283</f>
        <v>964</v>
      </c>
      <c r="B254" s="168"/>
      <c r="C254" s="170" t="str">
        <f>'Unit Data from Audit Worksheet'!B283</f>
        <v>Date                        (Enter as "MM/DD/YYYY")</v>
      </c>
      <c r="D254" s="233"/>
      <c r="E254" s="357">
        <f>'Unit Data from Audit Worksheet'!D283</f>
        <v>0</v>
      </c>
      <c r="F254" s="354" t="str">
        <f>'Unit Data from Audit Worksheet'!F283</f>
        <v>Required</v>
      </c>
      <c r="G254" s="580"/>
      <c r="H254" s="223"/>
      <c r="I254" s="32"/>
      <c r="J254" s="171">
        <v>964</v>
      </c>
      <c r="K254" s="355" t="s">
        <v>460</v>
      </c>
      <c r="L254" s="358">
        <f t="shared" si="24"/>
        <v>0</v>
      </c>
      <c r="N254" s="311"/>
      <c r="P254" s="204"/>
      <c r="X254" s="286">
        <v>964</v>
      </c>
      <c r="Y254" s="3">
        <v>964</v>
      </c>
      <c r="AA254" s="386">
        <f t="shared" si="20"/>
        <v>0</v>
      </c>
      <c r="AB254" s="286" t="b">
        <f t="shared" si="25"/>
        <v>1</v>
      </c>
    </row>
    <row r="255" spans="1:28" ht="30.75" customHeight="1" x14ac:dyDescent="0.3">
      <c r="A255" s="352">
        <f>'Unit Data from Audit Worksheet'!A284</f>
        <v>966</v>
      </c>
      <c r="B255" s="168"/>
      <c r="C255" s="169" t="s">
        <v>1134</v>
      </c>
      <c r="D255" s="233"/>
      <c r="E255" s="579" t="str">
        <f>_xlfn.TEXTJOIN(",",,TEXT('Unit Data from Audit Worksheet'!D284,"###-###-####")," "&amp;'Unit Data from Audit Worksheet'!D285)</f>
        <v xml:space="preserve">--, </v>
      </c>
      <c r="F255" s="354" t="str">
        <f>'Unit Data from Audit Worksheet'!F284</f>
        <v>Required</v>
      </c>
      <c r="G255" s="226"/>
      <c r="H255" s="223"/>
      <c r="I255" s="32"/>
      <c r="J255" s="171">
        <v>966</v>
      </c>
      <c r="K255" s="355" t="s">
        <v>407</v>
      </c>
      <c r="L255" s="356" t="str">
        <f t="shared" si="24"/>
        <v xml:space="preserve">--, </v>
      </c>
      <c r="N255" s="311"/>
      <c r="P255" s="204"/>
      <c r="X255" s="286">
        <v>966</v>
      </c>
      <c r="Y255" s="3">
        <v>966</v>
      </c>
      <c r="AA255" s="386">
        <f t="shared" si="20"/>
        <v>0</v>
      </c>
      <c r="AB255" s="286" t="b">
        <f t="shared" si="25"/>
        <v>1</v>
      </c>
    </row>
    <row r="256" spans="1:28" ht="30.75" customHeight="1" x14ac:dyDescent="0.3">
      <c r="A256" s="352">
        <f>'Unit Data from Audit Worksheet'!A286</f>
        <v>968</v>
      </c>
      <c r="B256" s="168"/>
      <c r="C256" s="169" t="str">
        <f>'Unit Data from Audit Worksheet'!B286</f>
        <v>E-mail address</v>
      </c>
      <c r="D256" s="233"/>
      <c r="E256" s="353">
        <f>'Unit Data from Audit Worksheet'!D286</f>
        <v>0</v>
      </c>
      <c r="F256" s="354" t="str">
        <f>'Unit Data from Audit Worksheet'!F286</f>
        <v>Required</v>
      </c>
      <c r="G256" s="226"/>
      <c r="H256" s="223"/>
      <c r="I256" s="32"/>
      <c r="J256" s="171">
        <v>968</v>
      </c>
      <c r="K256" s="355" t="s">
        <v>408</v>
      </c>
      <c r="L256" s="356">
        <f t="shared" si="24"/>
        <v>0</v>
      </c>
      <c r="N256" s="311"/>
      <c r="P256" s="204"/>
      <c r="X256" s="286">
        <v>968</v>
      </c>
      <c r="Y256" s="3">
        <v>968</v>
      </c>
      <c r="AA256" s="386">
        <f t="shared" si="20"/>
        <v>0</v>
      </c>
      <c r="AB256" s="286" t="b">
        <f t="shared" si="25"/>
        <v>1</v>
      </c>
    </row>
    <row r="257" spans="1:28" ht="111" customHeight="1" x14ac:dyDescent="0.3">
      <c r="A257" s="359">
        <v>980</v>
      </c>
      <c r="B257" s="237" t="s">
        <v>600</v>
      </c>
      <c r="C257" s="248" t="str">
        <f>'TD Info Completed by Auditor'!B32</f>
        <v>Date the auditor presented or plans to present Financial Performance Indicators of Concern (FPIC) to the Governing Board.  If there are no FPICs to present to the governing board,  enter "7/1/2023" to indicate that an FPIC response is not required.</v>
      </c>
      <c r="D257" s="233"/>
      <c r="E257" s="635" t="str">
        <f>IF('TD Info Completed by Auditor'!C32&gt;0,'TD Info Completed by Auditor'!C32," ")</f>
        <v xml:space="preserve"> </v>
      </c>
      <c r="F257" s="360" t="s">
        <v>656</v>
      </c>
      <c r="G257" s="226"/>
      <c r="H257" s="223"/>
      <c r="I257" s="32"/>
      <c r="J257" s="249">
        <v>980</v>
      </c>
      <c r="K257" s="250" t="s">
        <v>592</v>
      </c>
      <c r="L257" s="361" t="str">
        <f t="shared" si="24"/>
        <v xml:space="preserve"> </v>
      </c>
      <c r="N257" s="389" t="s">
        <v>657</v>
      </c>
      <c r="P257" s="204"/>
      <c r="X257" s="286" t="e">
        <v>#N/A</v>
      </c>
      <c r="AA257" s="386">
        <f t="shared" si="20"/>
        <v>0</v>
      </c>
      <c r="AB257" s="286" t="b">
        <f t="shared" si="25"/>
        <v>1</v>
      </c>
    </row>
    <row r="258" spans="1:28" s="386" customFormat="1" ht="135.6" customHeight="1" x14ac:dyDescent="0.3">
      <c r="A258" s="212">
        <f>'Unit Data from Audit Worksheet'!A77</f>
        <v>590</v>
      </c>
      <c r="B258" s="212" t="str">
        <f>'Unit Data from Audit Worksheet'!B77</f>
        <v>Fiscal Review, UAL Determination, Financial Performance Indicator</v>
      </c>
      <c r="C258" s="74" t="str">
        <f>'Unit Data from Audit Worksheet'!D77</f>
        <v>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8" s="233"/>
      <c r="E258" s="665" t="str">
        <f>CONCATENATE('Unit Data from Audit Worksheet'!F77," - ",'Unit Data from Audit Worksheet'!G77)</f>
        <v xml:space="preserve"> - </v>
      </c>
      <c r="F258" s="661"/>
      <c r="G258" s="226"/>
      <c r="H258" s="223"/>
      <c r="I258" s="32"/>
      <c r="J258" s="249">
        <v>590</v>
      </c>
      <c r="K258" s="250" t="s">
        <v>1546</v>
      </c>
      <c r="L258" s="666" t="str">
        <f t="shared" si="24"/>
        <v xml:space="preserve"> - </v>
      </c>
      <c r="M258"/>
      <c r="N258" s="389"/>
      <c r="P258" s="204"/>
      <c r="Q258" s="279"/>
      <c r="X258" s="286"/>
      <c r="AB258" s="286"/>
    </row>
    <row r="259" spans="1:28" s="386" customFormat="1" ht="135.6" customHeight="1" x14ac:dyDescent="0.3">
      <c r="A259" s="212">
        <f>'TD Info Completed by Auditor'!A31</f>
        <v>1079</v>
      </c>
      <c r="B259" s="212"/>
      <c r="C259" s="1018" t="str">
        <f>'TD Info Completed by Auditor'!B31</f>
        <v>What date was the audit report submitted to the LGC?  (Note audit reports are due four months after fiscal year end regardless of the contract submission date.)  Enter as "MM/DD/YYYY"</v>
      </c>
      <c r="D259" s="233"/>
      <c r="E259" s="1019">
        <f>'TD Info Completed by Auditor'!C31</f>
        <v>0</v>
      </c>
      <c r="F259" s="1020"/>
      <c r="G259" s="226"/>
      <c r="H259" s="223"/>
      <c r="I259" s="1021"/>
      <c r="J259" s="1022">
        <v>1079</v>
      </c>
      <c r="K259" s="1023" t="s">
        <v>2612</v>
      </c>
      <c r="L259" s="1024">
        <f>E259</f>
        <v>0</v>
      </c>
      <c r="M259" s="180"/>
      <c r="N259" s="389"/>
      <c r="P259" s="204"/>
      <c r="Q259" s="279"/>
      <c r="X259" s="286"/>
      <c r="AB259" s="286"/>
    </row>
    <row r="260" spans="1:28" ht="83.4" customHeight="1" x14ac:dyDescent="0.3">
      <c r="A260" s="334"/>
      <c r="B260" s="90"/>
      <c r="C260" s="335"/>
      <c r="D260" s="337"/>
      <c r="E260" s="338"/>
      <c r="F260" s="339"/>
      <c r="G260" s="340"/>
      <c r="H260" s="341"/>
      <c r="I260" s="32"/>
      <c r="J260" s="161">
        <v>999</v>
      </c>
      <c r="K260" s="348" t="s">
        <v>278</v>
      </c>
      <c r="L260" s="362" t="e">
        <f>'Unit Data from Audit Worksheet'!D3</f>
        <v>#N/A</v>
      </c>
      <c r="N260" s="363" t="s">
        <v>2615</v>
      </c>
      <c r="O260" s="363" t="s">
        <v>655</v>
      </c>
      <c r="P260" s="204"/>
      <c r="X260" s="286" t="e">
        <v>#N/A</v>
      </c>
      <c r="AA260" s="386">
        <f t="shared" si="20"/>
        <v>-999</v>
      </c>
      <c r="AB260" s="286" t="e">
        <f t="shared" si="25"/>
        <v>#N/A</v>
      </c>
    </row>
    <row r="261" spans="1:28" x14ac:dyDescent="0.3">
      <c r="A261" s="187"/>
      <c r="B261" s="187"/>
      <c r="C261" s="187"/>
      <c r="D261" s="187"/>
      <c r="E261" s="187"/>
      <c r="F261" s="187"/>
      <c r="G261" s="187"/>
      <c r="H261" s="187"/>
      <c r="I261" s="187"/>
      <c r="J261" s="3"/>
      <c r="K261" s="3"/>
      <c r="L261" s="3"/>
      <c r="N261" s="4"/>
      <c r="P261" s="204"/>
      <c r="AA261" s="386"/>
    </row>
    <row r="262" spans="1:28" s="386" customFormat="1" x14ac:dyDescent="0.3">
      <c r="A262" s="187"/>
      <c r="B262" s="187"/>
      <c r="C262" s="187"/>
      <c r="D262" s="187"/>
      <c r="E262" s="187"/>
      <c r="F262" s="187"/>
      <c r="G262" s="187"/>
      <c r="H262" s="187"/>
      <c r="I262" s="187"/>
      <c r="M262"/>
      <c r="N262" s="4"/>
      <c r="P262" s="204"/>
      <c r="Q262" s="279"/>
    </row>
    <row r="263" spans="1:28" x14ac:dyDescent="0.3">
      <c r="C263" s="646"/>
      <c r="D263" s="365"/>
      <c r="E263" s="366"/>
      <c r="F263" s="366"/>
      <c r="G263" s="367"/>
      <c r="H263" s="366"/>
      <c r="I263" s="368"/>
      <c r="K263" s="729" t="s">
        <v>1547</v>
      </c>
      <c r="L263" s="731" t="e">
        <f>SUM(L4:L245)</f>
        <v>#N/A</v>
      </c>
      <c r="N263" s="4"/>
      <c r="P263" s="204"/>
      <c r="AA263" s="386"/>
    </row>
    <row r="264" spans="1:28" ht="19.2" customHeight="1" x14ac:dyDescent="0.3">
      <c r="A264"/>
      <c r="B264"/>
      <c r="C264"/>
      <c r="D264"/>
      <c r="E264"/>
      <c r="F264"/>
      <c r="G264" s="367"/>
      <c r="H264" s="366"/>
      <c r="I264" s="368"/>
      <c r="K264" s="730" t="s">
        <v>1531</v>
      </c>
      <c r="L264" s="731"/>
      <c r="N264" s="4"/>
      <c r="P264" s="204"/>
      <c r="AA264" s="386"/>
    </row>
    <row r="265" spans="1:28" ht="21.6" customHeight="1" x14ac:dyDescent="0.7">
      <c r="B265" s="3"/>
      <c r="C265" s="3"/>
      <c r="D265" s="73"/>
      <c r="E265" s="96"/>
      <c r="F265" s="73"/>
      <c r="G265" s="367"/>
      <c r="H265" s="366"/>
      <c r="I265" s="368"/>
      <c r="J265" s="148"/>
      <c r="K265" s="147"/>
      <c r="L265" s="731" t="e">
        <f>L263-L264</f>
        <v>#N/A</v>
      </c>
      <c r="N265" s="4"/>
      <c r="P265" s="204"/>
      <c r="Y265" s="386">
        <v>590</v>
      </c>
      <c r="AA265" s="386"/>
    </row>
    <row r="266" spans="1:28" ht="25.2" customHeight="1" x14ac:dyDescent="0.3">
      <c r="A266" s="187"/>
      <c r="B266" s="187"/>
      <c r="C266" s="187"/>
      <c r="D266" s="187"/>
      <c r="E266" s="187"/>
      <c r="F266" s="366"/>
      <c r="G266" s="367"/>
      <c r="H266" s="366"/>
      <c r="I266" s="368"/>
      <c r="K266" s="10"/>
      <c r="L266" s="369"/>
      <c r="P266" s="204"/>
      <c r="X266" s="286">
        <f>SUM(X5:X211)</f>
        <v>83710</v>
      </c>
      <c r="Y266" s="3">
        <v>96734</v>
      </c>
      <c r="AA266" s="386"/>
    </row>
    <row r="267" spans="1:28" x14ac:dyDescent="0.3">
      <c r="A267" s="187"/>
      <c r="B267" s="187"/>
      <c r="C267" s="187"/>
      <c r="D267" s="187"/>
      <c r="E267" s="187"/>
      <c r="F267" s="366"/>
      <c r="G267" s="367"/>
      <c r="H267" s="366"/>
      <c r="I267" s="368"/>
      <c r="K267" s="10"/>
      <c r="P267" s="204"/>
      <c r="X267" s="286">
        <f>SUM(X247:X256)</f>
        <v>9566</v>
      </c>
      <c r="AA267" s="386"/>
    </row>
    <row r="268" spans="1:28" ht="18.75" customHeight="1" x14ac:dyDescent="0.3">
      <c r="A268" s="187"/>
      <c r="B268" s="187"/>
      <c r="C268" s="187"/>
      <c r="D268" s="187"/>
      <c r="E268" s="187"/>
      <c r="F268" s="366"/>
      <c r="G268" s="367"/>
      <c r="H268" s="366"/>
      <c r="I268" s="368"/>
      <c r="K268" s="10"/>
      <c r="L268"/>
      <c r="P268" s="204"/>
      <c r="Y268" s="3" t="s">
        <v>892</v>
      </c>
      <c r="AA268" s="386"/>
    </row>
    <row r="269" spans="1:28" ht="30.75" customHeight="1" x14ac:dyDescent="0.3">
      <c r="A269" s="187"/>
      <c r="B269" s="187"/>
      <c r="C269" s="187"/>
      <c r="D269" s="187"/>
      <c r="E269" s="187"/>
      <c r="F269" s="366"/>
      <c r="G269" s="367"/>
      <c r="H269" s="366"/>
      <c r="I269" s="368"/>
      <c r="K269" s="10"/>
      <c r="L269" s="369"/>
      <c r="P269" s="204"/>
      <c r="X269" s="286">
        <f>SUM(X266:X268)</f>
        <v>93276</v>
      </c>
      <c r="Y269" s="3">
        <f>Y266</f>
        <v>96734</v>
      </c>
      <c r="Z269" s="286">
        <f>X269-Y269</f>
        <v>-3458</v>
      </c>
      <c r="AA269" s="386"/>
    </row>
    <row r="270" spans="1:28" ht="30.75" customHeight="1" x14ac:dyDescent="0.3">
      <c r="A270" s="187"/>
      <c r="B270" s="187"/>
      <c r="C270" s="187"/>
      <c r="D270" s="187"/>
      <c r="E270" s="187"/>
      <c r="F270" s="366"/>
      <c r="G270" s="367"/>
      <c r="H270" s="366"/>
      <c r="I270" s="368"/>
      <c r="K270" s="10"/>
      <c r="L270" s="369"/>
      <c r="P270" s="204"/>
      <c r="AA270" s="386"/>
    </row>
    <row r="271" spans="1:28" ht="30.75" customHeight="1" x14ac:dyDescent="0.3">
      <c r="A271" s="187"/>
      <c r="B271" s="187"/>
      <c r="C271" s="187"/>
      <c r="D271" s="187"/>
      <c r="E271" s="187"/>
      <c r="F271" s="366"/>
      <c r="G271" s="367"/>
      <c r="H271" s="366"/>
      <c r="I271" s="368"/>
      <c r="K271" s="10"/>
      <c r="L271" s="369"/>
      <c r="P271" s="204"/>
      <c r="AA271" s="386"/>
    </row>
    <row r="272" spans="1:28" ht="30.75" customHeight="1" x14ac:dyDescent="0.3">
      <c r="A272" s="187"/>
      <c r="B272" s="187"/>
      <c r="C272" s="187"/>
      <c r="D272" s="187"/>
      <c r="E272" s="187"/>
      <c r="F272" s="366"/>
      <c r="G272" s="367"/>
      <c r="H272" s="366"/>
      <c r="I272" s="368"/>
      <c r="K272" s="10"/>
      <c r="L272" s="369"/>
      <c r="P272" s="204"/>
      <c r="AA272" s="386"/>
    </row>
    <row r="273" spans="1:27" ht="30.75" customHeight="1" x14ac:dyDescent="0.3">
      <c r="A273" s="187"/>
      <c r="B273" s="187"/>
      <c r="C273" s="187"/>
      <c r="D273" s="187"/>
      <c r="E273" s="187"/>
      <c r="F273" s="366"/>
      <c r="G273" s="367"/>
      <c r="H273" s="366"/>
      <c r="I273" s="368"/>
      <c r="K273" s="10"/>
      <c r="L273" s="369"/>
      <c r="P273" s="204"/>
      <c r="AA273" s="386"/>
    </row>
    <row r="274" spans="1:27" x14ac:dyDescent="0.3">
      <c r="A274" s="187"/>
      <c r="B274" s="187"/>
      <c r="C274" s="187"/>
      <c r="D274" s="187"/>
      <c r="E274" s="187"/>
      <c r="I274" s="368"/>
      <c r="K274" s="10"/>
      <c r="L274" s="369"/>
      <c r="P274" s="204"/>
      <c r="AA274" s="386"/>
    </row>
    <row r="275" spans="1:27" x14ac:dyDescent="0.3">
      <c r="A275" s="187"/>
      <c r="B275" s="187"/>
      <c r="C275" s="187"/>
      <c r="D275" s="187"/>
      <c r="E275" s="187"/>
      <c r="I275" s="368"/>
      <c r="L275" s="369"/>
      <c r="P275" s="204"/>
      <c r="AA275" s="386"/>
    </row>
    <row r="276" spans="1:27" x14ac:dyDescent="0.3">
      <c r="A276" s="5"/>
      <c r="B276" s="370"/>
      <c r="C276" s="23"/>
      <c r="D276" s="72"/>
      <c r="I276" s="368"/>
      <c r="L276" s="369"/>
      <c r="P276" s="204"/>
      <c r="AA276" s="386"/>
    </row>
    <row r="277" spans="1:27" x14ac:dyDescent="0.3">
      <c r="A277" s="5"/>
      <c r="B277" s="370"/>
      <c r="C277" s="23"/>
      <c r="D277" s="72"/>
      <c r="L277" s="369"/>
      <c r="P277" s="204"/>
      <c r="AA277" s="386"/>
    </row>
    <row r="278" spans="1:27" x14ac:dyDescent="0.3">
      <c r="D278" s="72"/>
      <c r="P278" s="204"/>
      <c r="AA278" s="386"/>
    </row>
    <row r="279" spans="1:27" x14ac:dyDescent="0.3">
      <c r="D279" s="72"/>
      <c r="P279" s="204"/>
      <c r="AA279" s="386"/>
    </row>
    <row r="280" spans="1:27" x14ac:dyDescent="0.3">
      <c r="D280" s="72"/>
      <c r="P280" s="204"/>
      <c r="AA280" s="386"/>
    </row>
    <row r="281" spans="1:27" x14ac:dyDescent="0.3">
      <c r="D281" s="72"/>
      <c r="P281" s="204"/>
      <c r="AA281" s="386"/>
    </row>
    <row r="282" spans="1:27" x14ac:dyDescent="0.3">
      <c r="A282" s="5"/>
      <c r="B282" s="370"/>
      <c r="C282" s="23"/>
      <c r="D282" s="72"/>
      <c r="P282" s="204"/>
      <c r="AA282" s="386"/>
    </row>
    <row r="283" spans="1:27" x14ac:dyDescent="0.3">
      <c r="A283" s="5"/>
      <c r="B283" s="370"/>
      <c r="C283" s="23"/>
      <c r="D283" s="72"/>
      <c r="P283" s="204"/>
      <c r="AA283" s="386"/>
    </row>
    <row r="284" spans="1:27" x14ac:dyDescent="0.3">
      <c r="D284" s="72"/>
      <c r="P284" s="204"/>
      <c r="AA284" s="386"/>
    </row>
    <row r="285" spans="1:27" x14ac:dyDescent="0.3">
      <c r="D285" s="72"/>
      <c r="P285" s="204"/>
      <c r="AA285" s="386"/>
    </row>
    <row r="286" spans="1:27" x14ac:dyDescent="0.3">
      <c r="D286" s="72"/>
      <c r="P286" s="204"/>
      <c r="AA286" s="386"/>
    </row>
    <row r="287" spans="1:27" x14ac:dyDescent="0.3">
      <c r="D287" s="72"/>
      <c r="P287" s="204"/>
      <c r="AA287" s="386"/>
    </row>
    <row r="288" spans="1:27" x14ac:dyDescent="0.3">
      <c r="A288" s="5"/>
      <c r="B288" s="370"/>
      <c r="C288" s="23"/>
      <c r="D288" s="72"/>
      <c r="P288" s="204"/>
      <c r="AA288" s="386"/>
    </row>
    <row r="289" spans="1:27" x14ac:dyDescent="0.3">
      <c r="A289" s="5"/>
      <c r="B289" s="370"/>
      <c r="C289" s="23"/>
      <c r="D289" s="72"/>
      <c r="P289" s="204"/>
      <c r="AA289" s="386"/>
    </row>
    <row r="290" spans="1:27" x14ac:dyDescent="0.3">
      <c r="D290" s="72"/>
      <c r="P290" s="204"/>
      <c r="AA290" s="386"/>
    </row>
    <row r="291" spans="1:27" x14ac:dyDescent="0.3">
      <c r="D291" s="72"/>
      <c r="P291" s="204"/>
      <c r="AA291" s="386"/>
    </row>
    <row r="292" spans="1:27" x14ac:dyDescent="0.3">
      <c r="D292" s="72"/>
      <c r="P292" s="204"/>
      <c r="AA292" s="386"/>
    </row>
    <row r="293" spans="1:27" x14ac:dyDescent="0.3">
      <c r="D293" s="72"/>
      <c r="P293" s="204"/>
      <c r="AA293" s="386"/>
    </row>
    <row r="294" spans="1:27" x14ac:dyDescent="0.3">
      <c r="A294" s="5"/>
      <c r="B294" s="370"/>
      <c r="C294" s="23"/>
      <c r="D294" s="72"/>
      <c r="P294" s="204"/>
      <c r="AA294" s="386"/>
    </row>
    <row r="295" spans="1:27" x14ac:dyDescent="0.3">
      <c r="A295" s="5"/>
      <c r="B295" s="370"/>
      <c r="C295" s="23"/>
      <c r="D295" s="72"/>
      <c r="P295" s="204"/>
      <c r="AA295" s="386"/>
    </row>
    <row r="296" spans="1:27" x14ac:dyDescent="0.3">
      <c r="A296" s="5"/>
      <c r="B296" s="370"/>
      <c r="C296" s="23"/>
      <c r="D296" s="72"/>
      <c r="P296" s="204"/>
      <c r="AA296" s="386"/>
    </row>
    <row r="297" spans="1:27" x14ac:dyDescent="0.3">
      <c r="A297" s="5"/>
      <c r="B297" s="370"/>
      <c r="C297" s="23"/>
      <c r="D297" s="72"/>
      <c r="P297" s="204"/>
      <c r="AA297" s="386"/>
    </row>
    <row r="298" spans="1:27" x14ac:dyDescent="0.3">
      <c r="D298" s="72"/>
      <c r="P298" s="204"/>
      <c r="AA298" s="386"/>
    </row>
    <row r="299" spans="1:27" x14ac:dyDescent="0.3">
      <c r="D299" s="72"/>
      <c r="P299" s="204"/>
      <c r="AA299" s="386"/>
    </row>
    <row r="300" spans="1:27" x14ac:dyDescent="0.3">
      <c r="D300" s="72"/>
      <c r="P300" s="204"/>
      <c r="AA300" s="386"/>
    </row>
    <row r="301" spans="1:27" x14ac:dyDescent="0.3">
      <c r="A301" s="5"/>
      <c r="B301" s="370"/>
      <c r="C301" s="23"/>
      <c r="D301" s="72"/>
      <c r="P301" s="204"/>
      <c r="AA301" s="386"/>
    </row>
    <row r="302" spans="1:27" x14ac:dyDescent="0.3">
      <c r="A302" s="5"/>
      <c r="B302" s="370"/>
      <c r="C302" s="23"/>
      <c r="D302" s="72"/>
      <c r="P302" s="204"/>
      <c r="AA302" s="386"/>
    </row>
    <row r="303" spans="1:27" x14ac:dyDescent="0.3">
      <c r="A303" s="5"/>
      <c r="B303" s="370"/>
      <c r="C303" s="23"/>
      <c r="D303" s="72"/>
      <c r="P303" s="204"/>
      <c r="AA303" s="386"/>
    </row>
    <row r="304" spans="1:27" x14ac:dyDescent="0.3">
      <c r="A304" s="5"/>
      <c r="B304" s="370"/>
      <c r="C304" s="23"/>
      <c r="D304" s="72"/>
      <c r="P304" s="204"/>
      <c r="AA304" s="386"/>
    </row>
    <row r="305" spans="1:27" x14ac:dyDescent="0.3">
      <c r="A305" s="5"/>
      <c r="B305" s="370"/>
      <c r="C305" s="23"/>
      <c r="D305" s="72"/>
      <c r="P305" s="204"/>
      <c r="AA305" s="386"/>
    </row>
    <row r="306" spans="1:27" x14ac:dyDescent="0.3">
      <c r="A306" s="5"/>
      <c r="B306" s="370"/>
      <c r="C306" s="23"/>
      <c r="D306" s="72"/>
      <c r="P306" s="204"/>
      <c r="AA306" s="386"/>
    </row>
    <row r="307" spans="1:27" x14ac:dyDescent="0.3">
      <c r="A307" s="5"/>
      <c r="B307" s="370"/>
      <c r="C307" s="23"/>
      <c r="D307" s="72"/>
      <c r="P307" s="204"/>
      <c r="AA307" s="386"/>
    </row>
    <row r="308" spans="1:27" x14ac:dyDescent="0.3">
      <c r="A308" s="5"/>
      <c r="B308" s="370"/>
      <c r="C308" s="23"/>
      <c r="D308" s="72"/>
      <c r="P308" s="204"/>
      <c r="AA308" s="386"/>
    </row>
    <row r="309" spans="1:27" x14ac:dyDescent="0.3">
      <c r="A309" s="5"/>
      <c r="B309" s="370"/>
      <c r="C309" s="23"/>
      <c r="D309" s="72"/>
      <c r="P309" s="204"/>
      <c r="AA309" s="386"/>
    </row>
    <row r="310" spans="1:27" x14ac:dyDescent="0.3">
      <c r="A310" s="5"/>
      <c r="B310" s="370"/>
      <c r="C310" s="23"/>
      <c r="D310" s="72"/>
      <c r="P310" s="204"/>
      <c r="AA310" s="386"/>
    </row>
    <row r="311" spans="1:27" x14ac:dyDescent="0.3">
      <c r="A311" s="5"/>
      <c r="B311" s="370"/>
      <c r="C311" s="23"/>
      <c r="D311" s="72"/>
      <c r="P311" s="204"/>
      <c r="AA311" s="386"/>
    </row>
    <row r="312" spans="1:27" x14ac:dyDescent="0.3">
      <c r="A312" s="5"/>
      <c r="B312" s="370"/>
      <c r="C312" s="23"/>
      <c r="D312" s="72"/>
      <c r="P312" s="204"/>
      <c r="AA312" s="386"/>
    </row>
    <row r="313" spans="1:27" x14ac:dyDescent="0.3">
      <c r="A313" s="5"/>
      <c r="B313" s="370"/>
      <c r="C313" s="23"/>
      <c r="D313" s="72"/>
      <c r="P313" s="204"/>
      <c r="AA313" s="386"/>
    </row>
    <row r="314" spans="1:27" x14ac:dyDescent="0.3">
      <c r="A314" s="5"/>
      <c r="B314" s="370"/>
      <c r="C314" s="23"/>
      <c r="D314" s="72"/>
      <c r="P314" s="204"/>
      <c r="AA314" s="386"/>
    </row>
    <row r="315" spans="1:27" x14ac:dyDescent="0.3">
      <c r="A315" s="5"/>
      <c r="B315" s="370"/>
      <c r="C315" s="23"/>
      <c r="D315" s="72"/>
      <c r="P315" s="204"/>
      <c r="AA315" s="386"/>
    </row>
    <row r="316" spans="1:27" x14ac:dyDescent="0.3">
      <c r="A316" s="5"/>
      <c r="B316" s="370"/>
      <c r="C316" s="23"/>
      <c r="D316" s="72"/>
      <c r="P316" s="204"/>
      <c r="AA316" s="386"/>
    </row>
    <row r="317" spans="1:27" x14ac:dyDescent="0.3">
      <c r="A317" s="5"/>
      <c r="B317" s="370"/>
      <c r="C317" s="23"/>
      <c r="D317" s="72"/>
      <c r="P317" s="204"/>
      <c r="AA317" s="386"/>
    </row>
    <row r="318" spans="1:27" x14ac:dyDescent="0.3">
      <c r="A318" s="5"/>
      <c r="B318" s="370"/>
      <c r="C318" s="23"/>
      <c r="D318" s="72"/>
      <c r="P318" s="204"/>
      <c r="AA318" s="386"/>
    </row>
    <row r="319" spans="1:27" x14ac:dyDescent="0.3">
      <c r="A319" s="5"/>
      <c r="B319" s="370"/>
      <c r="C319" s="23"/>
      <c r="D319" s="72"/>
      <c r="P319" s="204"/>
      <c r="AA319" s="386"/>
    </row>
    <row r="320" spans="1:27" x14ac:dyDescent="0.3">
      <c r="A320" s="5"/>
      <c r="B320" s="370"/>
      <c r="C320" s="23"/>
      <c r="D320" s="72"/>
      <c r="P320" s="204"/>
    </row>
    <row r="321" spans="1:16" x14ac:dyDescent="0.3">
      <c r="A321" s="5"/>
      <c r="B321" s="370"/>
      <c r="C321" s="23"/>
      <c r="D321" s="72"/>
      <c r="P321" s="204"/>
    </row>
    <row r="322" spans="1:16" x14ac:dyDescent="0.3">
      <c r="A322" s="5"/>
      <c r="B322" s="370"/>
      <c r="C322" s="23"/>
      <c r="D322" s="72"/>
      <c r="P322" s="204"/>
    </row>
    <row r="323" spans="1:16" x14ac:dyDescent="0.3">
      <c r="A323" s="5"/>
      <c r="B323" s="370"/>
      <c r="C323" s="23"/>
      <c r="D323" s="72"/>
      <c r="P323" s="204"/>
    </row>
    <row r="324" spans="1:16" x14ac:dyDescent="0.3">
      <c r="A324" s="5"/>
      <c r="B324" s="370"/>
      <c r="C324" s="23"/>
      <c r="D324" s="72"/>
      <c r="P324" s="204"/>
    </row>
    <row r="325" spans="1:16" x14ac:dyDescent="0.3">
      <c r="A325" s="5"/>
      <c r="B325" s="370"/>
      <c r="C325" s="23"/>
      <c r="D325" s="72"/>
      <c r="P325" s="204"/>
    </row>
    <row r="326" spans="1:16" x14ac:dyDescent="0.3">
      <c r="A326" s="5"/>
      <c r="B326" s="370"/>
      <c r="C326" s="23"/>
      <c r="D326" s="72"/>
      <c r="P326" s="204"/>
    </row>
    <row r="327" spans="1:16" x14ac:dyDescent="0.3">
      <c r="A327" s="5"/>
      <c r="B327" s="370"/>
      <c r="C327" s="23"/>
      <c r="D327" s="72"/>
      <c r="P327" s="204"/>
    </row>
    <row r="328" spans="1:16" x14ac:dyDescent="0.3">
      <c r="A328" s="5"/>
      <c r="B328" s="370"/>
      <c r="C328" s="23"/>
      <c r="D328" s="72"/>
      <c r="P328" s="204"/>
    </row>
    <row r="329" spans="1:16" x14ac:dyDescent="0.3">
      <c r="A329" s="5"/>
      <c r="B329" s="370"/>
      <c r="C329" s="23"/>
      <c r="D329" s="72"/>
      <c r="P329" s="204"/>
    </row>
    <row r="330" spans="1:16" x14ac:dyDescent="0.3">
      <c r="A330" s="5"/>
      <c r="B330" s="370"/>
      <c r="C330" s="23"/>
      <c r="D330" s="72"/>
      <c r="P330" s="204"/>
    </row>
    <row r="331" spans="1:16" x14ac:dyDescent="0.3">
      <c r="A331" s="5"/>
      <c r="B331" s="370"/>
      <c r="C331" s="23"/>
      <c r="D331" s="72"/>
      <c r="P331" s="204"/>
    </row>
    <row r="332" spans="1:16" x14ac:dyDescent="0.3">
      <c r="A332" s="5"/>
      <c r="B332" s="370"/>
      <c r="C332" s="23"/>
      <c r="D332" s="72"/>
      <c r="P332" s="204"/>
    </row>
    <row r="333" spans="1:16" x14ac:dyDescent="0.3">
      <c r="A333" s="5"/>
      <c r="B333" s="370"/>
      <c r="C333" s="23"/>
      <c r="D333" s="72"/>
      <c r="P333" s="204"/>
    </row>
    <row r="334" spans="1:16" x14ac:dyDescent="0.3">
      <c r="A334" s="5"/>
      <c r="B334" s="370"/>
      <c r="C334" s="23"/>
      <c r="D334" s="72"/>
      <c r="P334" s="204"/>
    </row>
    <row r="335" spans="1:16" x14ac:dyDescent="0.3">
      <c r="A335" s="5"/>
      <c r="B335" s="370"/>
      <c r="C335" s="23"/>
      <c r="D335" s="72"/>
      <c r="P335" s="204"/>
    </row>
    <row r="336" spans="1:16" x14ac:dyDescent="0.3">
      <c r="A336" s="5"/>
      <c r="B336" s="370"/>
      <c r="C336" s="23"/>
      <c r="D336" s="72"/>
      <c r="P336" s="204"/>
    </row>
    <row r="337" spans="1:16" x14ac:dyDescent="0.3">
      <c r="A337" s="5"/>
      <c r="B337" s="370"/>
      <c r="C337" s="23"/>
      <c r="D337" s="72"/>
      <c r="P337" s="204"/>
    </row>
    <row r="338" spans="1:16" x14ac:dyDescent="0.3">
      <c r="A338" s="5"/>
      <c r="B338" s="370"/>
      <c r="C338" s="23"/>
      <c r="D338" s="72"/>
      <c r="P338" s="204"/>
    </row>
    <row r="339" spans="1:16" x14ac:dyDescent="0.3">
      <c r="A339" s="5"/>
      <c r="B339" s="370"/>
      <c r="C339" s="23"/>
      <c r="D339" s="72"/>
      <c r="P339" s="204"/>
    </row>
    <row r="340" spans="1:16" x14ac:dyDescent="0.3">
      <c r="A340" s="5"/>
      <c r="B340" s="370"/>
      <c r="C340" s="23"/>
      <c r="D340" s="72"/>
      <c r="P340" s="204"/>
    </row>
    <row r="341" spans="1:16" x14ac:dyDescent="0.3">
      <c r="A341" s="5"/>
      <c r="B341" s="370"/>
      <c r="C341" s="23"/>
      <c r="D341" s="72"/>
      <c r="P341" s="204"/>
    </row>
    <row r="342" spans="1:16" x14ac:dyDescent="0.3">
      <c r="A342" s="5"/>
      <c r="B342" s="370"/>
      <c r="C342" s="23"/>
      <c r="D342" s="72"/>
      <c r="P342" s="204"/>
    </row>
    <row r="343" spans="1:16" x14ac:dyDescent="0.3">
      <c r="A343" s="5"/>
      <c r="B343" s="370"/>
      <c r="C343" s="23"/>
      <c r="D343" s="72"/>
      <c r="P343" s="204"/>
    </row>
    <row r="344" spans="1:16" x14ac:dyDescent="0.3">
      <c r="A344" s="5"/>
      <c r="B344" s="370"/>
      <c r="C344" s="23"/>
      <c r="D344" s="72"/>
      <c r="P344" s="204"/>
    </row>
    <row r="345" spans="1:16" x14ac:dyDescent="0.3">
      <c r="A345" s="5"/>
      <c r="B345" s="370"/>
      <c r="C345" s="23"/>
      <c r="D345" s="72"/>
      <c r="P345" s="204"/>
    </row>
    <row r="346" spans="1:16" x14ac:dyDescent="0.3">
      <c r="A346" s="5"/>
      <c r="B346" s="370"/>
      <c r="C346" s="23"/>
      <c r="D346" s="72"/>
      <c r="P346" s="204"/>
    </row>
    <row r="347" spans="1:16" x14ac:dyDescent="0.3">
      <c r="A347" s="5"/>
      <c r="B347" s="370"/>
      <c r="C347" s="23"/>
      <c r="D347" s="72"/>
      <c r="P347" s="204"/>
    </row>
    <row r="348" spans="1:16" x14ac:dyDescent="0.3">
      <c r="A348" s="5"/>
      <c r="B348" s="370"/>
      <c r="C348" s="23"/>
      <c r="D348" s="72"/>
      <c r="P348" s="204"/>
    </row>
    <row r="349" spans="1:16" x14ac:dyDescent="0.3">
      <c r="A349" s="5"/>
      <c r="B349" s="370"/>
      <c r="C349" s="23"/>
      <c r="D349" s="72"/>
      <c r="P349" s="204"/>
    </row>
    <row r="350" spans="1:16" x14ac:dyDescent="0.3">
      <c r="A350" s="5"/>
      <c r="B350" s="370"/>
      <c r="C350" s="23"/>
      <c r="D350" s="72"/>
      <c r="P350" s="204"/>
    </row>
    <row r="351" spans="1:16" x14ac:dyDescent="0.3">
      <c r="A351" s="5"/>
      <c r="B351" s="370"/>
      <c r="C351" s="23"/>
      <c r="D351" s="72"/>
      <c r="P351" s="204"/>
    </row>
    <row r="352" spans="1:16" x14ac:dyDescent="0.3">
      <c r="A352" s="5"/>
      <c r="B352" s="370"/>
      <c r="C352" s="23"/>
      <c r="D352" s="72"/>
      <c r="P352" s="204"/>
    </row>
    <row r="353" spans="1:16" x14ac:dyDescent="0.3">
      <c r="A353" s="5"/>
      <c r="B353" s="370"/>
      <c r="C353" s="23"/>
      <c r="D353" s="72"/>
      <c r="P353" s="204"/>
    </row>
    <row r="354" spans="1:16" x14ac:dyDescent="0.3">
      <c r="A354" s="5"/>
      <c r="B354" s="370"/>
      <c r="C354" s="23"/>
      <c r="D354" s="72"/>
      <c r="P354" s="204"/>
    </row>
    <row r="355" spans="1:16" x14ac:dyDescent="0.3">
      <c r="A355" s="5"/>
      <c r="B355" s="370"/>
      <c r="C355" s="23"/>
      <c r="D355" s="72"/>
      <c r="P355" s="204"/>
    </row>
    <row r="356" spans="1:16" x14ac:dyDescent="0.3">
      <c r="A356" s="5"/>
      <c r="B356" s="370"/>
      <c r="C356" s="23"/>
      <c r="D356" s="72"/>
      <c r="P356" s="204"/>
    </row>
    <row r="357" spans="1:16" x14ac:dyDescent="0.3">
      <c r="A357" s="5"/>
      <c r="B357" s="370"/>
      <c r="C357" s="23"/>
      <c r="D357" s="72"/>
      <c r="P357" s="204"/>
    </row>
    <row r="358" spans="1:16" x14ac:dyDescent="0.3">
      <c r="A358" s="5"/>
      <c r="B358" s="370"/>
      <c r="C358" s="23"/>
      <c r="D358" s="72"/>
      <c r="P358" s="204"/>
    </row>
    <row r="359" spans="1:16" x14ac:dyDescent="0.3">
      <c r="A359" s="5"/>
      <c r="B359" s="370"/>
      <c r="C359" s="23"/>
      <c r="D359" s="72"/>
      <c r="P359" s="204"/>
    </row>
    <row r="360" spans="1:16" x14ac:dyDescent="0.3">
      <c r="A360" s="5"/>
      <c r="B360" s="370"/>
      <c r="C360" s="23"/>
      <c r="D360" s="72"/>
      <c r="P360" s="204"/>
    </row>
    <row r="361" spans="1:16" x14ac:dyDescent="0.3">
      <c r="A361" s="5"/>
      <c r="B361" s="370"/>
      <c r="C361" s="23"/>
      <c r="D361" s="72"/>
      <c r="P361" s="204"/>
    </row>
    <row r="362" spans="1:16" x14ac:dyDescent="0.3">
      <c r="A362" s="5"/>
      <c r="B362" s="370"/>
      <c r="C362" s="23"/>
      <c r="D362" s="72"/>
      <c r="P362" s="204"/>
    </row>
    <row r="363" spans="1:16" x14ac:dyDescent="0.3">
      <c r="A363" s="5"/>
      <c r="B363" s="370"/>
      <c r="C363" s="23"/>
      <c r="D363" s="72"/>
      <c r="P363" s="204"/>
    </row>
    <row r="364" spans="1:16" x14ac:dyDescent="0.3">
      <c r="A364" s="5"/>
      <c r="B364" s="370"/>
      <c r="C364" s="23"/>
      <c r="D364" s="72"/>
      <c r="P364" s="204"/>
    </row>
    <row r="365" spans="1:16" x14ac:dyDescent="0.3">
      <c r="A365" s="5"/>
      <c r="B365" s="370"/>
      <c r="C365" s="23"/>
      <c r="D365" s="72"/>
      <c r="P365" s="204"/>
    </row>
    <row r="366" spans="1:16" x14ac:dyDescent="0.3">
      <c r="A366" s="5"/>
      <c r="B366" s="370"/>
      <c r="C366" s="23"/>
      <c r="D366" s="72"/>
      <c r="P366" s="204"/>
    </row>
    <row r="367" spans="1:16" x14ac:dyDescent="0.3">
      <c r="A367" s="5"/>
      <c r="B367" s="370"/>
      <c r="C367" s="23"/>
      <c r="D367" s="72"/>
      <c r="P367" s="204"/>
    </row>
    <row r="368" spans="1:16" x14ac:dyDescent="0.3">
      <c r="A368" s="5"/>
      <c r="B368" s="370"/>
      <c r="C368" s="23"/>
      <c r="D368" s="72"/>
      <c r="P368" s="204"/>
    </row>
    <row r="369" spans="1:16" x14ac:dyDescent="0.3">
      <c r="A369" s="5"/>
      <c r="B369" s="370"/>
      <c r="C369" s="23"/>
      <c r="D369" s="72"/>
      <c r="P369" s="204"/>
    </row>
    <row r="370" spans="1:16" x14ac:dyDescent="0.3">
      <c r="A370" s="5"/>
      <c r="B370" s="370"/>
      <c r="C370" s="23"/>
      <c r="D370" s="72"/>
      <c r="P370" s="204"/>
    </row>
    <row r="371" spans="1:16" x14ac:dyDescent="0.3">
      <c r="A371" s="5"/>
      <c r="B371" s="370"/>
      <c r="C371" s="23"/>
      <c r="D371" s="72"/>
      <c r="P371" s="204"/>
    </row>
    <row r="372" spans="1:16" x14ac:dyDescent="0.3">
      <c r="A372" s="5"/>
      <c r="B372" s="370"/>
      <c r="C372" s="23"/>
      <c r="D372" s="72"/>
      <c r="P372" s="204"/>
    </row>
    <row r="373" spans="1:16" x14ac:dyDescent="0.3">
      <c r="A373" s="5"/>
      <c r="B373" s="370"/>
      <c r="C373" s="23"/>
      <c r="D373" s="72"/>
      <c r="P373" s="204"/>
    </row>
    <row r="374" spans="1:16" x14ac:dyDescent="0.3">
      <c r="A374" s="5"/>
      <c r="B374" s="370"/>
      <c r="C374" s="23"/>
      <c r="D374" s="72"/>
      <c r="P374" s="204"/>
    </row>
    <row r="375" spans="1:16" x14ac:dyDescent="0.3">
      <c r="A375" s="5"/>
      <c r="B375" s="370"/>
      <c r="C375" s="23"/>
      <c r="D375" s="72"/>
      <c r="P375" s="204"/>
    </row>
    <row r="376" spans="1:16" x14ac:dyDescent="0.3">
      <c r="A376" s="5"/>
      <c r="B376" s="370"/>
      <c r="C376" s="23"/>
      <c r="D376" s="72"/>
      <c r="P376" s="204"/>
    </row>
    <row r="377" spans="1:16" x14ac:dyDescent="0.3">
      <c r="A377" s="5"/>
      <c r="B377" s="370"/>
      <c r="C377" s="23"/>
      <c r="D377" s="72"/>
      <c r="P377" s="204"/>
    </row>
    <row r="378" spans="1:16" x14ac:dyDescent="0.3">
      <c r="A378" s="5"/>
      <c r="B378" s="370"/>
      <c r="C378" s="23"/>
      <c r="D378" s="72"/>
      <c r="P378" s="204"/>
    </row>
    <row r="379" spans="1:16" x14ac:dyDescent="0.3">
      <c r="A379" s="5"/>
      <c r="B379" s="370"/>
      <c r="C379" s="23"/>
      <c r="D379" s="72"/>
    </row>
    <row r="380" spans="1:16" x14ac:dyDescent="0.3">
      <c r="A380" s="5"/>
      <c r="B380" s="370"/>
      <c r="C380" s="23"/>
      <c r="D380" s="72"/>
      <c r="P380" s="204"/>
    </row>
    <row r="381" spans="1:16" x14ac:dyDescent="0.3">
      <c r="A381" s="5"/>
      <c r="B381" s="370"/>
      <c r="C381" s="23"/>
      <c r="D381" s="72"/>
    </row>
    <row r="382" spans="1:16" x14ac:dyDescent="0.3">
      <c r="A382" s="5"/>
      <c r="B382" s="370"/>
      <c r="C382" s="23"/>
      <c r="D382" s="72"/>
    </row>
    <row r="383" spans="1:16" x14ac:dyDescent="0.3">
      <c r="A383" s="5"/>
      <c r="B383" s="370"/>
      <c r="C383" s="23"/>
      <c r="D383" s="72"/>
    </row>
    <row r="384" spans="1:16" x14ac:dyDescent="0.3">
      <c r="A384" s="5"/>
      <c r="B384" s="370"/>
      <c r="C384" s="23"/>
      <c r="D384" s="72"/>
    </row>
    <row r="385" spans="1:4" x14ac:dyDescent="0.3">
      <c r="A385" s="5"/>
      <c r="B385" s="370"/>
      <c r="C385" s="23"/>
      <c r="D385" s="72"/>
    </row>
    <row r="386" spans="1:4" x14ac:dyDescent="0.3">
      <c r="A386" s="5"/>
      <c r="B386" s="370"/>
      <c r="C386" s="23"/>
      <c r="D386" s="72"/>
    </row>
    <row r="387" spans="1:4" x14ac:dyDescent="0.3">
      <c r="A387" s="5"/>
      <c r="B387" s="370"/>
      <c r="C387" s="23"/>
      <c r="D387" s="72"/>
    </row>
    <row r="388" spans="1:4" x14ac:dyDescent="0.3">
      <c r="A388" s="5"/>
      <c r="B388" s="370"/>
      <c r="C388" s="23"/>
      <c r="D388" s="72"/>
    </row>
    <row r="389" spans="1:4" x14ac:dyDescent="0.3">
      <c r="A389" s="5"/>
      <c r="B389" s="370"/>
      <c r="C389" s="23"/>
      <c r="D389" s="72"/>
    </row>
    <row r="390" spans="1:4" x14ac:dyDescent="0.3">
      <c r="A390" s="5"/>
      <c r="B390" s="370"/>
      <c r="C390" s="23"/>
      <c r="D390" s="72"/>
    </row>
    <row r="391" spans="1:4" x14ac:dyDescent="0.3">
      <c r="A391" s="5"/>
      <c r="B391" s="370"/>
      <c r="C391" s="23"/>
      <c r="D391" s="72"/>
    </row>
    <row r="392" spans="1:4" x14ac:dyDescent="0.3">
      <c r="A392" s="5"/>
      <c r="B392" s="370"/>
      <c r="C392" s="23"/>
      <c r="D392" s="72"/>
    </row>
    <row r="393" spans="1:4" x14ac:dyDescent="0.3">
      <c r="A393" s="5"/>
      <c r="B393" s="370"/>
      <c r="C393" s="23"/>
      <c r="D393" s="72"/>
    </row>
    <row r="394" spans="1:4" x14ac:dyDescent="0.3">
      <c r="A394" s="5"/>
      <c r="B394" s="370"/>
      <c r="C394" s="23"/>
      <c r="D394" s="72"/>
    </row>
    <row r="395" spans="1:4" x14ac:dyDescent="0.3">
      <c r="A395" s="5"/>
      <c r="B395" s="370"/>
      <c r="C395" s="23"/>
      <c r="D395" s="72"/>
    </row>
    <row r="396" spans="1:4" x14ac:dyDescent="0.3">
      <c r="A396" s="5"/>
      <c r="B396" s="370"/>
      <c r="C396" s="23"/>
      <c r="D396" s="72"/>
    </row>
    <row r="397" spans="1:4" x14ac:dyDescent="0.3">
      <c r="A397" s="5"/>
      <c r="B397" s="370"/>
      <c r="C397" s="23"/>
      <c r="D397" s="72"/>
    </row>
    <row r="398" spans="1:4" x14ac:dyDescent="0.3">
      <c r="A398" s="5"/>
      <c r="B398" s="370"/>
      <c r="C398" s="23"/>
      <c r="D398" s="72"/>
    </row>
    <row r="399" spans="1:4" x14ac:dyDescent="0.3">
      <c r="A399" s="5"/>
      <c r="B399" s="370"/>
      <c r="C399" s="23"/>
      <c r="D399" s="72"/>
    </row>
    <row r="400" spans="1:4" x14ac:dyDescent="0.3">
      <c r="A400" s="5"/>
      <c r="B400" s="370"/>
      <c r="C400" s="23"/>
      <c r="D400" s="72"/>
    </row>
    <row r="401" spans="1:4" x14ac:dyDescent="0.3">
      <c r="A401" s="5"/>
      <c r="B401" s="370"/>
      <c r="C401" s="23"/>
      <c r="D401" s="72"/>
    </row>
    <row r="402" spans="1:4" x14ac:dyDescent="0.3">
      <c r="A402" s="5"/>
      <c r="B402" s="370"/>
      <c r="C402" s="23"/>
      <c r="D402" s="72"/>
    </row>
    <row r="403" spans="1:4" x14ac:dyDescent="0.3">
      <c r="A403" s="5"/>
      <c r="B403" s="370"/>
      <c r="C403" s="23"/>
      <c r="D403" s="72"/>
    </row>
    <row r="404" spans="1:4" x14ac:dyDescent="0.3">
      <c r="A404" s="5"/>
      <c r="B404" s="370"/>
      <c r="C404" s="23"/>
      <c r="D404" s="72"/>
    </row>
    <row r="405" spans="1:4" x14ac:dyDescent="0.3">
      <c r="A405" s="5"/>
      <c r="B405" s="370"/>
      <c r="C405" s="23"/>
      <c r="D405" s="72"/>
    </row>
    <row r="406" spans="1:4" x14ac:dyDescent="0.3">
      <c r="A406" s="5"/>
      <c r="B406" s="370"/>
      <c r="C406" s="23"/>
      <c r="D406" s="72"/>
    </row>
    <row r="407" spans="1:4" x14ac:dyDescent="0.3">
      <c r="A407" s="5"/>
      <c r="B407" s="370"/>
      <c r="C407" s="23"/>
      <c r="D407" s="72"/>
    </row>
    <row r="408" spans="1:4" x14ac:dyDescent="0.3">
      <c r="A408" s="5"/>
      <c r="B408" s="370"/>
      <c r="C408" s="23"/>
      <c r="D408" s="72"/>
    </row>
    <row r="409" spans="1:4" x14ac:dyDescent="0.3">
      <c r="A409" s="5"/>
      <c r="B409" s="370"/>
      <c r="C409" s="23"/>
      <c r="D409" s="72"/>
    </row>
    <row r="410" spans="1:4" x14ac:dyDescent="0.3">
      <c r="A410" s="5"/>
      <c r="B410" s="370"/>
      <c r="C410" s="23"/>
      <c r="D410" s="72"/>
    </row>
    <row r="411" spans="1:4" x14ac:dyDescent="0.3">
      <c r="A411" s="5"/>
      <c r="B411" s="370"/>
      <c r="C411" s="23"/>
      <c r="D411" s="72"/>
    </row>
    <row r="412" spans="1:4" x14ac:dyDescent="0.3">
      <c r="A412" s="5"/>
      <c r="B412" s="370"/>
      <c r="C412" s="2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row r="713" spans="4:4" x14ac:dyDescent="0.3">
      <c r="D713" s="72"/>
    </row>
    <row r="714" spans="4:4" x14ac:dyDescent="0.3">
      <c r="D714" s="72"/>
    </row>
  </sheetData>
  <sheetProtection formatCells="0" formatColumns="0" formatRows="0"/>
  <conditionalFormatting sqref="G33 G68:G69">
    <cfRule type="cellIs" dxfId="35" priority="93" stopIfTrue="1" operator="notEqual">
      <formula>0</formula>
    </cfRule>
  </conditionalFormatting>
  <conditionalFormatting sqref="G34">
    <cfRule type="cellIs" dxfId="34" priority="92" stopIfTrue="1" operator="notEqual">
      <formula>0</formula>
    </cfRule>
  </conditionalFormatting>
  <conditionalFormatting sqref="G51">
    <cfRule type="cellIs" dxfId="33" priority="91" stopIfTrue="1" operator="notEqual">
      <formula>0</formula>
    </cfRule>
  </conditionalFormatting>
  <conditionalFormatting sqref="G67">
    <cfRule type="cellIs" dxfId="32" priority="90" stopIfTrue="1" operator="notEqual">
      <formula>0</formula>
    </cfRule>
  </conditionalFormatting>
  <conditionalFormatting sqref="G89">
    <cfRule type="cellIs" dxfId="31" priority="88" stopIfTrue="1" operator="notEqual">
      <formula>0</formula>
    </cfRule>
  </conditionalFormatting>
  <conditionalFormatting sqref="G107">
    <cfRule type="cellIs" dxfId="30" priority="87" stopIfTrue="1" operator="notEqual">
      <formula>0</formula>
    </cfRule>
  </conditionalFormatting>
  <conditionalFormatting sqref="G120">
    <cfRule type="cellIs" dxfId="29" priority="86" stopIfTrue="1" operator="notEqual">
      <formula>0</formula>
    </cfRule>
  </conditionalFormatting>
  <conditionalFormatting sqref="G121">
    <cfRule type="cellIs" dxfId="28" priority="85" stopIfTrue="1" operator="notEqual">
      <formula>0</formula>
    </cfRule>
  </conditionalFormatting>
  <conditionalFormatting sqref="G136">
    <cfRule type="cellIs" dxfId="27" priority="84" stopIfTrue="1" operator="notEqual">
      <formula>0</formula>
    </cfRule>
  </conditionalFormatting>
  <conditionalFormatting sqref="G137">
    <cfRule type="cellIs" dxfId="26" priority="83" stopIfTrue="1" operator="notEqual">
      <formula>0</formula>
    </cfRule>
  </conditionalFormatting>
  <conditionalFormatting sqref="H203:H205">
    <cfRule type="cellIs" priority="79" stopIfTrue="1" operator="equal">
      <formula>";;;"</formula>
    </cfRule>
  </conditionalFormatting>
  <conditionalFormatting sqref="H203">
    <cfRule type="cellIs" dxfId="25" priority="78" stopIfTrue="1" operator="equal">
      <formula>0</formula>
    </cfRule>
  </conditionalFormatting>
  <conditionalFormatting sqref="H204">
    <cfRule type="cellIs" dxfId="24" priority="77" stopIfTrue="1" operator="equal">
      <formula>0</formula>
    </cfRule>
  </conditionalFormatting>
  <conditionalFormatting sqref="H205">
    <cfRule type="cellIs" dxfId="23" priority="76" stopIfTrue="1" operator="equal">
      <formula>0</formula>
    </cfRule>
  </conditionalFormatting>
  <conditionalFormatting sqref="H205">
    <cfRule type="cellIs" dxfId="22" priority="75" stopIfTrue="1" operator="equal">
      <formula>0</formula>
    </cfRule>
  </conditionalFormatting>
  <conditionalFormatting sqref="H203">
    <cfRule type="cellIs" dxfId="21" priority="74" stopIfTrue="1" operator="equal">
      <formula>0</formula>
    </cfRule>
  </conditionalFormatting>
  <conditionalFormatting sqref="G21">
    <cfRule type="cellIs" dxfId="20" priority="73" stopIfTrue="1" operator="notEqual">
      <formula>0</formula>
    </cfRule>
  </conditionalFormatting>
  <conditionalFormatting sqref="G7">
    <cfRule type="containsText" dxfId="19" priority="71" stopIfTrue="1" operator="containsText" text="Included in error count">
      <formula>NOT(ISERROR(SEARCH("Included in error count",G7)))</formula>
    </cfRule>
    <cfRule type="cellIs" dxfId="18" priority="72" stopIfTrue="1" operator="equal">
      <formula>1</formula>
    </cfRule>
  </conditionalFormatting>
  <conditionalFormatting sqref="G41">
    <cfRule type="containsText" dxfId="17" priority="69" stopIfTrue="1" operator="containsText" text="Included in error count">
      <formula>NOT(ISERROR(SEARCH("Included in error count",G41)))</formula>
    </cfRule>
    <cfRule type="cellIs" dxfId="16" priority="70" stopIfTrue="1" operator="equal">
      <formula>1</formula>
    </cfRule>
  </conditionalFormatting>
  <conditionalFormatting sqref="G76:G77">
    <cfRule type="containsText" dxfId="15" priority="67" stopIfTrue="1" operator="containsText" text="Included in error count">
      <formula>NOT(ISERROR(SEARCH("Included in error count",G76)))</formula>
    </cfRule>
    <cfRule type="cellIs" dxfId="14" priority="68" stopIfTrue="1" operator="equal">
      <formula>1</formula>
    </cfRule>
  </conditionalFormatting>
  <conditionalFormatting sqref="G78">
    <cfRule type="containsText" dxfId="13" priority="65" stopIfTrue="1" operator="containsText" text="Included in error count">
      <formula>NOT(ISERROR(SEARCH("Included in error count",G78)))</formula>
    </cfRule>
    <cfRule type="cellIs" dxfId="12" priority="66" stopIfTrue="1" operator="equal">
      <formula>1</formula>
    </cfRule>
  </conditionalFormatting>
  <conditionalFormatting sqref="G87">
    <cfRule type="containsText" dxfId="11" priority="61" stopIfTrue="1" operator="containsText" text="Included in error count">
      <formula>NOT(ISERROR(SEARCH("Included in error count",G87)))</formula>
    </cfRule>
    <cfRule type="cellIs" dxfId="10" priority="62" stopIfTrue="1" operator="equal">
      <formula>1</formula>
    </cfRule>
  </conditionalFormatting>
  <conditionalFormatting sqref="G109">
    <cfRule type="containsText" dxfId="9" priority="57" stopIfTrue="1" operator="containsText" text="Included in error count">
      <formula>NOT(ISERROR(SEARCH("Included in error count",G109)))</formula>
    </cfRule>
    <cfRule type="cellIs" dxfId="8" priority="58" stopIfTrue="1" operator="equal">
      <formula>1</formula>
    </cfRule>
  </conditionalFormatting>
  <conditionalFormatting sqref="G203">
    <cfRule type="containsText" dxfId="7" priority="46" stopIfTrue="1" operator="containsText" text="Included in error count">
      <formula>NOT(ISERROR(SEARCH("Included in error count",G203)))</formula>
    </cfRule>
    <cfRule type="cellIs" dxfId="6" priority="47" stopIfTrue="1" operator="equal">
      <formula>1</formula>
    </cfRule>
  </conditionalFormatting>
  <conditionalFormatting sqref="G204">
    <cfRule type="containsText" dxfId="5" priority="44" stopIfTrue="1" operator="containsText" text="Included in error count">
      <formula>NOT(ISERROR(SEARCH("Included in error count",G204)))</formula>
    </cfRule>
    <cfRule type="cellIs" dxfId="4" priority="45" stopIfTrue="1" operator="equal">
      <formula>1</formula>
    </cfRule>
  </conditionalFormatting>
  <conditionalFormatting sqref="G205">
    <cfRule type="containsText" dxfId="3" priority="42" stopIfTrue="1" operator="containsText" text="Included in error count">
      <formula>NOT(ISERROR(SEARCH("Included in error count",G205)))</formula>
    </cfRule>
    <cfRule type="cellIs" dxfId="2" priority="43" stopIfTrue="1" operator="equal">
      <formula>1</formula>
    </cfRule>
  </conditionalFormatting>
  <conditionalFormatting sqref="G125">
    <cfRule type="containsText" dxfId="1" priority="40" stopIfTrue="1" operator="containsText" text="Included in error count">
      <formula>NOT(ISERROR(SEARCH("Included in error count",G125)))</formula>
    </cfRule>
    <cfRule type="cellIs" dxfId="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B2" sqref="B2:D2"/>
    </sheetView>
  </sheetViews>
  <sheetFormatPr defaultColWidth="9.109375" defaultRowHeight="14.4" x14ac:dyDescent="0.3"/>
  <cols>
    <col min="1" max="1" width="2" style="180" customWidth="1"/>
    <col min="2" max="2" width="96.33203125" style="180" customWidth="1"/>
    <col min="3" max="3" width="2" style="180" customWidth="1"/>
    <col min="4" max="4" width="17.6640625" style="180" customWidth="1"/>
    <col min="5" max="5" width="9.33203125" style="180" customWidth="1"/>
    <col min="6" max="6" width="14.109375" style="155" customWidth="1"/>
    <col min="7" max="7" width="50.44140625" style="527" customWidth="1"/>
    <col min="8" max="8" width="44.33203125" style="180" customWidth="1"/>
    <col min="9" max="9" width="9.109375" style="180"/>
    <col min="10" max="10" width="36.664062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709" t="s">
        <v>1593</v>
      </c>
      <c r="C1" s="709"/>
      <c r="D1" s="709"/>
    </row>
    <row r="2" spans="2:8" ht="27" customHeight="1" x14ac:dyDescent="0.3">
      <c r="B2" s="1171"/>
      <c r="C2" s="1171"/>
      <c r="D2" s="1171"/>
    </row>
    <row r="3" spans="2:8" ht="26.4" customHeight="1" x14ac:dyDescent="0.35">
      <c r="B3" s="698" t="str">
        <f>'Unit Data from Audit Worksheet'!D2</f>
        <v>Select Unit Name from Drop Down List</v>
      </c>
      <c r="C3" s="568"/>
      <c r="D3" s="699">
        <v>2023</v>
      </c>
      <c r="F3" s="712" t="s">
        <v>1594</v>
      </c>
      <c r="G3" s="713" t="s">
        <v>41</v>
      </c>
    </row>
    <row r="4" spans="2:8" ht="18.600000000000001" customHeight="1" x14ac:dyDescent="0.3">
      <c r="B4" s="700" t="s">
        <v>71</v>
      </c>
      <c r="C4" s="265"/>
    </row>
    <row r="5" spans="2:8" ht="19.2" customHeight="1" x14ac:dyDescent="0.3">
      <c r="B5" s="607" t="s">
        <v>1572</v>
      </c>
      <c r="C5" s="607"/>
      <c r="D5" s="268"/>
    </row>
    <row r="6" spans="2:8" ht="19.95" customHeight="1" x14ac:dyDescent="0.3">
      <c r="B6" s="686" t="s">
        <v>1588</v>
      </c>
      <c r="C6" s="686"/>
      <c r="D6" s="702">
        <f>Import!L38</f>
        <v>0</v>
      </c>
      <c r="F6" s="682">
        <v>506</v>
      </c>
      <c r="G6" s="527" t="s">
        <v>189</v>
      </c>
    </row>
    <row r="7" spans="2:8" ht="19.95" customHeight="1" x14ac:dyDescent="0.3">
      <c r="B7" s="686" t="s">
        <v>1573</v>
      </c>
      <c r="C7" s="686"/>
      <c r="D7" s="703">
        <f>Import!L39</f>
        <v>0</v>
      </c>
      <c r="F7" s="682">
        <v>536</v>
      </c>
      <c r="G7" s="527" t="s">
        <v>190</v>
      </c>
    </row>
    <row r="8" spans="2:8" ht="19.95" customHeight="1" x14ac:dyDescent="0.3">
      <c r="B8" s="686" t="s">
        <v>1574</v>
      </c>
      <c r="C8" s="686"/>
      <c r="D8" s="703">
        <f>Import!L69</f>
        <v>0</v>
      </c>
      <c r="F8" s="561">
        <v>647</v>
      </c>
      <c r="G8" s="624" t="s">
        <v>808</v>
      </c>
    </row>
    <row r="9" spans="2:8" ht="19.95" customHeight="1" x14ac:dyDescent="0.3">
      <c r="B9" s="692" t="s">
        <v>1592</v>
      </c>
      <c r="C9" s="693"/>
      <c r="D9" s="703">
        <f>-Import!L48</f>
        <v>0</v>
      </c>
      <c r="F9" s="694">
        <v>11</v>
      </c>
      <c r="G9" s="695" t="s">
        <v>194</v>
      </c>
    </row>
    <row r="10" spans="2:8" ht="19.95" customHeight="1" x14ac:dyDescent="0.3">
      <c r="B10" s="608" t="s">
        <v>1491</v>
      </c>
      <c r="C10" s="608"/>
      <c r="D10" s="704"/>
    </row>
    <row r="11" spans="2:8" ht="19.95" customHeight="1" x14ac:dyDescent="0.3">
      <c r="B11" s="686" t="s">
        <v>1575</v>
      </c>
      <c r="C11" s="686"/>
      <c r="D11" s="705">
        <f>Import!L43</f>
        <v>0</v>
      </c>
      <c r="F11" s="155">
        <v>4</v>
      </c>
      <c r="G11" s="527" t="s">
        <v>1576</v>
      </c>
    </row>
    <row r="12" spans="2:8" ht="19.95" customHeight="1" x14ac:dyDescent="0.3">
      <c r="B12" s="686" t="s">
        <v>1492</v>
      </c>
      <c r="C12" s="686"/>
      <c r="D12" s="705">
        <f>Import!L196</f>
        <v>0</v>
      </c>
      <c r="F12" s="155">
        <v>6</v>
      </c>
      <c r="G12" s="527" t="s">
        <v>251</v>
      </c>
    </row>
    <row r="13" spans="2:8" ht="19.95" customHeight="1" x14ac:dyDescent="0.3">
      <c r="B13" s="686" t="s">
        <v>1577</v>
      </c>
      <c r="C13" s="686"/>
      <c r="D13" s="706">
        <f>Import!L44</f>
        <v>0</v>
      </c>
      <c r="F13" s="155">
        <v>5</v>
      </c>
      <c r="G13" s="527" t="s">
        <v>1578</v>
      </c>
    </row>
    <row r="14" spans="2:8" ht="24.6" customHeight="1" thickBot="1" x14ac:dyDescent="0.35">
      <c r="B14" s="687" t="s">
        <v>1590</v>
      </c>
      <c r="C14" s="686"/>
      <c r="D14" s="710">
        <f>SUM(D6:D9)-SUM(D11:D13)</f>
        <v>0</v>
      </c>
      <c r="E14" s="688"/>
      <c r="F14" s="155" t="s">
        <v>1564</v>
      </c>
      <c r="G14" s="696" t="s">
        <v>1928</v>
      </c>
      <c r="H14" s="727"/>
    </row>
    <row r="15" spans="2:8" ht="19.95" customHeight="1" thickTop="1" x14ac:dyDescent="0.3">
      <c r="B15" s="19"/>
      <c r="C15" s="19"/>
      <c r="D15" s="610"/>
    </row>
    <row r="16" spans="2:8" ht="19.95" customHeight="1" x14ac:dyDescent="0.3">
      <c r="B16" s="607"/>
      <c r="C16" s="607"/>
      <c r="D16" s="611"/>
    </row>
    <row r="17" spans="2:18" ht="19.95" customHeight="1" x14ac:dyDescent="0.3">
      <c r="B17" s="19" t="s">
        <v>1493</v>
      </c>
      <c r="C17" s="19"/>
      <c r="D17" s="268"/>
    </row>
    <row r="18" spans="2:18" ht="19.95" customHeight="1" x14ac:dyDescent="0.3">
      <c r="B18" s="686" t="s">
        <v>1579</v>
      </c>
      <c r="C18" s="686"/>
      <c r="D18" s="707">
        <f>Import!L59</f>
        <v>0</v>
      </c>
      <c r="F18" s="155">
        <v>532</v>
      </c>
      <c r="G18" s="527" t="s">
        <v>926</v>
      </c>
    </row>
    <row r="19" spans="2:18" ht="13.95" customHeight="1" x14ac:dyDescent="0.3">
      <c r="C19" s="19"/>
      <c r="D19" s="705"/>
    </row>
    <row r="20" spans="2:18" ht="16.95" customHeight="1" x14ac:dyDescent="0.3">
      <c r="B20" s="19" t="s">
        <v>1494</v>
      </c>
      <c r="C20" s="19"/>
      <c r="D20" s="705"/>
    </row>
    <row r="21" spans="2:18" ht="19.95" customHeight="1" x14ac:dyDescent="0.3">
      <c r="B21" s="686" t="s">
        <v>1580</v>
      </c>
      <c r="C21" s="686"/>
      <c r="D21" s="708">
        <f>Import!L62</f>
        <v>0</v>
      </c>
      <c r="F21" s="155">
        <v>20</v>
      </c>
      <c r="G21" s="527" t="s">
        <v>1581</v>
      </c>
    </row>
    <row r="22" spans="2:18" ht="33.6" customHeight="1" x14ac:dyDescent="0.3">
      <c r="B22" s="686" t="s">
        <v>1582</v>
      </c>
      <c r="C22" s="686"/>
      <c r="D22" s="705">
        <f>Import!L65</f>
        <v>0</v>
      </c>
      <c r="F22" s="155">
        <v>509</v>
      </c>
      <c r="G22" s="527" t="s">
        <v>290</v>
      </c>
    </row>
    <row r="23" spans="2:18" ht="28.95" customHeight="1" x14ac:dyDescent="0.3">
      <c r="B23" s="686" t="s">
        <v>1583</v>
      </c>
      <c r="C23" s="686"/>
      <c r="D23" s="708">
        <f>Import!L63</f>
        <v>0</v>
      </c>
      <c r="F23" s="155">
        <v>533</v>
      </c>
      <c r="G23" s="527" t="s">
        <v>927</v>
      </c>
    </row>
    <row r="24" spans="2:18" ht="38.4" customHeight="1" x14ac:dyDescent="0.3">
      <c r="B24" s="686" t="s">
        <v>1584</v>
      </c>
      <c r="C24" s="686"/>
      <c r="D24" s="708">
        <f>Import!L64</f>
        <v>0</v>
      </c>
      <c r="F24" s="155">
        <v>508</v>
      </c>
      <c r="G24" s="527" t="s">
        <v>292</v>
      </c>
    </row>
    <row r="25" spans="2:18" ht="39" customHeight="1" x14ac:dyDescent="0.3">
      <c r="B25" s="692" t="s">
        <v>1589</v>
      </c>
      <c r="C25" s="686"/>
      <c r="D25" s="726">
        <f>Import!L60</f>
        <v>0</v>
      </c>
      <c r="F25" s="694">
        <v>1050</v>
      </c>
      <c r="G25" s="701" t="s">
        <v>1507</v>
      </c>
    </row>
    <row r="26" spans="2:18" ht="25.95" customHeight="1" thickBot="1" x14ac:dyDescent="0.35">
      <c r="B26" s="687" t="s">
        <v>1585</v>
      </c>
      <c r="C26" s="689"/>
      <c r="D26" s="711">
        <f>D18+D21+D22-D23-D24-D25</f>
        <v>0</v>
      </c>
      <c r="F26" s="155" t="s">
        <v>1564</v>
      </c>
      <c r="G26" s="696" t="s">
        <v>1591</v>
      </c>
    </row>
    <row r="27" spans="2:18" ht="19.95" customHeight="1" thickTop="1" x14ac:dyDescent="0.3">
      <c r="B27" s="268"/>
      <c r="C27" s="268"/>
      <c r="D27" s="268"/>
    </row>
    <row r="28" spans="2:18" s="528" customFormat="1" ht="40.950000000000003" customHeight="1" thickBot="1" x14ac:dyDescent="0.35">
      <c r="B28" s="687" t="s">
        <v>1586</v>
      </c>
      <c r="C28" s="689"/>
      <c r="D28" s="612" t="e">
        <f>D14/D26</f>
        <v>#DIV/0!</v>
      </c>
      <c r="F28" s="155" t="s">
        <v>1564</v>
      </c>
      <c r="G28" s="697" t="s">
        <v>1587</v>
      </c>
      <c r="I28" s="180"/>
      <c r="J28" s="180"/>
      <c r="K28" s="180"/>
      <c r="L28" s="180"/>
      <c r="M28" s="180"/>
      <c r="N28" s="180"/>
      <c r="O28" s="180"/>
      <c r="P28" s="180"/>
      <c r="Q28" s="180"/>
      <c r="R28" s="180"/>
    </row>
    <row r="29" spans="2:18" s="528" customFormat="1" ht="15" thickTop="1" x14ac:dyDescent="0.3">
      <c r="B29" s="608"/>
      <c r="C29" s="608"/>
      <c r="D29" s="690"/>
      <c r="F29" s="155"/>
      <c r="G29" s="697"/>
      <c r="I29" s="180"/>
      <c r="J29" s="180"/>
      <c r="K29" s="180"/>
      <c r="L29" s="180"/>
      <c r="M29" s="180"/>
      <c r="N29" s="180"/>
      <c r="O29" s="180"/>
      <c r="P29" s="180"/>
      <c r="Q29" s="180"/>
      <c r="R29" s="180"/>
    </row>
    <row r="30" spans="2:18" s="528" customFormat="1" x14ac:dyDescent="0.3">
      <c r="B30" s="608"/>
      <c r="C30" s="608"/>
      <c r="D30" s="690"/>
      <c r="F30" s="155"/>
      <c r="G30" s="697"/>
      <c r="I30" s="180"/>
      <c r="J30" s="180"/>
      <c r="K30" s="180"/>
      <c r="L30" s="180"/>
      <c r="M30" s="180"/>
      <c r="N30" s="180"/>
      <c r="O30" s="180"/>
      <c r="P30" s="180"/>
      <c r="Q30" s="180"/>
      <c r="R30" s="180"/>
    </row>
    <row r="31" spans="2:18" s="528" customFormat="1" x14ac:dyDescent="0.3">
      <c r="B31" s="691"/>
      <c r="C31" s="691"/>
      <c r="D31" s="690"/>
      <c r="F31" s="155"/>
      <c r="G31" s="697"/>
      <c r="I31" s="180"/>
      <c r="J31" s="180"/>
      <c r="K31" s="180"/>
      <c r="L31" s="180"/>
      <c r="M31" s="180"/>
      <c r="N31" s="180"/>
      <c r="O31" s="180"/>
      <c r="P31" s="180"/>
      <c r="Q31" s="180"/>
      <c r="R31" s="180"/>
    </row>
    <row r="32" spans="2:18" x14ac:dyDescent="0.3">
      <c r="B32" s="584"/>
      <c r="C32" s="584"/>
      <c r="D32" s="609"/>
    </row>
  </sheetData>
  <sheetProtection algorithmName="SHA-512" hashValue="U158FRbM3KVPN39x/hver3OcZHvxHutoU2WnX1azsbyJNCWkn8umF8A9edGfg3d2sGm507P7zuIJnxlgFBYLgA==" saltValue="6FNUm53XrAlNxLo4K8vJyw==" spinCount="100000" sheet="1" formatCells="0" formatColumns="0" formatRows="0"/>
  <mergeCells count="1">
    <mergeCell ref="B2:D2"/>
  </mergeCells>
  <pageMargins left="0.7" right="0.7" top="0.75" bottom="0.75" header="0.3" footer="0.3"/>
  <pageSetup scale="3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C3" sqref="C3"/>
    </sheetView>
  </sheetViews>
  <sheetFormatPr defaultColWidth="9.109375" defaultRowHeight="14.4" x14ac:dyDescent="0.3"/>
  <cols>
    <col min="1" max="1" width="4.6640625" style="180" customWidth="1"/>
    <col min="2" max="2" width="77.33203125" style="180" customWidth="1"/>
    <col min="3" max="3" width="20.33203125" style="180" customWidth="1"/>
    <col min="4" max="4" width="3.6640625" style="180" customWidth="1"/>
    <col min="5" max="5" width="20.33203125" style="180" customWidth="1"/>
    <col min="6" max="6" width="6.33203125" style="180" customWidth="1"/>
    <col min="7" max="7" width="17.33203125" style="180" customWidth="1"/>
    <col min="8" max="8" width="34.6640625" style="180" customWidth="1"/>
    <col min="9" max="9" width="17.109375" style="155" customWidth="1"/>
    <col min="10" max="10" width="21.109375" style="180" customWidth="1"/>
    <col min="11" max="11" width="18.33203125" style="180" customWidth="1"/>
    <col min="12" max="12" width="19.88671875" style="180" customWidth="1"/>
    <col min="13" max="13" width="17.6640625" style="180" customWidth="1"/>
    <col min="14" max="16384" width="9.109375" style="180"/>
  </cols>
  <sheetData>
    <row r="2" spans="1:11" ht="14.4" customHeight="1" x14ac:dyDescent="0.3">
      <c r="B2" s="1172" t="s">
        <v>104</v>
      </c>
      <c r="C2" s="1172"/>
      <c r="D2" s="1172"/>
      <c r="E2" s="1172"/>
      <c r="F2" s="606"/>
      <c r="G2" s="261"/>
    </row>
    <row r="4" spans="1:11" ht="15.6" x14ac:dyDescent="0.3">
      <c r="A4" s="261"/>
      <c r="B4" s="262" t="str">
        <f>'Unit Data from Audit Worksheet'!D2</f>
        <v>Select Unit Name from Drop Down List</v>
      </c>
      <c r="C4" s="684">
        <f>'Unit Data from Audit Worksheet'!F5</f>
        <v>2023</v>
      </c>
      <c r="E4" s="674">
        <f>'Unit Data from Audit Worksheet'!F5</f>
        <v>2023</v>
      </c>
    </row>
    <row r="5" spans="1:11" ht="27.6" x14ac:dyDescent="0.4">
      <c r="A5" s="264"/>
      <c r="B5" s="265" t="s">
        <v>71</v>
      </c>
      <c r="C5" s="263" t="s">
        <v>72</v>
      </c>
      <c r="D5" s="264"/>
      <c r="E5" s="266" t="s">
        <v>73</v>
      </c>
      <c r="G5" s="155"/>
      <c r="I5" s="180"/>
    </row>
    <row r="6" spans="1:11" x14ac:dyDescent="0.3">
      <c r="A6" s="261"/>
      <c r="B6" s="267" t="s">
        <v>74</v>
      </c>
      <c r="C6" s="268"/>
      <c r="D6" s="268"/>
      <c r="E6" s="268"/>
      <c r="G6" s="155"/>
      <c r="I6" s="180"/>
    </row>
    <row r="7" spans="1:11" x14ac:dyDescent="0.3">
      <c r="A7" s="261"/>
      <c r="B7" s="675" t="s">
        <v>1561</v>
      </c>
      <c r="C7" s="702">
        <f>Import!L38</f>
        <v>0</v>
      </c>
      <c r="D7" s="269"/>
      <c r="E7" s="702">
        <f>C7</f>
        <v>0</v>
      </c>
      <c r="G7" s="676">
        <v>506</v>
      </c>
      <c r="H7" s="677" t="s">
        <v>189</v>
      </c>
      <c r="I7" s="180"/>
    </row>
    <row r="8" spans="1:11" x14ac:dyDescent="0.3">
      <c r="A8" s="261"/>
      <c r="B8" s="675" t="s">
        <v>1562</v>
      </c>
      <c r="C8" s="704">
        <f>Import!L39</f>
        <v>0</v>
      </c>
      <c r="D8" s="270"/>
      <c r="E8" s="270"/>
      <c r="G8" s="676">
        <v>536</v>
      </c>
      <c r="H8" s="677" t="s">
        <v>190</v>
      </c>
      <c r="I8" s="180"/>
    </row>
    <row r="9" spans="1:11" x14ac:dyDescent="0.3">
      <c r="A9" s="261"/>
      <c r="B9" s="675" t="s">
        <v>173</v>
      </c>
      <c r="C9" s="741">
        <f>Import!L43</f>
        <v>0</v>
      </c>
      <c r="D9" s="270"/>
      <c r="E9" s="741">
        <f>C9</f>
        <v>0</v>
      </c>
      <c r="G9" s="676">
        <v>4</v>
      </c>
      <c r="H9" s="677" t="s">
        <v>111</v>
      </c>
      <c r="I9" s="180"/>
    </row>
    <row r="10" spans="1:11" x14ac:dyDescent="0.3">
      <c r="A10" s="261"/>
      <c r="B10" s="675" t="s">
        <v>75</v>
      </c>
      <c r="C10" s="705">
        <f>Import!L196</f>
        <v>0</v>
      </c>
      <c r="D10" s="270"/>
      <c r="E10" s="741">
        <f>C10</f>
        <v>0</v>
      </c>
      <c r="G10" s="676">
        <v>6</v>
      </c>
      <c r="H10" s="677" t="s">
        <v>251</v>
      </c>
      <c r="I10" s="180"/>
    </row>
    <row r="11" spans="1:11" x14ac:dyDescent="0.3">
      <c r="A11" s="261"/>
      <c r="B11" s="675" t="s">
        <v>76</v>
      </c>
      <c r="C11" s="706">
        <f>Import!L44</f>
        <v>0</v>
      </c>
      <c r="D11" s="271"/>
      <c r="E11" s="741">
        <f>C11</f>
        <v>0</v>
      </c>
      <c r="G11" s="676">
        <v>5</v>
      </c>
      <c r="H11" s="677" t="s">
        <v>112</v>
      </c>
      <c r="I11" s="180"/>
    </row>
    <row r="12" spans="1:11" x14ac:dyDescent="0.3">
      <c r="A12" s="19"/>
      <c r="B12" s="675" t="s">
        <v>77</v>
      </c>
      <c r="C12" s="742">
        <f>C7+C8-SUM(C9:C11)</f>
        <v>0</v>
      </c>
      <c r="E12" s="742">
        <f>E7-SUM(E9:E11)</f>
        <v>0</v>
      </c>
      <c r="G12" s="676" t="s">
        <v>1571</v>
      </c>
      <c r="H12" s="678" t="s">
        <v>1609</v>
      </c>
      <c r="I12" s="677" t="s">
        <v>1612</v>
      </c>
      <c r="J12" s="678" t="s">
        <v>1613</v>
      </c>
      <c r="K12" s="679"/>
    </row>
    <row r="13" spans="1:11" x14ac:dyDescent="0.3">
      <c r="A13" s="261"/>
      <c r="B13" s="261"/>
      <c r="C13" s="268"/>
      <c r="D13" s="268"/>
      <c r="E13" s="268"/>
      <c r="G13" s="676"/>
      <c r="H13" s="677"/>
      <c r="I13" s="180"/>
    </row>
    <row r="14" spans="1:11" x14ac:dyDescent="0.3">
      <c r="A14" s="261"/>
      <c r="B14" s="675" t="s">
        <v>1563</v>
      </c>
      <c r="C14" s="743">
        <f>Import!L51</f>
        <v>0</v>
      </c>
      <c r="D14" s="268"/>
      <c r="E14" s="268"/>
      <c r="G14" s="676">
        <v>9</v>
      </c>
      <c r="H14" s="677" t="s">
        <v>195</v>
      </c>
      <c r="I14" s="180"/>
    </row>
    <row r="15" spans="1:11" x14ac:dyDescent="0.3">
      <c r="A15" s="261"/>
      <c r="B15" s="675" t="s">
        <v>78</v>
      </c>
      <c r="C15" s="744">
        <f>C14-C12</f>
        <v>0</v>
      </c>
      <c r="D15" s="268"/>
      <c r="E15" s="268"/>
      <c r="G15" s="676" t="s">
        <v>1571</v>
      </c>
      <c r="H15" s="678" t="s">
        <v>1610</v>
      </c>
      <c r="I15" s="680"/>
    </row>
    <row r="16" spans="1:11" x14ac:dyDescent="0.3">
      <c r="A16" s="261"/>
      <c r="B16" s="272" t="s">
        <v>79</v>
      </c>
      <c r="C16" s="268"/>
      <c r="D16" s="268"/>
      <c r="E16" s="268"/>
      <c r="G16" s="676"/>
      <c r="H16" s="677"/>
      <c r="I16" s="180"/>
    </row>
    <row r="17" spans="1:9" x14ac:dyDescent="0.3">
      <c r="A17" s="273" t="s">
        <v>80</v>
      </c>
      <c r="B17" s="675" t="s">
        <v>1565</v>
      </c>
      <c r="C17" s="744">
        <f>Import!L47</f>
        <v>0</v>
      </c>
      <c r="D17" s="268"/>
      <c r="E17" s="268"/>
      <c r="G17" s="676">
        <v>7</v>
      </c>
      <c r="H17" s="677" t="s">
        <v>193</v>
      </c>
      <c r="I17" s="180"/>
    </row>
    <row r="18" spans="1:9" ht="15" thickBot="1" x14ac:dyDescent="0.35">
      <c r="B18" s="675" t="s">
        <v>81</v>
      </c>
      <c r="C18" s="745">
        <f>(C15-SUM(C17:C17))</f>
        <v>0</v>
      </c>
      <c r="D18" s="268"/>
      <c r="E18" s="268"/>
      <c r="G18" s="676" t="s">
        <v>1571</v>
      </c>
      <c r="H18" s="678" t="s">
        <v>1611</v>
      </c>
      <c r="I18" s="180"/>
    </row>
    <row r="19" spans="1:9" ht="15" thickTop="1" x14ac:dyDescent="0.3">
      <c r="B19" s="261"/>
      <c r="C19" s="268"/>
      <c r="D19" s="268"/>
      <c r="E19" s="268"/>
      <c r="G19" s="676"/>
      <c r="H19" s="677"/>
      <c r="I19" s="180"/>
    </row>
    <row r="20" spans="1:9" ht="15" thickBot="1" x14ac:dyDescent="0.35">
      <c r="B20" s="675" t="s">
        <v>1566</v>
      </c>
      <c r="C20" s="746">
        <f>Import!L46</f>
        <v>0</v>
      </c>
      <c r="D20" s="268"/>
      <c r="E20" s="268"/>
      <c r="G20" s="676">
        <v>391</v>
      </c>
      <c r="H20" s="677" t="s">
        <v>192</v>
      </c>
      <c r="I20" s="180"/>
    </row>
    <row r="21" spans="1:9" ht="15.6" thickTop="1" thickBot="1" x14ac:dyDescent="0.35">
      <c r="B21" s="274"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747">
        <f>ABS(C18-C20)</f>
        <v>0</v>
      </c>
      <c r="D21" s="268"/>
      <c r="E21" s="268"/>
      <c r="G21" s="155"/>
      <c r="I21" s="180"/>
    </row>
    <row r="22" spans="1:9" ht="15" thickTop="1" x14ac:dyDescent="0.3">
      <c r="B22" s="681" t="str">
        <f>IF(C18&gt;C20,"Since Restricted-Stabilization by State Statute was understated, verfiy that the unit did not appropriate fund balance in excess of legal amount available in row 12 above.","")</f>
        <v/>
      </c>
      <c r="C22" s="681"/>
      <c r="D22" s="681"/>
      <c r="E22" s="681"/>
      <c r="F22" s="268"/>
      <c r="G22" s="268"/>
    </row>
    <row r="23" spans="1:9" x14ac:dyDescent="0.3">
      <c r="B23" s="272" t="s">
        <v>82</v>
      </c>
      <c r="C23" s="268"/>
      <c r="D23" s="268"/>
      <c r="E23" s="275" t="s">
        <v>83</v>
      </c>
      <c r="G23" s="155"/>
      <c r="I23" s="180"/>
    </row>
    <row r="24" spans="1:9" x14ac:dyDescent="0.3">
      <c r="B24" s="272"/>
      <c r="C24" s="263" t="s">
        <v>84</v>
      </c>
      <c r="D24" s="268"/>
      <c r="E24" s="263" t="s">
        <v>91</v>
      </c>
      <c r="G24" s="155"/>
      <c r="I24" s="180"/>
    </row>
    <row r="25" spans="1:9" x14ac:dyDescent="0.3">
      <c r="B25" s="267" t="s">
        <v>85</v>
      </c>
      <c r="C25" s="268"/>
      <c r="D25" s="268"/>
      <c r="E25" s="268"/>
      <c r="G25" s="155"/>
      <c r="I25" s="180"/>
    </row>
    <row r="26" spans="1:9" x14ac:dyDescent="0.3">
      <c r="B26" s="675" t="s">
        <v>86</v>
      </c>
      <c r="C26" s="702">
        <f>Import!L59</f>
        <v>0</v>
      </c>
      <c r="D26" s="269"/>
      <c r="E26" s="702">
        <f>C26</f>
        <v>0</v>
      </c>
      <c r="G26" s="682">
        <v>532</v>
      </c>
      <c r="H26" s="685" t="s">
        <v>199</v>
      </c>
      <c r="I26" s="180"/>
    </row>
    <row r="27" spans="1:9" x14ac:dyDescent="0.3">
      <c r="B27" s="267" t="s">
        <v>87</v>
      </c>
      <c r="C27" s="268"/>
      <c r="D27" s="268"/>
      <c r="E27" s="268"/>
      <c r="G27" s="155"/>
      <c r="H27" s="677"/>
      <c r="I27" s="180"/>
    </row>
    <row r="28" spans="1:9" x14ac:dyDescent="0.3">
      <c r="B28" s="675" t="s">
        <v>88</v>
      </c>
      <c r="C28" s="704">
        <f>Import!L62</f>
        <v>0</v>
      </c>
      <c r="D28" s="270"/>
      <c r="E28" s="704">
        <f>C28</f>
        <v>0</v>
      </c>
      <c r="G28" s="682">
        <v>20</v>
      </c>
      <c r="H28" s="677" t="s">
        <v>201</v>
      </c>
      <c r="I28" s="180"/>
    </row>
    <row r="29" spans="1:9" ht="41.4" x14ac:dyDescent="0.3">
      <c r="B29" s="675" t="s">
        <v>1567</v>
      </c>
      <c r="C29" s="704">
        <f>Import!L65</f>
        <v>0</v>
      </c>
      <c r="D29" s="270"/>
      <c r="E29" s="704">
        <f>C29</f>
        <v>0</v>
      </c>
      <c r="G29" s="933">
        <v>509</v>
      </c>
      <c r="H29" s="934" t="s">
        <v>290</v>
      </c>
      <c r="I29" s="180"/>
    </row>
    <row r="30" spans="1:9" ht="21" customHeight="1" x14ac:dyDescent="0.3">
      <c r="B30" s="675" t="s">
        <v>89</v>
      </c>
      <c r="C30" s="704">
        <f>Import!L63</f>
        <v>0</v>
      </c>
      <c r="D30" s="270"/>
      <c r="E30" s="704">
        <f>C30</f>
        <v>0</v>
      </c>
      <c r="G30" s="933">
        <v>533</v>
      </c>
      <c r="H30" s="934" t="s">
        <v>927</v>
      </c>
      <c r="I30" s="180"/>
    </row>
    <row r="31" spans="1:9" ht="41.4" x14ac:dyDescent="0.3">
      <c r="B31" s="675" t="s">
        <v>1568</v>
      </c>
      <c r="C31" s="704">
        <f>Import!L64</f>
        <v>0</v>
      </c>
      <c r="D31" s="270"/>
      <c r="E31" s="704">
        <f>C31</f>
        <v>0</v>
      </c>
      <c r="G31" s="933">
        <v>508</v>
      </c>
      <c r="H31" s="934" t="s">
        <v>292</v>
      </c>
      <c r="I31" s="180"/>
    </row>
    <row r="32" spans="1:9" ht="16.95" customHeight="1" thickBot="1" x14ac:dyDescent="0.35">
      <c r="B32" s="683" t="s">
        <v>1569</v>
      </c>
      <c r="C32" s="748">
        <f>C26+C28+C29-C30-C31</f>
        <v>0</v>
      </c>
      <c r="D32" s="269"/>
      <c r="E32" s="748">
        <f>E26+E28+E29-E30-E31</f>
        <v>0</v>
      </c>
      <c r="G32" s="676" t="s">
        <v>1571</v>
      </c>
      <c r="H32" s="679" t="s">
        <v>1570</v>
      </c>
      <c r="I32" s="180"/>
    </row>
    <row r="33" spans="1:9" ht="15" thickTop="1" x14ac:dyDescent="0.3">
      <c r="B33" s="268"/>
      <c r="C33" s="268"/>
      <c r="D33" s="268"/>
      <c r="E33" s="268"/>
      <c r="G33" s="155"/>
      <c r="I33" s="180"/>
    </row>
    <row r="34" spans="1:9" ht="15" thickBot="1" x14ac:dyDescent="0.35">
      <c r="B34" s="683" t="s">
        <v>90</v>
      </c>
      <c r="C34" s="276" t="e">
        <f>C12/C32</f>
        <v>#DIV/0!</v>
      </c>
      <c r="D34" s="268"/>
      <c r="E34" s="276" t="e">
        <f>E12/E32</f>
        <v>#DIV/0!</v>
      </c>
      <c r="G34" s="155"/>
      <c r="I34" s="180"/>
    </row>
    <row r="35" spans="1:9" ht="15" thickTop="1" x14ac:dyDescent="0.3">
      <c r="C35" s="268"/>
      <c r="D35" s="268"/>
      <c r="E35" s="268"/>
      <c r="G35" s="155"/>
      <c r="I35" s="180"/>
    </row>
    <row r="36" spans="1:9" ht="15.6" x14ac:dyDescent="0.3">
      <c r="A36" s="20"/>
    </row>
    <row r="38" spans="1:9" x14ac:dyDescent="0.3">
      <c r="E38" s="530"/>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1tYPkQ/fiSKA1BRQYKowiAcDRqjHsIq/eHlo/ZS8VG+iYWSFZvhOLBq37ANXKAFVGug3rg4CeTG4YDX2mzt6w==" saltValue="QoFo8RD6M6I3Xq+Zxth/eA==" spinCount="100000" sheet="1" objects="1" scenarios="1"/>
  <mergeCells count="1">
    <mergeCell ref="B2:E2"/>
  </mergeCells>
  <pageMargins left="0.7" right="0.7" top="0.75" bottom="0.75" header="0.3" footer="0.3"/>
  <pageSetup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Instructions</vt:lpstr>
      <vt:lpstr>Unit Data from Audit Worksheet</vt:lpstr>
      <vt:lpstr>TD Info Completed by Auditor</vt:lpstr>
      <vt:lpstr>Performance  Indicators Print</vt:lpstr>
      <vt:lpstr>UAL</vt:lpstr>
      <vt:lpstr>Tax Reval Rate</vt:lpstr>
      <vt:lpstr>Import</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cp:lastModifiedBy>
  <cp:lastPrinted>2023-08-16T18:40:30Z</cp:lastPrinted>
  <dcterms:created xsi:type="dcterms:W3CDTF">2011-03-11T21:05:05Z</dcterms:created>
  <dcterms:modified xsi:type="dcterms:W3CDTF">2023-10-15T18:59:16Z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